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USB DISK/Draining Knee Papers/"/>
    </mc:Choice>
  </mc:AlternateContent>
  <xr:revisionPtr revIDLastSave="0" documentId="13_ncr:1_{7A15D433-F7EF-C145-BA05-6248B83F9015}" xr6:coauthVersionLast="45" xr6:coauthVersionMax="45" xr10:uidLastSave="{00000000-0000-0000-0000-000000000000}"/>
  <bookViews>
    <workbookView xWindow="2980" yWindow="460" windowWidth="20860" windowHeight="13540" activeTab="5" xr2:uid="{DF85B24B-F604-421D-A86F-B773DE1FE905}"/>
  </bookViews>
  <sheets>
    <sheet name="Paper Info" sheetId="5" r:id="rId1"/>
    <sheet name="CSBv+tSpaceru" sheetId="1" r:id="rId2"/>
    <sheet name="CSBv+tplusSpacerv+t" sheetId="2" r:id="rId3"/>
    <sheet name="Spacerv+t" sheetId="4" r:id="rId4"/>
    <sheet name="VP" sheetId="3" r:id="rId5"/>
    <sheet name="Vancomycin" sheetId="7" r:id="rId6"/>
    <sheet name="Tobramycin" sheetId="6" r:id="rId7"/>
    <sheet name="AUC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2" i="8" l="1"/>
  <c r="N61" i="8"/>
  <c r="N60" i="8"/>
  <c r="M62" i="8"/>
  <c r="M61" i="8"/>
  <c r="M60" i="8"/>
  <c r="L62" i="8"/>
  <c r="L61" i="8"/>
  <c r="L60" i="8"/>
  <c r="K62" i="8"/>
  <c r="K61" i="8"/>
  <c r="K60" i="8"/>
  <c r="J63" i="8"/>
  <c r="J62" i="8"/>
  <c r="J61" i="8"/>
  <c r="J60" i="8"/>
  <c r="I63" i="8"/>
  <c r="I62" i="8"/>
  <c r="I61" i="8"/>
  <c r="I60" i="8"/>
  <c r="H63" i="8"/>
  <c r="H62" i="8"/>
  <c r="H61" i="8"/>
  <c r="H60" i="8"/>
  <c r="G63" i="8"/>
  <c r="G62" i="8"/>
  <c r="G61" i="8"/>
  <c r="G60" i="8"/>
  <c r="F63" i="8"/>
  <c r="F62" i="8"/>
  <c r="F61" i="8"/>
  <c r="F60" i="8"/>
  <c r="E63" i="8"/>
  <c r="E62" i="8"/>
  <c r="E61" i="8"/>
  <c r="E60" i="8"/>
  <c r="D63" i="8"/>
  <c r="D62" i="8"/>
  <c r="D61" i="8"/>
  <c r="D60" i="8"/>
  <c r="C63" i="8"/>
  <c r="C62" i="8"/>
  <c r="C61" i="8"/>
  <c r="C60" i="8"/>
  <c r="J46" i="8"/>
  <c r="J45" i="8"/>
  <c r="J44" i="8"/>
  <c r="J43" i="8"/>
  <c r="I46" i="8"/>
  <c r="I45" i="8"/>
  <c r="I44" i="8"/>
  <c r="I43" i="8"/>
  <c r="H46" i="8"/>
  <c r="H45" i="8"/>
  <c r="H44" i="8"/>
  <c r="H43" i="8"/>
  <c r="G46" i="8"/>
  <c r="G45" i="8"/>
  <c r="G44" i="8"/>
  <c r="G43" i="8"/>
  <c r="F46" i="8"/>
  <c r="F45" i="8"/>
  <c r="F44" i="8"/>
  <c r="F43" i="8"/>
  <c r="E46" i="8"/>
  <c r="E45" i="8"/>
  <c r="E44" i="8"/>
  <c r="E43" i="8"/>
  <c r="D46" i="8"/>
  <c r="D45" i="8"/>
  <c r="D44" i="8"/>
  <c r="D43" i="8"/>
  <c r="C46" i="8"/>
  <c r="C45" i="8"/>
  <c r="C44" i="8"/>
  <c r="C43" i="8"/>
  <c r="C70" i="8" l="1"/>
  <c r="D70" i="8"/>
  <c r="E70" i="8"/>
  <c r="F70" i="8"/>
  <c r="G65" i="8"/>
  <c r="L77" i="8" s="1"/>
  <c r="D71" i="8"/>
  <c r="E71" i="8"/>
  <c r="J66" i="8"/>
  <c r="U78" i="8" s="1"/>
  <c r="L66" i="8"/>
  <c r="P78" i="8" s="1"/>
  <c r="N66" i="8"/>
  <c r="V78" i="8" s="1"/>
  <c r="F71" i="8"/>
  <c r="M66" i="8"/>
  <c r="S78" i="8" s="1"/>
  <c r="F66" i="8"/>
  <c r="T78" i="8" s="1"/>
  <c r="K66" i="8"/>
  <c r="M78" i="8" s="1"/>
  <c r="D55" i="8"/>
  <c r="F55" i="8"/>
  <c r="J51" i="8"/>
  <c r="J78" i="8" s="1"/>
  <c r="C65" i="8"/>
  <c r="K77" i="8" s="1"/>
  <c r="K65" i="8"/>
  <c r="M77" i="8" s="1"/>
  <c r="C66" i="8"/>
  <c r="K78" i="8" s="1"/>
  <c r="G66" i="8"/>
  <c r="L78" i="8" s="1"/>
  <c r="C71" i="8"/>
  <c r="D65" i="8"/>
  <c r="N77" i="8" s="1"/>
  <c r="H65" i="8"/>
  <c r="O77" i="8" s="1"/>
  <c r="L65" i="8"/>
  <c r="P77" i="8" s="1"/>
  <c r="D66" i="8"/>
  <c r="N78" i="8" s="1"/>
  <c r="H66" i="8"/>
  <c r="O78" i="8" s="1"/>
  <c r="D69" i="8"/>
  <c r="C55" i="8"/>
  <c r="E55" i="8"/>
  <c r="G51" i="8"/>
  <c r="D78" i="8" s="1"/>
  <c r="H51" i="8"/>
  <c r="F78" i="8" s="1"/>
  <c r="C69" i="8"/>
  <c r="E65" i="8"/>
  <c r="Q77" i="8" s="1"/>
  <c r="I65" i="8"/>
  <c r="R77" i="8" s="1"/>
  <c r="M65" i="8"/>
  <c r="S77" i="8" s="1"/>
  <c r="E66" i="8"/>
  <c r="Q78" i="8" s="1"/>
  <c r="I66" i="8"/>
  <c r="R78" i="8" s="1"/>
  <c r="E69" i="8"/>
  <c r="F65" i="8"/>
  <c r="T77" i="8" s="1"/>
  <c r="J65" i="8"/>
  <c r="U77" i="8" s="1"/>
  <c r="N65" i="8"/>
  <c r="V77" i="8" s="1"/>
  <c r="F69" i="8"/>
  <c r="D50" i="8"/>
  <c r="E77" i="8" s="1"/>
  <c r="H50" i="8"/>
  <c r="F77" i="8" s="1"/>
  <c r="I51" i="8"/>
  <c r="H78" i="8" s="1"/>
  <c r="E51" i="8"/>
  <c r="G78" i="8" s="1"/>
  <c r="E50" i="8"/>
  <c r="G77" i="8" s="1"/>
  <c r="C50" i="8"/>
  <c r="C77" i="8" s="1"/>
  <c r="G50" i="8"/>
  <c r="D77" i="8" s="1"/>
  <c r="C51" i="8"/>
  <c r="C78" i="8" s="1"/>
  <c r="D51" i="8"/>
  <c r="E78" i="8" s="1"/>
  <c r="I50" i="8"/>
  <c r="H77" i="8" s="1"/>
  <c r="F50" i="8"/>
  <c r="I77" i="8" s="1"/>
  <c r="J50" i="8"/>
  <c r="J77" i="8" s="1"/>
  <c r="F51" i="8"/>
  <c r="I78" i="8" s="1"/>
  <c r="D31" i="8"/>
  <c r="E31" i="8"/>
  <c r="F31" i="8"/>
  <c r="C31" i="8"/>
  <c r="D30" i="8"/>
  <c r="E30" i="8"/>
  <c r="F30" i="8"/>
  <c r="C30" i="8"/>
  <c r="D29" i="8"/>
  <c r="E29" i="8"/>
  <c r="F29" i="8"/>
  <c r="C29" i="8"/>
  <c r="I26" i="8"/>
  <c r="R38" i="8" s="1"/>
  <c r="J26" i="8"/>
  <c r="U38" i="8" s="1"/>
  <c r="K26" i="8"/>
  <c r="M38" i="8" s="1"/>
  <c r="L26" i="8"/>
  <c r="P38" i="8" s="1"/>
  <c r="M26" i="8"/>
  <c r="S38" i="8" s="1"/>
  <c r="N26" i="8"/>
  <c r="V38" i="8" s="1"/>
  <c r="J25" i="8"/>
  <c r="U37" i="8" s="1"/>
  <c r="K25" i="8"/>
  <c r="M37" i="8" s="1"/>
  <c r="L25" i="8"/>
  <c r="P37" i="8" s="1"/>
  <c r="M25" i="8"/>
  <c r="S37" i="8" s="1"/>
  <c r="N25" i="8"/>
  <c r="V37" i="8" s="1"/>
  <c r="D26" i="8"/>
  <c r="N38" i="8" s="1"/>
  <c r="E26" i="8"/>
  <c r="Q38" i="8" s="1"/>
  <c r="F26" i="8"/>
  <c r="T38" i="8" s="1"/>
  <c r="G26" i="8"/>
  <c r="L38" i="8" s="1"/>
  <c r="H26" i="8"/>
  <c r="O38" i="8" s="1"/>
  <c r="D25" i="8"/>
  <c r="N37" i="8" s="1"/>
  <c r="E25" i="8"/>
  <c r="Q37" i="8" s="1"/>
  <c r="F25" i="8"/>
  <c r="T37" i="8" s="1"/>
  <c r="G25" i="8"/>
  <c r="L37" i="8" s="1"/>
  <c r="H25" i="8"/>
  <c r="O37" i="8" s="1"/>
  <c r="I25" i="8"/>
  <c r="R37" i="8" s="1"/>
  <c r="C26" i="8"/>
  <c r="K38" i="8" s="1"/>
  <c r="C25" i="8"/>
  <c r="K37" i="8" s="1"/>
  <c r="F15" i="8"/>
  <c r="E15" i="8"/>
  <c r="D15" i="8"/>
  <c r="C15" i="8"/>
  <c r="H11" i="8"/>
  <c r="F38" i="8" s="1"/>
  <c r="I11" i="8"/>
  <c r="H38" i="8" s="1"/>
  <c r="J11" i="8"/>
  <c r="J38" i="8" s="1"/>
  <c r="D11" i="8"/>
  <c r="E38" i="8" s="1"/>
  <c r="E11" i="8"/>
  <c r="G38" i="8" s="1"/>
  <c r="F11" i="8"/>
  <c r="I38" i="8" s="1"/>
  <c r="G11" i="8"/>
  <c r="D38" i="8" s="1"/>
  <c r="C11" i="8"/>
  <c r="C38" i="8" s="1"/>
  <c r="I10" i="8"/>
  <c r="H37" i="8" s="1"/>
  <c r="J10" i="8"/>
  <c r="J37" i="8" s="1"/>
  <c r="D10" i="8"/>
  <c r="E37" i="8" s="1"/>
  <c r="E10" i="8"/>
  <c r="G37" i="8" s="1"/>
  <c r="F10" i="8"/>
  <c r="I37" i="8" s="1"/>
  <c r="G10" i="8"/>
  <c r="D37" i="8" s="1"/>
  <c r="H10" i="8"/>
  <c r="F37" i="8" s="1"/>
  <c r="C10" i="8"/>
  <c r="C37" i="8" s="1"/>
  <c r="AD51" i="7" l="1"/>
  <c r="U33" i="7"/>
  <c r="V33" i="7"/>
  <c r="W33" i="7"/>
  <c r="X33" i="7"/>
  <c r="Y33" i="7"/>
  <c r="Z33" i="7"/>
  <c r="AA33" i="7"/>
  <c r="AB33" i="7"/>
  <c r="AC33" i="7"/>
  <c r="U34" i="7"/>
  <c r="V34" i="7"/>
  <c r="W34" i="7"/>
  <c r="X34" i="7"/>
  <c r="Y34" i="7"/>
  <c r="Z34" i="7"/>
  <c r="AA34" i="7"/>
  <c r="AB34" i="7"/>
  <c r="AC34" i="7"/>
  <c r="U35" i="7"/>
  <c r="V35" i="7"/>
  <c r="W35" i="7"/>
  <c r="X35" i="7"/>
  <c r="Y35" i="7"/>
  <c r="Z35" i="7"/>
  <c r="AA35" i="7"/>
  <c r="AB35" i="7"/>
  <c r="AC35" i="7"/>
  <c r="U36" i="7"/>
  <c r="V36" i="7"/>
  <c r="W36" i="7"/>
  <c r="X36" i="7"/>
  <c r="Y36" i="7"/>
  <c r="Z36" i="7"/>
  <c r="AA36" i="7"/>
  <c r="AB36" i="7"/>
  <c r="AC36" i="7"/>
  <c r="AD36" i="7"/>
  <c r="U37" i="7"/>
  <c r="V37" i="7"/>
  <c r="W37" i="7"/>
  <c r="X37" i="7"/>
  <c r="Y37" i="7"/>
  <c r="Z37" i="7"/>
  <c r="AA37" i="7"/>
  <c r="AB37" i="7"/>
  <c r="AC37" i="7"/>
  <c r="AD37" i="7"/>
  <c r="U38" i="7"/>
  <c r="V38" i="7"/>
  <c r="W38" i="7"/>
  <c r="X38" i="7"/>
  <c r="Y38" i="7"/>
  <c r="Z38" i="7"/>
  <c r="AA38" i="7"/>
  <c r="AB38" i="7"/>
  <c r="AC38" i="7"/>
  <c r="AD38" i="7"/>
  <c r="U39" i="7"/>
  <c r="V39" i="7"/>
  <c r="W39" i="7"/>
  <c r="X39" i="7"/>
  <c r="Y39" i="7"/>
  <c r="Z39" i="7"/>
  <c r="AA39" i="7"/>
  <c r="AB39" i="7"/>
  <c r="AC39" i="7"/>
  <c r="AD39" i="7"/>
  <c r="U40" i="7"/>
  <c r="V40" i="7"/>
  <c r="W40" i="7"/>
  <c r="X40" i="7"/>
  <c r="Y40" i="7"/>
  <c r="Z40" i="7"/>
  <c r="AA40" i="7"/>
  <c r="AB40" i="7"/>
  <c r="AC40" i="7"/>
  <c r="U41" i="7"/>
  <c r="V41" i="7"/>
  <c r="W41" i="7"/>
  <c r="X41" i="7"/>
  <c r="Y41" i="7"/>
  <c r="Z41" i="7"/>
  <c r="AA41" i="7"/>
  <c r="AB41" i="7"/>
  <c r="AC41" i="7"/>
  <c r="AD41" i="7"/>
  <c r="U42" i="7"/>
  <c r="V42" i="7"/>
  <c r="W42" i="7"/>
  <c r="X42" i="7"/>
  <c r="Y42" i="7"/>
  <c r="Z42" i="7"/>
  <c r="AA42" i="7"/>
  <c r="AB42" i="7"/>
  <c r="AC42" i="7"/>
  <c r="AD42" i="7"/>
  <c r="U43" i="7"/>
  <c r="V43" i="7"/>
  <c r="W43" i="7"/>
  <c r="X43" i="7"/>
  <c r="Y43" i="7"/>
  <c r="Z43" i="7"/>
  <c r="AA43" i="7"/>
  <c r="AB43" i="7"/>
  <c r="AC43" i="7"/>
  <c r="AD43" i="7"/>
  <c r="U44" i="7"/>
  <c r="V44" i="7"/>
  <c r="W44" i="7"/>
  <c r="X44" i="7"/>
  <c r="Y44" i="7"/>
  <c r="Z44" i="7"/>
  <c r="AA44" i="7"/>
  <c r="AB44" i="7"/>
  <c r="AC44" i="7"/>
  <c r="AD44" i="7"/>
  <c r="U45" i="7"/>
  <c r="V45" i="7"/>
  <c r="W45" i="7"/>
  <c r="X45" i="7"/>
  <c r="Y45" i="7"/>
  <c r="Z45" i="7"/>
  <c r="AA45" i="7"/>
  <c r="AB45" i="7"/>
  <c r="AC45" i="7"/>
  <c r="AD45" i="7"/>
  <c r="U46" i="7"/>
  <c r="V46" i="7"/>
  <c r="W46" i="7"/>
  <c r="X46" i="7"/>
  <c r="Y46" i="7"/>
  <c r="Z46" i="7"/>
  <c r="AA46" i="7"/>
  <c r="AB46" i="7"/>
  <c r="AC46" i="7"/>
  <c r="AD46" i="7"/>
  <c r="U47" i="7"/>
  <c r="V47" i="7"/>
  <c r="W47" i="7"/>
  <c r="X47" i="7"/>
  <c r="Y47" i="7"/>
  <c r="Z47" i="7"/>
  <c r="AA47" i="7"/>
  <c r="AB47" i="7"/>
  <c r="AC47" i="7"/>
  <c r="AD47" i="7"/>
  <c r="U48" i="7"/>
  <c r="V48" i="7"/>
  <c r="W48" i="7"/>
  <c r="X48" i="7"/>
  <c r="Y48" i="7"/>
  <c r="Z48" i="7"/>
  <c r="AA48" i="7"/>
  <c r="AB48" i="7"/>
  <c r="AC48" i="7"/>
  <c r="AD48" i="7"/>
  <c r="U49" i="7"/>
  <c r="V49" i="7"/>
  <c r="W49" i="7"/>
  <c r="X49" i="7"/>
  <c r="Y49" i="7"/>
  <c r="Z49" i="7"/>
  <c r="AA49" i="7"/>
  <c r="AB49" i="7"/>
  <c r="AC49" i="7"/>
  <c r="AD49" i="7"/>
  <c r="U50" i="7"/>
  <c r="V50" i="7"/>
  <c r="W50" i="7"/>
  <c r="X50" i="7"/>
  <c r="Y50" i="7"/>
  <c r="Z50" i="7"/>
  <c r="AA50" i="7"/>
  <c r="AB50" i="7"/>
  <c r="AC50" i="7"/>
  <c r="U51" i="7"/>
  <c r="V51" i="7"/>
  <c r="X51" i="7"/>
  <c r="Y51" i="7"/>
  <c r="Z51" i="7"/>
  <c r="AB51" i="7"/>
  <c r="AC51" i="7"/>
  <c r="U52" i="7"/>
  <c r="V52" i="7"/>
  <c r="W52" i="7"/>
  <c r="X52" i="7"/>
  <c r="Y52" i="7"/>
  <c r="Z52" i="7"/>
  <c r="AA52" i="7"/>
  <c r="AB52" i="7"/>
  <c r="AC52" i="7"/>
  <c r="AD52" i="7"/>
  <c r="U53" i="7"/>
  <c r="V53" i="7"/>
  <c r="X53" i="7"/>
  <c r="Y53" i="7"/>
  <c r="Z53" i="7"/>
  <c r="AB53" i="7"/>
  <c r="AC53" i="7"/>
  <c r="AD53" i="7"/>
  <c r="U54" i="7"/>
  <c r="V54" i="7"/>
  <c r="W54" i="7"/>
  <c r="X54" i="7"/>
  <c r="Y54" i="7"/>
  <c r="Z54" i="7"/>
  <c r="AA54" i="7"/>
  <c r="AB54" i="7"/>
  <c r="AC54" i="7"/>
  <c r="U55" i="7"/>
  <c r="W55" i="7"/>
  <c r="X55" i="7"/>
  <c r="AA55" i="7"/>
  <c r="AD55" i="7"/>
  <c r="T55" i="7"/>
  <c r="T54" i="7"/>
  <c r="T53" i="7"/>
  <c r="T52" i="7"/>
  <c r="T51" i="7"/>
  <c r="T50" i="7"/>
  <c r="T49" i="7"/>
  <c r="T48" i="7"/>
  <c r="T47" i="7"/>
  <c r="T46" i="7"/>
  <c r="T45" i="7"/>
  <c r="T44" i="7"/>
  <c r="T43" i="7"/>
  <c r="T42" i="7"/>
  <c r="T41" i="7"/>
  <c r="T40" i="7"/>
  <c r="T39" i="7"/>
  <c r="T38" i="7"/>
  <c r="T37" i="7"/>
  <c r="T36" i="7"/>
  <c r="T35" i="7"/>
  <c r="T34" i="7"/>
  <c r="T33" i="7"/>
  <c r="R35" i="6"/>
  <c r="S35" i="6"/>
  <c r="T35" i="6"/>
  <c r="U35" i="6"/>
  <c r="V35" i="6"/>
  <c r="W35" i="6"/>
  <c r="X35" i="6"/>
  <c r="Y35" i="6"/>
  <c r="Z35" i="6"/>
  <c r="AA35" i="6"/>
  <c r="AB35" i="6"/>
  <c r="R36" i="6"/>
  <c r="S36" i="6"/>
  <c r="T36" i="6"/>
  <c r="U36" i="6"/>
  <c r="V36" i="6"/>
  <c r="W36" i="6"/>
  <c r="X36" i="6"/>
  <c r="Y36" i="6"/>
  <c r="Z36" i="6"/>
  <c r="AA36" i="6"/>
  <c r="AB36" i="6"/>
  <c r="R37" i="6"/>
  <c r="S37" i="6"/>
  <c r="T37" i="6"/>
  <c r="U37" i="6"/>
  <c r="V37" i="6"/>
  <c r="W37" i="6"/>
  <c r="X37" i="6"/>
  <c r="Y37" i="6"/>
  <c r="Z37" i="6"/>
  <c r="AA37" i="6"/>
  <c r="AB37" i="6"/>
  <c r="R38" i="6"/>
  <c r="S38" i="6"/>
  <c r="T38" i="6"/>
  <c r="U38" i="6"/>
  <c r="V38" i="6"/>
  <c r="W38" i="6"/>
  <c r="X38" i="6"/>
  <c r="Y38" i="6"/>
  <c r="Z38" i="6"/>
  <c r="AA38" i="6"/>
  <c r="AB38" i="6"/>
  <c r="R39" i="6"/>
  <c r="S39" i="6"/>
  <c r="T39" i="6"/>
  <c r="U39" i="6"/>
  <c r="V39" i="6"/>
  <c r="W39" i="6"/>
  <c r="X39" i="6"/>
  <c r="Y39" i="6"/>
  <c r="Z39" i="6"/>
  <c r="AA39" i="6"/>
  <c r="AB39" i="6"/>
  <c r="R40" i="6"/>
  <c r="S40" i="6"/>
  <c r="T40" i="6"/>
  <c r="U40" i="6"/>
  <c r="V40" i="6"/>
  <c r="W40" i="6"/>
  <c r="X40" i="6"/>
  <c r="Y40" i="6"/>
  <c r="Z40" i="6"/>
  <c r="AA40" i="6"/>
  <c r="AB40" i="6"/>
  <c r="R41" i="6"/>
  <c r="S41" i="6"/>
  <c r="T41" i="6"/>
  <c r="U41" i="6"/>
  <c r="V41" i="6"/>
  <c r="W41" i="6"/>
  <c r="X41" i="6"/>
  <c r="Y41" i="6"/>
  <c r="Z41" i="6"/>
  <c r="AA41" i="6"/>
  <c r="AB41" i="6"/>
  <c r="R42" i="6"/>
  <c r="S42" i="6"/>
  <c r="T42" i="6"/>
  <c r="U42" i="6"/>
  <c r="V42" i="6"/>
  <c r="W42" i="6"/>
  <c r="X42" i="6"/>
  <c r="Y42" i="6"/>
  <c r="Z42" i="6"/>
  <c r="AA42" i="6"/>
  <c r="AB42" i="6"/>
  <c r="R43" i="6"/>
  <c r="S43" i="6"/>
  <c r="T43" i="6"/>
  <c r="U43" i="6"/>
  <c r="V43" i="6"/>
  <c r="W43" i="6"/>
  <c r="X43" i="6"/>
  <c r="Y43" i="6"/>
  <c r="Z43" i="6"/>
  <c r="AA43" i="6"/>
  <c r="AB43" i="6"/>
  <c r="R44" i="6"/>
  <c r="S44" i="6"/>
  <c r="T44" i="6"/>
  <c r="U44" i="6"/>
  <c r="V44" i="6"/>
  <c r="W44" i="6"/>
  <c r="X44" i="6"/>
  <c r="Y44" i="6"/>
  <c r="Z44" i="6"/>
  <c r="AA44" i="6"/>
  <c r="AB44" i="6"/>
  <c r="R45" i="6"/>
  <c r="S45" i="6"/>
  <c r="T45" i="6"/>
  <c r="U45" i="6"/>
  <c r="V45" i="6"/>
  <c r="W45" i="6"/>
  <c r="X45" i="6"/>
  <c r="Y45" i="6"/>
  <c r="Z45" i="6"/>
  <c r="AA45" i="6"/>
  <c r="AB45" i="6"/>
  <c r="R46" i="6"/>
  <c r="S46" i="6"/>
  <c r="T46" i="6"/>
  <c r="U46" i="6"/>
  <c r="V46" i="6"/>
  <c r="W46" i="6"/>
  <c r="X46" i="6"/>
  <c r="Y46" i="6"/>
  <c r="Z46" i="6"/>
  <c r="AA46" i="6"/>
  <c r="AB46" i="6"/>
  <c r="R47" i="6"/>
  <c r="S47" i="6"/>
  <c r="T47" i="6"/>
  <c r="U47" i="6"/>
  <c r="V47" i="6"/>
  <c r="W47" i="6"/>
  <c r="X47" i="6"/>
  <c r="Y47" i="6"/>
  <c r="Z47" i="6"/>
  <c r="AA47" i="6"/>
  <c r="AB47" i="6"/>
  <c r="R48" i="6"/>
  <c r="S48" i="6"/>
  <c r="T48" i="6"/>
  <c r="U48" i="6"/>
  <c r="V48" i="6"/>
  <c r="W48" i="6"/>
  <c r="X48" i="6"/>
  <c r="Y48" i="6"/>
  <c r="Z48" i="6"/>
  <c r="AA48" i="6"/>
  <c r="AB48" i="6"/>
  <c r="R49" i="6"/>
  <c r="S49" i="6"/>
  <c r="T49" i="6"/>
  <c r="U49" i="6"/>
  <c r="V49" i="6"/>
  <c r="W49" i="6"/>
  <c r="X49" i="6"/>
  <c r="Y49" i="6"/>
  <c r="Z49" i="6"/>
  <c r="AA49" i="6"/>
  <c r="AB49" i="6"/>
  <c r="R50" i="6"/>
  <c r="S50" i="6"/>
  <c r="T50" i="6"/>
  <c r="U50" i="6"/>
  <c r="V50" i="6"/>
  <c r="W50" i="6"/>
  <c r="X50" i="6"/>
  <c r="Y50" i="6"/>
  <c r="Z50" i="6"/>
  <c r="AA50" i="6"/>
  <c r="AB50" i="6"/>
  <c r="R51" i="6"/>
  <c r="S51" i="6"/>
  <c r="U51" i="6"/>
  <c r="V51" i="6"/>
  <c r="W51" i="6"/>
  <c r="Y51" i="6"/>
  <c r="Z51" i="6"/>
  <c r="AA51" i="6"/>
  <c r="R52" i="6"/>
  <c r="S52" i="6"/>
  <c r="T52" i="6"/>
  <c r="U52" i="6"/>
  <c r="V52" i="6"/>
  <c r="W52" i="6"/>
  <c r="X52" i="6"/>
  <c r="Y52" i="6"/>
  <c r="Z52" i="6"/>
  <c r="AA52" i="6"/>
  <c r="AB52" i="6"/>
  <c r="R53" i="6"/>
  <c r="S53" i="6"/>
  <c r="U53" i="6"/>
  <c r="V53" i="6"/>
  <c r="W53" i="6"/>
  <c r="Y53" i="6"/>
  <c r="Z53" i="6"/>
  <c r="AA53" i="6"/>
  <c r="R54" i="6"/>
  <c r="S54" i="6"/>
  <c r="T54" i="6"/>
  <c r="U54" i="6"/>
  <c r="V54" i="6"/>
  <c r="W54" i="6"/>
  <c r="X54" i="6"/>
  <c r="Y54" i="6"/>
  <c r="Z54" i="6"/>
  <c r="AA54" i="6"/>
  <c r="AB54" i="6"/>
  <c r="R55" i="6"/>
  <c r="T55" i="6"/>
  <c r="U55" i="6"/>
  <c r="V55" i="6"/>
  <c r="X55" i="6"/>
  <c r="Y55" i="6"/>
  <c r="AB55" i="6"/>
  <c r="R34" i="6"/>
  <c r="S34" i="6"/>
  <c r="T34" i="6"/>
  <c r="U34" i="6"/>
  <c r="V34" i="6"/>
  <c r="W34" i="6"/>
  <c r="X34" i="6"/>
  <c r="Y34" i="6"/>
  <c r="Z34" i="6"/>
  <c r="AA34" i="6"/>
  <c r="AB34" i="6"/>
  <c r="Q55" i="6"/>
  <c r="Q54" i="6"/>
  <c r="Q53" i="6"/>
  <c r="Q52" i="6"/>
  <c r="Q51" i="6"/>
  <c r="Q50" i="6"/>
  <c r="Q49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R33" i="6"/>
  <c r="S33" i="6"/>
  <c r="T33" i="6"/>
  <c r="U33" i="6"/>
  <c r="V33" i="6"/>
  <c r="W33" i="6"/>
  <c r="X33" i="6"/>
  <c r="Y33" i="6"/>
  <c r="Z33" i="6"/>
  <c r="AA33" i="6"/>
  <c r="AB33" i="6"/>
  <c r="Q33" i="6"/>
  <c r="AJ55" i="7" l="1"/>
  <c r="AJ54" i="7"/>
  <c r="AJ53" i="7"/>
  <c r="AJ52" i="7"/>
  <c r="AJ51" i="7"/>
  <c r="AJ50" i="7"/>
  <c r="AJ49" i="7"/>
  <c r="AJ48" i="7"/>
  <c r="AJ47" i="7"/>
  <c r="AJ46" i="7"/>
  <c r="AJ45" i="7"/>
  <c r="AJ44" i="7"/>
  <c r="AJ43" i="7"/>
  <c r="AJ42" i="7"/>
  <c r="AJ41" i="7"/>
  <c r="AJ40" i="7"/>
  <c r="AJ39" i="7"/>
  <c r="AJ38" i="7"/>
  <c r="AJ37" i="7"/>
  <c r="AJ36" i="7"/>
  <c r="AJ35" i="7"/>
  <c r="AJ34" i="7"/>
  <c r="AJ33" i="7"/>
  <c r="AT20" i="6" l="1"/>
  <c r="AT21" i="6"/>
  <c r="AT22" i="6"/>
  <c r="AT23" i="6"/>
  <c r="AT24" i="6"/>
  <c r="AT25" i="6"/>
  <c r="AT26" i="6"/>
  <c r="AT27" i="6"/>
  <c r="AT6" i="6"/>
  <c r="AT7" i="6"/>
  <c r="AT8" i="6"/>
  <c r="AT9" i="6"/>
  <c r="AT10" i="6"/>
  <c r="AT11" i="6"/>
  <c r="AT12" i="6"/>
  <c r="AT13" i="6"/>
  <c r="AT14" i="6"/>
  <c r="AT15" i="6"/>
  <c r="AT16" i="6"/>
  <c r="AT17" i="6"/>
  <c r="AT18" i="6"/>
  <c r="AT19" i="6"/>
  <c r="BC27" i="7"/>
  <c r="Q73" i="7"/>
  <c r="Q74" i="7"/>
  <c r="Q72" i="7"/>
  <c r="P68" i="7"/>
  <c r="P69" i="7"/>
  <c r="P70" i="7"/>
  <c r="P71" i="7"/>
  <c r="O69" i="7"/>
  <c r="O70" i="7"/>
  <c r="O71" i="7"/>
  <c r="O55" i="7"/>
  <c r="P55" i="7"/>
  <c r="Q55" i="7"/>
  <c r="O56" i="7"/>
  <c r="P56" i="7"/>
  <c r="Q56" i="7"/>
  <c r="O57" i="7"/>
  <c r="P57" i="7"/>
  <c r="O58" i="7"/>
  <c r="P58" i="7"/>
  <c r="O59" i="7"/>
  <c r="P59" i="7"/>
  <c r="O60" i="7"/>
  <c r="P60" i="7"/>
  <c r="AG24" i="7" s="1"/>
  <c r="Q60" i="7"/>
  <c r="O61" i="7"/>
  <c r="P61" i="7"/>
  <c r="Q61" i="7"/>
  <c r="AH24" i="7" s="1"/>
  <c r="O62" i="7"/>
  <c r="P62" i="7"/>
  <c r="Q62" i="7"/>
  <c r="O63" i="7"/>
  <c r="P63" i="7"/>
  <c r="Q63" i="7"/>
  <c r="O64" i="7"/>
  <c r="P64" i="7"/>
  <c r="Q64" i="7"/>
  <c r="O65" i="7"/>
  <c r="P65" i="7"/>
  <c r="Q65" i="7"/>
  <c r="O66" i="7"/>
  <c r="P66" i="7"/>
  <c r="Q66" i="7"/>
  <c r="O67" i="7"/>
  <c r="P67" i="7"/>
  <c r="Q67" i="7"/>
  <c r="O68" i="7"/>
  <c r="Q68" i="7"/>
  <c r="P54" i="7"/>
  <c r="Q5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AG20" i="7" s="1"/>
  <c r="P49" i="7"/>
  <c r="P50" i="7"/>
  <c r="P51" i="7"/>
  <c r="P52" i="7"/>
  <c r="P53" i="7"/>
  <c r="O36" i="7"/>
  <c r="O37" i="7"/>
  <c r="O38" i="7"/>
  <c r="O39" i="7"/>
  <c r="O40" i="7"/>
  <c r="O41" i="7"/>
  <c r="O42" i="7"/>
  <c r="AF18" i="7" s="1"/>
  <c r="O43" i="7"/>
  <c r="O44" i="7"/>
  <c r="O45" i="7"/>
  <c r="O46" i="7"/>
  <c r="O47" i="7"/>
  <c r="O48" i="7"/>
  <c r="O49" i="7"/>
  <c r="O50" i="7"/>
  <c r="O51" i="7"/>
  <c r="O52" i="7"/>
  <c r="O53" i="7"/>
  <c r="O54" i="7"/>
  <c r="AF22" i="7" s="1"/>
  <c r="Q43" i="7"/>
  <c r="Q44" i="7"/>
  <c r="Q45" i="7"/>
  <c r="Q46" i="7"/>
  <c r="Q47" i="7"/>
  <c r="Q48" i="7"/>
  <c r="Q49" i="7"/>
  <c r="Q50" i="7"/>
  <c r="Q51" i="7"/>
  <c r="Q52" i="7"/>
  <c r="Q53" i="7"/>
  <c r="Q31" i="7"/>
  <c r="Q32" i="7"/>
  <c r="Q33" i="7"/>
  <c r="Q34" i="7"/>
  <c r="Q35" i="7"/>
  <c r="Q36" i="7"/>
  <c r="Q37" i="7"/>
  <c r="Q38" i="7"/>
  <c r="Q30" i="7"/>
  <c r="Q25" i="7"/>
  <c r="Q26" i="7"/>
  <c r="M69" i="7"/>
  <c r="M70" i="7"/>
  <c r="M71" i="7"/>
  <c r="K67" i="7"/>
  <c r="K68" i="7"/>
  <c r="K69" i="7"/>
  <c r="K70" i="7"/>
  <c r="K71" i="7"/>
  <c r="K72" i="7"/>
  <c r="K73" i="7"/>
  <c r="K74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L51" i="7"/>
  <c r="L52" i="7"/>
  <c r="L53" i="7"/>
  <c r="L54" i="7"/>
  <c r="L55" i="7"/>
  <c r="L56" i="7"/>
  <c r="L57" i="7"/>
  <c r="L58" i="7"/>
  <c r="L59" i="7"/>
  <c r="K42" i="7"/>
  <c r="K43" i="7"/>
  <c r="K44" i="7"/>
  <c r="I45" i="7"/>
  <c r="I46" i="7"/>
  <c r="I47" i="7"/>
  <c r="J56" i="7"/>
  <c r="I63" i="7"/>
  <c r="I68" i="7"/>
  <c r="I71" i="7"/>
  <c r="H43" i="7"/>
  <c r="H33" i="7"/>
  <c r="H34" i="7"/>
  <c r="H35" i="7"/>
  <c r="H36" i="7"/>
  <c r="H31" i="7"/>
  <c r="C51" i="7"/>
  <c r="C6" i="7"/>
  <c r="C7" i="7"/>
  <c r="C8" i="7"/>
  <c r="E24" i="7"/>
  <c r="AH28" i="7" l="1"/>
  <c r="AG22" i="7"/>
  <c r="AF27" i="7"/>
  <c r="AH19" i="7"/>
  <c r="AF19" i="7"/>
  <c r="AH20" i="7"/>
  <c r="AG21" i="7"/>
  <c r="AG17" i="7"/>
  <c r="AH26" i="7"/>
  <c r="AF24" i="7"/>
  <c r="AH21" i="7"/>
  <c r="AG18" i="7"/>
  <c r="AH22" i="7"/>
  <c r="AG26" i="7"/>
  <c r="AF25" i="7"/>
  <c r="AH25" i="7"/>
  <c r="AF20" i="7"/>
  <c r="AD28" i="7"/>
  <c r="AH18" i="7"/>
  <c r="AF21" i="7"/>
  <c r="AG19" i="7"/>
  <c r="AF26" i="7"/>
  <c r="AG25" i="7"/>
  <c r="AG27" i="7"/>
  <c r="AF23" i="7"/>
  <c r="AG23" i="7"/>
  <c r="BF43" i="7" l="1"/>
  <c r="BF42" i="7"/>
  <c r="BF41" i="7"/>
  <c r="BF40" i="7"/>
  <c r="BF39" i="7"/>
  <c r="BF38" i="7"/>
  <c r="BF37" i="7"/>
  <c r="BF36" i="7"/>
  <c r="BF35" i="7"/>
  <c r="BF34" i="7"/>
  <c r="BF33" i="7"/>
  <c r="BF31" i="7"/>
  <c r="AV43" i="6"/>
  <c r="AV42" i="6"/>
  <c r="AV41" i="6"/>
  <c r="AV40" i="6"/>
  <c r="AV39" i="6"/>
  <c r="AV38" i="6"/>
  <c r="AV37" i="6"/>
  <c r="AV36" i="6"/>
  <c r="AV35" i="6"/>
  <c r="AV34" i="6"/>
  <c r="AV33" i="6"/>
  <c r="AV31" i="6"/>
  <c r="BA17" i="7" l="1"/>
  <c r="BA18" i="7"/>
  <c r="BA19" i="7"/>
  <c r="BA20" i="7"/>
  <c r="BA21" i="7"/>
  <c r="BA22" i="7"/>
  <c r="BA23" i="7"/>
  <c r="BA24" i="7"/>
  <c r="BA25" i="7"/>
  <c r="BA26" i="7"/>
  <c r="BD17" i="7"/>
  <c r="BD18" i="7"/>
  <c r="BD19" i="7"/>
  <c r="BD20" i="7"/>
  <c r="BD21" i="7"/>
  <c r="BD22" i="7"/>
  <c r="BD23" i="7"/>
  <c r="BD24" i="7"/>
  <c r="BD25" i="7"/>
  <c r="BD26" i="7"/>
  <c r="BD27" i="7"/>
  <c r="AZ17" i="7"/>
  <c r="AZ18" i="7"/>
  <c r="AZ19" i="7"/>
  <c r="AZ20" i="7"/>
  <c r="AZ21" i="7"/>
  <c r="AZ22" i="7"/>
  <c r="AZ23" i="7"/>
  <c r="AZ24" i="7"/>
  <c r="AZ25" i="7"/>
  <c r="AZ26" i="7"/>
  <c r="AZ27" i="7"/>
  <c r="AG16" i="7"/>
  <c r="AH16" i="7"/>
  <c r="AH15" i="7"/>
  <c r="AH14" i="7"/>
  <c r="AF17" i="7"/>
  <c r="AF16" i="7"/>
  <c r="O30" i="7"/>
  <c r="P30" i="7"/>
  <c r="O31" i="7"/>
  <c r="P31" i="7"/>
  <c r="O32" i="7"/>
  <c r="P32" i="7"/>
  <c r="O33" i="7"/>
  <c r="P33" i="7"/>
  <c r="O34" i="7"/>
  <c r="P34" i="7"/>
  <c r="O35" i="7"/>
  <c r="Q39" i="7"/>
  <c r="Q40" i="7"/>
  <c r="Q41" i="7"/>
  <c r="O7" i="7"/>
  <c r="P7" i="7"/>
  <c r="O8" i="7"/>
  <c r="P8" i="7"/>
  <c r="O9" i="7"/>
  <c r="P9" i="7"/>
  <c r="O10" i="7"/>
  <c r="P10" i="7"/>
  <c r="O11" i="7"/>
  <c r="P11" i="7"/>
  <c r="O12" i="7"/>
  <c r="P12" i="7"/>
  <c r="O13" i="7"/>
  <c r="P13" i="7"/>
  <c r="O14" i="7"/>
  <c r="P14" i="7"/>
  <c r="O15" i="7"/>
  <c r="P15" i="7"/>
  <c r="Q15" i="7"/>
  <c r="O16" i="7"/>
  <c r="P16" i="7"/>
  <c r="Q16" i="7"/>
  <c r="O17" i="7"/>
  <c r="P17" i="7"/>
  <c r="Q17" i="7"/>
  <c r="O18" i="7"/>
  <c r="P18" i="7"/>
  <c r="Q18" i="7"/>
  <c r="O19" i="7"/>
  <c r="P19" i="7"/>
  <c r="Q19" i="7"/>
  <c r="O20" i="7"/>
  <c r="P20" i="7"/>
  <c r="Q20" i="7"/>
  <c r="O21" i="7"/>
  <c r="P21" i="7"/>
  <c r="Q21" i="7"/>
  <c r="O22" i="7"/>
  <c r="P22" i="7"/>
  <c r="Q22" i="7"/>
  <c r="O23" i="7"/>
  <c r="P23" i="7"/>
  <c r="Q23" i="7"/>
  <c r="O24" i="7"/>
  <c r="P24" i="7"/>
  <c r="Q24" i="7"/>
  <c r="AH12" i="7" s="1"/>
  <c r="O25" i="7"/>
  <c r="P25" i="7"/>
  <c r="O26" i="7"/>
  <c r="P26" i="7"/>
  <c r="O27" i="7"/>
  <c r="P27" i="7"/>
  <c r="O28" i="7"/>
  <c r="P28" i="7"/>
  <c r="O29" i="7"/>
  <c r="P29" i="7"/>
  <c r="O6" i="7"/>
  <c r="AF6" i="7" s="1"/>
  <c r="P6" i="7"/>
  <c r="N74" i="7"/>
  <c r="J74" i="7"/>
  <c r="H74" i="7"/>
  <c r="G74" i="7"/>
  <c r="F74" i="7"/>
  <c r="D74" i="7"/>
  <c r="C74" i="7"/>
  <c r="N73" i="7"/>
  <c r="J73" i="7"/>
  <c r="H73" i="7"/>
  <c r="G73" i="7"/>
  <c r="F73" i="7"/>
  <c r="D73" i="7"/>
  <c r="C73" i="7"/>
  <c r="N72" i="7"/>
  <c r="J72" i="7"/>
  <c r="H72" i="7"/>
  <c r="G72" i="7"/>
  <c r="F72" i="7"/>
  <c r="D72" i="7"/>
  <c r="C72" i="7"/>
  <c r="N71" i="7"/>
  <c r="L71" i="7"/>
  <c r="J71" i="7"/>
  <c r="H71" i="7"/>
  <c r="G71" i="7"/>
  <c r="F71" i="7"/>
  <c r="E71" i="7"/>
  <c r="D71" i="7"/>
  <c r="C71" i="7"/>
  <c r="N70" i="7"/>
  <c r="L70" i="7"/>
  <c r="J70" i="7"/>
  <c r="I70" i="7"/>
  <c r="H70" i="7"/>
  <c r="G70" i="7"/>
  <c r="F70" i="7"/>
  <c r="E70" i="7"/>
  <c r="D70" i="7"/>
  <c r="C70" i="7"/>
  <c r="N69" i="7"/>
  <c r="L69" i="7"/>
  <c r="AB27" i="7"/>
  <c r="J69" i="7"/>
  <c r="I69" i="7"/>
  <c r="H69" i="7"/>
  <c r="G69" i="7"/>
  <c r="F69" i="7"/>
  <c r="E69" i="7"/>
  <c r="D69" i="7"/>
  <c r="C69" i="7"/>
  <c r="M68" i="7"/>
  <c r="L68" i="7"/>
  <c r="H68" i="7"/>
  <c r="G68" i="7"/>
  <c r="E68" i="7"/>
  <c r="D68" i="7"/>
  <c r="C68" i="7"/>
  <c r="M67" i="7"/>
  <c r="L67" i="7"/>
  <c r="I67" i="7"/>
  <c r="H67" i="7"/>
  <c r="G67" i="7"/>
  <c r="E67" i="7"/>
  <c r="D67" i="7"/>
  <c r="C67" i="7"/>
  <c r="M66" i="7"/>
  <c r="L66" i="7"/>
  <c r="I66" i="7"/>
  <c r="Z26" i="7" s="1"/>
  <c r="H66" i="7"/>
  <c r="G66" i="7"/>
  <c r="E66" i="7"/>
  <c r="D66" i="7"/>
  <c r="C66" i="7"/>
  <c r="T26" i="7" s="1"/>
  <c r="N65" i="7"/>
  <c r="M65" i="7"/>
  <c r="L65" i="7"/>
  <c r="J65" i="7"/>
  <c r="I65" i="7"/>
  <c r="H65" i="7"/>
  <c r="G65" i="7"/>
  <c r="F65" i="7"/>
  <c r="E65" i="7"/>
  <c r="D65" i="7"/>
  <c r="C65" i="7"/>
  <c r="N64" i="7"/>
  <c r="M64" i="7"/>
  <c r="L64" i="7"/>
  <c r="J64" i="7"/>
  <c r="I64" i="7"/>
  <c r="H64" i="7"/>
  <c r="G64" i="7"/>
  <c r="F64" i="7"/>
  <c r="E64" i="7"/>
  <c r="D64" i="7"/>
  <c r="C64" i="7"/>
  <c r="N63" i="7"/>
  <c r="M63" i="7"/>
  <c r="L63" i="7"/>
  <c r="AB25" i="7"/>
  <c r="J63" i="7"/>
  <c r="H63" i="7"/>
  <c r="G63" i="7"/>
  <c r="F63" i="7"/>
  <c r="E63" i="7"/>
  <c r="D63" i="7"/>
  <c r="C63" i="7"/>
  <c r="M62" i="7"/>
  <c r="L62" i="7"/>
  <c r="I62" i="7"/>
  <c r="H62" i="7"/>
  <c r="G62" i="7"/>
  <c r="E62" i="7"/>
  <c r="D62" i="7"/>
  <c r="C62" i="7"/>
  <c r="M61" i="7"/>
  <c r="L61" i="7"/>
  <c r="I61" i="7"/>
  <c r="H61" i="7"/>
  <c r="G61" i="7"/>
  <c r="E61" i="7"/>
  <c r="D61" i="7"/>
  <c r="C61" i="7"/>
  <c r="M60" i="7"/>
  <c r="L60" i="7"/>
  <c r="AB24" i="7"/>
  <c r="I60" i="7"/>
  <c r="H60" i="7"/>
  <c r="G60" i="7"/>
  <c r="E60" i="7"/>
  <c r="D60" i="7"/>
  <c r="C60" i="7"/>
  <c r="N59" i="7"/>
  <c r="M59" i="7"/>
  <c r="J59" i="7"/>
  <c r="I59" i="7"/>
  <c r="H59" i="7"/>
  <c r="G59" i="7"/>
  <c r="F59" i="7"/>
  <c r="E59" i="7"/>
  <c r="D59" i="7"/>
  <c r="C59" i="7"/>
  <c r="N58" i="7"/>
  <c r="M58" i="7"/>
  <c r="J58" i="7"/>
  <c r="I58" i="7"/>
  <c r="H58" i="7"/>
  <c r="G58" i="7"/>
  <c r="F58" i="7"/>
  <c r="E58" i="7"/>
  <c r="D58" i="7"/>
  <c r="C58" i="7"/>
  <c r="N57" i="7"/>
  <c r="M57" i="7"/>
  <c r="J57" i="7"/>
  <c r="AA23" i="7" s="1"/>
  <c r="I57" i="7"/>
  <c r="H57" i="7"/>
  <c r="G57" i="7"/>
  <c r="F57" i="7"/>
  <c r="W23" i="7" s="1"/>
  <c r="E57" i="7"/>
  <c r="D57" i="7"/>
  <c r="C57" i="7"/>
  <c r="N56" i="7"/>
  <c r="M56" i="7"/>
  <c r="I56" i="7"/>
  <c r="H56" i="7"/>
  <c r="G56" i="7"/>
  <c r="F56" i="7"/>
  <c r="E56" i="7"/>
  <c r="D56" i="7"/>
  <c r="C56" i="7"/>
  <c r="N55" i="7"/>
  <c r="M55" i="7"/>
  <c r="J55" i="7"/>
  <c r="I55" i="7"/>
  <c r="H55" i="7"/>
  <c r="G55" i="7"/>
  <c r="F55" i="7"/>
  <c r="E55" i="7"/>
  <c r="D55" i="7"/>
  <c r="C55" i="7"/>
  <c r="N54" i="7"/>
  <c r="M54" i="7"/>
  <c r="AB22" i="7"/>
  <c r="J54" i="7"/>
  <c r="I54" i="7"/>
  <c r="H54" i="7"/>
  <c r="G54" i="7"/>
  <c r="F54" i="7"/>
  <c r="E54" i="7"/>
  <c r="D54" i="7"/>
  <c r="C54" i="7"/>
  <c r="N53" i="7"/>
  <c r="M53" i="7"/>
  <c r="J53" i="7"/>
  <c r="I53" i="7"/>
  <c r="H53" i="7"/>
  <c r="G53" i="7"/>
  <c r="F53" i="7"/>
  <c r="E53" i="7"/>
  <c r="D53" i="7"/>
  <c r="C53" i="7"/>
  <c r="N52" i="7"/>
  <c r="M52" i="7"/>
  <c r="J52" i="7"/>
  <c r="I52" i="7"/>
  <c r="H52" i="7"/>
  <c r="G52" i="7"/>
  <c r="F52" i="7"/>
  <c r="E52" i="7"/>
  <c r="D52" i="7"/>
  <c r="C52" i="7"/>
  <c r="N51" i="7"/>
  <c r="M51" i="7"/>
  <c r="K51" i="7"/>
  <c r="AB21" i="7" s="1"/>
  <c r="J51" i="7"/>
  <c r="I51" i="7"/>
  <c r="H51" i="7"/>
  <c r="G51" i="7"/>
  <c r="F51" i="7"/>
  <c r="E51" i="7"/>
  <c r="D51" i="7"/>
  <c r="N50" i="7"/>
  <c r="M50" i="7"/>
  <c r="L50" i="7"/>
  <c r="K50" i="7"/>
  <c r="J50" i="7"/>
  <c r="I50" i="7"/>
  <c r="H50" i="7"/>
  <c r="G50" i="7"/>
  <c r="F50" i="7"/>
  <c r="E50" i="7"/>
  <c r="D50" i="7"/>
  <c r="C50" i="7"/>
  <c r="N49" i="7"/>
  <c r="M49" i="7"/>
  <c r="L49" i="7"/>
  <c r="K49" i="7"/>
  <c r="J49" i="7"/>
  <c r="I49" i="7"/>
  <c r="H49" i="7"/>
  <c r="G49" i="7"/>
  <c r="F49" i="7"/>
  <c r="E49" i="7"/>
  <c r="D49" i="7"/>
  <c r="C49" i="7"/>
  <c r="N48" i="7"/>
  <c r="AE20" i="7" s="1"/>
  <c r="M48" i="7"/>
  <c r="AD20" i="7" s="1"/>
  <c r="L48" i="7"/>
  <c r="AC20" i="7" s="1"/>
  <c r="K48" i="7"/>
  <c r="AB20" i="7" s="1"/>
  <c r="J48" i="7"/>
  <c r="AA20" i="7" s="1"/>
  <c r="I48" i="7"/>
  <c r="H48" i="7"/>
  <c r="Y20" i="7" s="1"/>
  <c r="G48" i="7"/>
  <c r="X20" i="7" s="1"/>
  <c r="F48" i="7"/>
  <c r="W20" i="7" s="1"/>
  <c r="E48" i="7"/>
  <c r="V20" i="7" s="1"/>
  <c r="D48" i="7"/>
  <c r="U20" i="7" s="1"/>
  <c r="C48" i="7"/>
  <c r="T20" i="7" s="1"/>
  <c r="N47" i="7"/>
  <c r="M47" i="7"/>
  <c r="L47" i="7"/>
  <c r="K47" i="7"/>
  <c r="J47" i="7"/>
  <c r="H47" i="7"/>
  <c r="G47" i="7"/>
  <c r="F47" i="7"/>
  <c r="E47" i="7"/>
  <c r="D47" i="7"/>
  <c r="C47" i="7"/>
  <c r="N46" i="7"/>
  <c r="M46" i="7"/>
  <c r="L46" i="7"/>
  <c r="K46" i="7"/>
  <c r="J46" i="7"/>
  <c r="H46" i="7"/>
  <c r="G46" i="7"/>
  <c r="F46" i="7"/>
  <c r="E46" i="7"/>
  <c r="D46" i="7"/>
  <c r="C46" i="7"/>
  <c r="N45" i="7"/>
  <c r="M45" i="7"/>
  <c r="L45" i="7"/>
  <c r="K45" i="7"/>
  <c r="J45" i="7"/>
  <c r="Z19" i="7"/>
  <c r="H45" i="7"/>
  <c r="G45" i="7"/>
  <c r="F45" i="7"/>
  <c r="E45" i="7"/>
  <c r="D45" i="7"/>
  <c r="C45" i="7"/>
  <c r="N44" i="7"/>
  <c r="M44" i="7"/>
  <c r="L44" i="7"/>
  <c r="J44" i="7"/>
  <c r="I44" i="7"/>
  <c r="H44" i="7"/>
  <c r="G44" i="7"/>
  <c r="F44" i="7"/>
  <c r="E44" i="7"/>
  <c r="D44" i="7"/>
  <c r="C44" i="7"/>
  <c r="N43" i="7"/>
  <c r="M43" i="7"/>
  <c r="L43" i="7"/>
  <c r="J43" i="7"/>
  <c r="I43" i="7"/>
  <c r="G43" i="7"/>
  <c r="F43" i="7"/>
  <c r="E43" i="7"/>
  <c r="D43" i="7"/>
  <c r="C43" i="7"/>
  <c r="N42" i="7"/>
  <c r="M42" i="7"/>
  <c r="L42" i="7"/>
  <c r="AB18" i="7"/>
  <c r="J42" i="7"/>
  <c r="I42" i="7"/>
  <c r="H42" i="7"/>
  <c r="G42" i="7"/>
  <c r="F42" i="7"/>
  <c r="E42" i="7"/>
  <c r="D42" i="7"/>
  <c r="C42" i="7"/>
  <c r="N41" i="7"/>
  <c r="M41" i="7"/>
  <c r="L41" i="7"/>
  <c r="K41" i="7"/>
  <c r="J41" i="7"/>
  <c r="I41" i="7"/>
  <c r="H41" i="7"/>
  <c r="G41" i="7"/>
  <c r="F41" i="7"/>
  <c r="E41" i="7"/>
  <c r="D41" i="7"/>
  <c r="C41" i="7"/>
  <c r="N40" i="7"/>
  <c r="M40" i="7"/>
  <c r="L40" i="7"/>
  <c r="K40" i="7"/>
  <c r="J40" i="7"/>
  <c r="I40" i="7"/>
  <c r="H40" i="7"/>
  <c r="G40" i="7"/>
  <c r="F40" i="7"/>
  <c r="E40" i="7"/>
  <c r="D40" i="7"/>
  <c r="C40" i="7"/>
  <c r="N39" i="7"/>
  <c r="AE17" i="7" s="1"/>
  <c r="M39" i="7"/>
  <c r="AD17" i="7" s="1"/>
  <c r="L39" i="7"/>
  <c r="AC17" i="7" s="1"/>
  <c r="K39" i="7"/>
  <c r="AB17" i="7" s="1"/>
  <c r="J39" i="7"/>
  <c r="AA17" i="7" s="1"/>
  <c r="I39" i="7"/>
  <c r="Z17" i="7" s="1"/>
  <c r="H39" i="7"/>
  <c r="G39" i="7"/>
  <c r="X17" i="7" s="1"/>
  <c r="F39" i="7"/>
  <c r="W17" i="7" s="1"/>
  <c r="E39" i="7"/>
  <c r="V17" i="7" s="1"/>
  <c r="D39" i="7"/>
  <c r="U17" i="7" s="1"/>
  <c r="C39" i="7"/>
  <c r="T17" i="7" s="1"/>
  <c r="N38" i="7"/>
  <c r="M38" i="7"/>
  <c r="L38" i="7"/>
  <c r="K38" i="7"/>
  <c r="J38" i="7"/>
  <c r="I38" i="7"/>
  <c r="H38" i="7"/>
  <c r="G38" i="7"/>
  <c r="F38" i="7"/>
  <c r="E38" i="7"/>
  <c r="D38" i="7"/>
  <c r="C38" i="7"/>
  <c r="N37" i="7"/>
  <c r="M37" i="7"/>
  <c r="L37" i="7"/>
  <c r="K37" i="7"/>
  <c r="J37" i="7"/>
  <c r="I37" i="7"/>
  <c r="H37" i="7"/>
  <c r="Y16" i="7" s="1"/>
  <c r="G37" i="7"/>
  <c r="F37" i="7"/>
  <c r="E37" i="7"/>
  <c r="D37" i="7"/>
  <c r="C37" i="7"/>
  <c r="N36" i="7"/>
  <c r="AE16" i="7" s="1"/>
  <c r="M36" i="7"/>
  <c r="AD16" i="7" s="1"/>
  <c r="L36" i="7"/>
  <c r="AC16" i="7" s="1"/>
  <c r="K36" i="7"/>
  <c r="AB16" i="7" s="1"/>
  <c r="J36" i="7"/>
  <c r="AA16" i="7" s="1"/>
  <c r="I36" i="7"/>
  <c r="Z16" i="7" s="1"/>
  <c r="G36" i="7"/>
  <c r="F36" i="7"/>
  <c r="E36" i="7"/>
  <c r="D36" i="7"/>
  <c r="C36" i="7"/>
  <c r="N35" i="7"/>
  <c r="M35" i="7"/>
  <c r="L35" i="7"/>
  <c r="K35" i="7"/>
  <c r="J35" i="7"/>
  <c r="I35" i="7"/>
  <c r="G35" i="7"/>
  <c r="F35" i="7"/>
  <c r="E35" i="7"/>
  <c r="D35" i="7"/>
  <c r="C35" i="7"/>
  <c r="N34" i="7"/>
  <c r="M34" i="7"/>
  <c r="L34" i="7"/>
  <c r="K34" i="7"/>
  <c r="J34" i="7"/>
  <c r="I34" i="7"/>
  <c r="G34" i="7"/>
  <c r="F34" i="7"/>
  <c r="E34" i="7"/>
  <c r="D34" i="7"/>
  <c r="C34" i="7"/>
  <c r="N33" i="7"/>
  <c r="M33" i="7"/>
  <c r="L33" i="7"/>
  <c r="K33" i="7"/>
  <c r="J33" i="7"/>
  <c r="I33" i="7"/>
  <c r="G33" i="7"/>
  <c r="F33" i="7"/>
  <c r="E33" i="7"/>
  <c r="D33" i="7"/>
  <c r="C33" i="7"/>
  <c r="N32" i="7"/>
  <c r="M32" i="7"/>
  <c r="L32" i="7"/>
  <c r="K32" i="7"/>
  <c r="J32" i="7"/>
  <c r="I32" i="7"/>
  <c r="H32" i="7"/>
  <c r="G32" i="7"/>
  <c r="F32" i="7"/>
  <c r="E32" i="7"/>
  <c r="D32" i="7"/>
  <c r="C32" i="7"/>
  <c r="N31" i="7"/>
  <c r="M31" i="7"/>
  <c r="L31" i="7"/>
  <c r="K31" i="7"/>
  <c r="J31" i="7"/>
  <c r="I31" i="7"/>
  <c r="G31" i="7"/>
  <c r="F31" i="7"/>
  <c r="E31" i="7"/>
  <c r="D31" i="7"/>
  <c r="C31" i="7"/>
  <c r="N30" i="7"/>
  <c r="M30" i="7"/>
  <c r="L30" i="7"/>
  <c r="K30" i="7"/>
  <c r="J30" i="7"/>
  <c r="I30" i="7"/>
  <c r="H30" i="7"/>
  <c r="G30" i="7"/>
  <c r="F30" i="7"/>
  <c r="E30" i="7"/>
  <c r="D30" i="7"/>
  <c r="C30" i="7"/>
  <c r="N29" i="7"/>
  <c r="M29" i="7"/>
  <c r="L29" i="7"/>
  <c r="K29" i="7"/>
  <c r="J29" i="7"/>
  <c r="I29" i="7"/>
  <c r="G29" i="7"/>
  <c r="F29" i="7"/>
  <c r="E29" i="7"/>
  <c r="D29" i="7"/>
  <c r="C29" i="7"/>
  <c r="AB28" i="7"/>
  <c r="N28" i="7"/>
  <c r="M28" i="7"/>
  <c r="L28" i="7"/>
  <c r="K28" i="7"/>
  <c r="J28" i="7"/>
  <c r="I28" i="7"/>
  <c r="H28" i="7"/>
  <c r="G28" i="7"/>
  <c r="F28" i="7"/>
  <c r="E28" i="7"/>
  <c r="D28" i="7"/>
  <c r="C28" i="7"/>
  <c r="AI27" i="7"/>
  <c r="AD27" i="7"/>
  <c r="AA27" i="7"/>
  <c r="N27" i="7"/>
  <c r="M27" i="7"/>
  <c r="L27" i="7"/>
  <c r="K27" i="7"/>
  <c r="J27" i="7"/>
  <c r="I27" i="7"/>
  <c r="H27" i="7"/>
  <c r="G27" i="7"/>
  <c r="F27" i="7"/>
  <c r="E27" i="7"/>
  <c r="D27" i="7"/>
  <c r="C27" i="7"/>
  <c r="AI26" i="7"/>
  <c r="AB26" i="7"/>
  <c r="N26" i="7"/>
  <c r="M26" i="7"/>
  <c r="L26" i="7"/>
  <c r="K26" i="7"/>
  <c r="J26" i="7"/>
  <c r="I26" i="7"/>
  <c r="H26" i="7"/>
  <c r="G26" i="7"/>
  <c r="F26" i="7"/>
  <c r="E26" i="7"/>
  <c r="D26" i="7"/>
  <c r="C26" i="7"/>
  <c r="AI25" i="7"/>
  <c r="N25" i="7"/>
  <c r="M25" i="7"/>
  <c r="L25" i="7"/>
  <c r="K25" i="7"/>
  <c r="J25" i="7"/>
  <c r="I25" i="7"/>
  <c r="H25" i="7"/>
  <c r="G25" i="7"/>
  <c r="F25" i="7"/>
  <c r="E25" i="7"/>
  <c r="D25" i="7"/>
  <c r="C25" i="7"/>
  <c r="AI24" i="7"/>
  <c r="AC24" i="7"/>
  <c r="N24" i="7"/>
  <c r="M24" i="7"/>
  <c r="L24" i="7"/>
  <c r="K24" i="7"/>
  <c r="J24" i="7"/>
  <c r="I24" i="7"/>
  <c r="H24" i="7"/>
  <c r="G24" i="7"/>
  <c r="F24" i="7"/>
  <c r="V12" i="7"/>
  <c r="D24" i="7"/>
  <c r="C24" i="7"/>
  <c r="AI23" i="7"/>
  <c r="AC23" i="7"/>
  <c r="AB23" i="7"/>
  <c r="U23" i="7"/>
  <c r="N23" i="7"/>
  <c r="M23" i="7"/>
  <c r="L23" i="7"/>
  <c r="K23" i="7"/>
  <c r="J23" i="7"/>
  <c r="I23" i="7"/>
  <c r="H23" i="7"/>
  <c r="G23" i="7"/>
  <c r="F23" i="7"/>
  <c r="E23" i="7"/>
  <c r="D23" i="7"/>
  <c r="C23" i="7"/>
  <c r="AI22" i="7"/>
  <c r="AC22" i="7"/>
  <c r="N22" i="7"/>
  <c r="M22" i="7"/>
  <c r="L22" i="7"/>
  <c r="K22" i="7"/>
  <c r="J22" i="7"/>
  <c r="I22" i="7"/>
  <c r="H22" i="7"/>
  <c r="G22" i="7"/>
  <c r="F22" i="7"/>
  <c r="E22" i="7"/>
  <c r="D22" i="7"/>
  <c r="C22" i="7"/>
  <c r="AI21" i="7"/>
  <c r="AC21" i="7"/>
  <c r="N21" i="7"/>
  <c r="M21" i="7"/>
  <c r="L21" i="7"/>
  <c r="K21" i="7"/>
  <c r="J21" i="7"/>
  <c r="I21" i="7"/>
  <c r="H21" i="7"/>
  <c r="G21" i="7"/>
  <c r="F21" i="7"/>
  <c r="E21" i="7"/>
  <c r="D21" i="7"/>
  <c r="C21" i="7"/>
  <c r="AI20" i="7"/>
  <c r="N20" i="7"/>
  <c r="M20" i="7"/>
  <c r="L20" i="7"/>
  <c r="K20" i="7"/>
  <c r="J20" i="7"/>
  <c r="I20" i="7"/>
  <c r="H20" i="7"/>
  <c r="G20" i="7"/>
  <c r="F20" i="7"/>
  <c r="E20" i="7"/>
  <c r="D20" i="7"/>
  <c r="C20" i="7"/>
  <c r="AI19" i="7"/>
  <c r="N19" i="7"/>
  <c r="M19" i="7"/>
  <c r="L19" i="7"/>
  <c r="K19" i="7"/>
  <c r="J19" i="7"/>
  <c r="I19" i="7"/>
  <c r="H19" i="7"/>
  <c r="G19" i="7"/>
  <c r="F19" i="7"/>
  <c r="E19" i="7"/>
  <c r="D19" i="7"/>
  <c r="C19" i="7"/>
  <c r="AI18" i="7"/>
  <c r="N18" i="7"/>
  <c r="M18" i="7"/>
  <c r="L18" i="7"/>
  <c r="K18" i="7"/>
  <c r="J18" i="7"/>
  <c r="I18" i="7"/>
  <c r="H18" i="7"/>
  <c r="G18" i="7"/>
  <c r="F18" i="7"/>
  <c r="E18" i="7"/>
  <c r="D18" i="7"/>
  <c r="C18" i="7"/>
  <c r="AI17" i="7"/>
  <c r="Y17" i="7"/>
  <c r="N17" i="7"/>
  <c r="M17" i="7"/>
  <c r="L17" i="7"/>
  <c r="K17" i="7"/>
  <c r="J17" i="7"/>
  <c r="I17" i="7"/>
  <c r="H17" i="7"/>
  <c r="G17" i="7"/>
  <c r="F17" i="7"/>
  <c r="E17" i="7"/>
  <c r="D17" i="7"/>
  <c r="C17" i="7"/>
  <c r="AI16" i="7"/>
  <c r="N16" i="7"/>
  <c r="M16" i="7"/>
  <c r="L16" i="7"/>
  <c r="K16" i="7"/>
  <c r="J16" i="7"/>
  <c r="I16" i="7"/>
  <c r="H16" i="7"/>
  <c r="G16" i="7"/>
  <c r="F16" i="7"/>
  <c r="E16" i="7"/>
  <c r="D16" i="7"/>
  <c r="C16" i="7"/>
  <c r="AI15" i="7"/>
  <c r="Y15" i="7"/>
  <c r="N15" i="7"/>
  <c r="M15" i="7"/>
  <c r="L15" i="7"/>
  <c r="K15" i="7"/>
  <c r="J15" i="7"/>
  <c r="I15" i="7"/>
  <c r="H15" i="7"/>
  <c r="G15" i="7"/>
  <c r="F15" i="7"/>
  <c r="E15" i="7"/>
  <c r="D15" i="7"/>
  <c r="C15" i="7"/>
  <c r="AI14" i="7"/>
  <c r="U14" i="7"/>
  <c r="N14" i="7"/>
  <c r="M14" i="7"/>
  <c r="L14" i="7"/>
  <c r="K14" i="7"/>
  <c r="J14" i="7"/>
  <c r="I14" i="7"/>
  <c r="H14" i="7"/>
  <c r="G14" i="7"/>
  <c r="F14" i="7"/>
  <c r="E14" i="7"/>
  <c r="D14" i="7"/>
  <c r="C14" i="7"/>
  <c r="AI13" i="7"/>
  <c r="N13" i="7"/>
  <c r="M13" i="7"/>
  <c r="L13" i="7"/>
  <c r="K13" i="7"/>
  <c r="J13" i="7"/>
  <c r="I13" i="7"/>
  <c r="H13" i="7"/>
  <c r="G13" i="7"/>
  <c r="F13" i="7"/>
  <c r="E13" i="7"/>
  <c r="D13" i="7"/>
  <c r="C13" i="7"/>
  <c r="AI12" i="7"/>
  <c r="N12" i="7"/>
  <c r="M12" i="7"/>
  <c r="L12" i="7"/>
  <c r="K12" i="7"/>
  <c r="J12" i="7"/>
  <c r="I12" i="7"/>
  <c r="H12" i="7"/>
  <c r="G12" i="7"/>
  <c r="F12" i="7"/>
  <c r="E12" i="7"/>
  <c r="D12" i="7"/>
  <c r="C12" i="7"/>
  <c r="AI11" i="7"/>
  <c r="N11" i="7"/>
  <c r="M11" i="7"/>
  <c r="L11" i="7"/>
  <c r="K11" i="7"/>
  <c r="J11" i="7"/>
  <c r="I11" i="7"/>
  <c r="H11" i="7"/>
  <c r="G11" i="7"/>
  <c r="F11" i="7"/>
  <c r="E11" i="7"/>
  <c r="D11" i="7"/>
  <c r="C11" i="7"/>
  <c r="AI10" i="7"/>
  <c r="N10" i="7"/>
  <c r="M10" i="7"/>
  <c r="L10" i="7"/>
  <c r="K10" i="7"/>
  <c r="J10" i="7"/>
  <c r="I10" i="7"/>
  <c r="H10" i="7"/>
  <c r="G10" i="7"/>
  <c r="F10" i="7"/>
  <c r="E10" i="7"/>
  <c r="D10" i="7"/>
  <c r="C10" i="7"/>
  <c r="AI9" i="7"/>
  <c r="N9" i="7"/>
  <c r="M9" i="7"/>
  <c r="L9" i="7"/>
  <c r="K9" i="7"/>
  <c r="J9" i="7"/>
  <c r="I9" i="7"/>
  <c r="H9" i="7"/>
  <c r="G9" i="7"/>
  <c r="F9" i="7"/>
  <c r="E9" i="7"/>
  <c r="D9" i="7"/>
  <c r="C9" i="7"/>
  <c r="AI8" i="7"/>
  <c r="N8" i="7"/>
  <c r="M8" i="7"/>
  <c r="L8" i="7"/>
  <c r="K8" i="7"/>
  <c r="J8" i="7"/>
  <c r="I8" i="7"/>
  <c r="H8" i="7"/>
  <c r="G8" i="7"/>
  <c r="F8" i="7"/>
  <c r="E8" i="7"/>
  <c r="D8" i="7"/>
  <c r="AI7" i="7"/>
  <c r="N7" i="7"/>
  <c r="M7" i="7"/>
  <c r="L7" i="7"/>
  <c r="K7" i="7"/>
  <c r="J7" i="7"/>
  <c r="I7" i="7"/>
  <c r="H7" i="7"/>
  <c r="G7" i="7"/>
  <c r="F7" i="7"/>
  <c r="E7" i="7"/>
  <c r="D7" i="7"/>
  <c r="AI6" i="7"/>
  <c r="S6" i="7"/>
  <c r="R6" i="7"/>
  <c r="N6" i="7"/>
  <c r="M6" i="7"/>
  <c r="L6" i="7"/>
  <c r="K6" i="7"/>
  <c r="J6" i="7"/>
  <c r="I6" i="7"/>
  <c r="H6" i="7"/>
  <c r="G6" i="7"/>
  <c r="F6" i="7"/>
  <c r="E6" i="7"/>
  <c r="D6" i="7"/>
  <c r="AI5" i="7"/>
  <c r="AT5" i="6"/>
  <c r="F64" i="6"/>
  <c r="G64" i="6"/>
  <c r="H64" i="6"/>
  <c r="I64" i="6"/>
  <c r="J64" i="6"/>
  <c r="K64" i="6"/>
  <c r="L64" i="6"/>
  <c r="M64" i="6"/>
  <c r="N64" i="6"/>
  <c r="F65" i="6"/>
  <c r="G65" i="6"/>
  <c r="H65" i="6"/>
  <c r="I65" i="6"/>
  <c r="J65" i="6"/>
  <c r="K65" i="6"/>
  <c r="L65" i="6"/>
  <c r="M65" i="6"/>
  <c r="N65" i="6"/>
  <c r="G66" i="6"/>
  <c r="H66" i="6"/>
  <c r="I66" i="6"/>
  <c r="K66" i="6"/>
  <c r="L66" i="6"/>
  <c r="M66" i="6"/>
  <c r="G67" i="6"/>
  <c r="H67" i="6"/>
  <c r="I67" i="6"/>
  <c r="K67" i="6"/>
  <c r="L67" i="6"/>
  <c r="M67" i="6"/>
  <c r="G68" i="6"/>
  <c r="H68" i="6"/>
  <c r="I68" i="6"/>
  <c r="K68" i="6"/>
  <c r="L68" i="6"/>
  <c r="M68" i="6"/>
  <c r="F69" i="6"/>
  <c r="G69" i="6"/>
  <c r="H69" i="6"/>
  <c r="I69" i="6"/>
  <c r="J69" i="6"/>
  <c r="K69" i="6"/>
  <c r="L69" i="6"/>
  <c r="M69" i="6"/>
  <c r="N69" i="6"/>
  <c r="F70" i="6"/>
  <c r="G70" i="6"/>
  <c r="H70" i="6"/>
  <c r="I70" i="6"/>
  <c r="J70" i="6"/>
  <c r="K70" i="6"/>
  <c r="L70" i="6"/>
  <c r="M70" i="6"/>
  <c r="N70" i="6"/>
  <c r="F71" i="6"/>
  <c r="G71" i="6"/>
  <c r="H71" i="6"/>
  <c r="I71" i="6"/>
  <c r="J71" i="6"/>
  <c r="K71" i="6"/>
  <c r="L71" i="6"/>
  <c r="M71" i="6"/>
  <c r="N71" i="6"/>
  <c r="F72" i="6"/>
  <c r="G72" i="6"/>
  <c r="H72" i="6"/>
  <c r="J72" i="6"/>
  <c r="K72" i="6"/>
  <c r="N72" i="6"/>
  <c r="F73" i="6"/>
  <c r="G73" i="6"/>
  <c r="H73" i="6"/>
  <c r="J73" i="6"/>
  <c r="K73" i="6"/>
  <c r="N73" i="6"/>
  <c r="F74" i="6"/>
  <c r="G74" i="6"/>
  <c r="H74" i="6"/>
  <c r="J74" i="6"/>
  <c r="K74" i="6"/>
  <c r="N74" i="6"/>
  <c r="F52" i="6"/>
  <c r="G52" i="6"/>
  <c r="H52" i="6"/>
  <c r="I52" i="6"/>
  <c r="J52" i="6"/>
  <c r="K52" i="6"/>
  <c r="L52" i="6"/>
  <c r="M52" i="6"/>
  <c r="N52" i="6"/>
  <c r="F53" i="6"/>
  <c r="G53" i="6"/>
  <c r="H53" i="6"/>
  <c r="I53" i="6"/>
  <c r="J53" i="6"/>
  <c r="K53" i="6"/>
  <c r="L53" i="6"/>
  <c r="M53" i="6"/>
  <c r="N53" i="6"/>
  <c r="F54" i="6"/>
  <c r="G54" i="6"/>
  <c r="H54" i="6"/>
  <c r="I54" i="6"/>
  <c r="J54" i="6"/>
  <c r="K54" i="6"/>
  <c r="L54" i="6"/>
  <c r="M54" i="6"/>
  <c r="N54" i="6"/>
  <c r="F55" i="6"/>
  <c r="G55" i="6"/>
  <c r="H55" i="6"/>
  <c r="I55" i="6"/>
  <c r="J55" i="6"/>
  <c r="K55" i="6"/>
  <c r="L55" i="6"/>
  <c r="M55" i="6"/>
  <c r="N55" i="6"/>
  <c r="F56" i="6"/>
  <c r="G56" i="6"/>
  <c r="H56" i="6"/>
  <c r="I56" i="6"/>
  <c r="J56" i="6"/>
  <c r="K56" i="6"/>
  <c r="L56" i="6"/>
  <c r="M56" i="6"/>
  <c r="N56" i="6"/>
  <c r="F57" i="6"/>
  <c r="G57" i="6"/>
  <c r="H57" i="6"/>
  <c r="I57" i="6"/>
  <c r="J57" i="6"/>
  <c r="K57" i="6"/>
  <c r="L57" i="6"/>
  <c r="M57" i="6"/>
  <c r="N57" i="6"/>
  <c r="F58" i="6"/>
  <c r="G58" i="6"/>
  <c r="H58" i="6"/>
  <c r="I58" i="6"/>
  <c r="J58" i="6"/>
  <c r="K58" i="6"/>
  <c r="L58" i="6"/>
  <c r="M58" i="6"/>
  <c r="N58" i="6"/>
  <c r="F59" i="6"/>
  <c r="G59" i="6"/>
  <c r="H59" i="6"/>
  <c r="I59" i="6"/>
  <c r="J59" i="6"/>
  <c r="K59" i="6"/>
  <c r="L59" i="6"/>
  <c r="M59" i="6"/>
  <c r="N59" i="6"/>
  <c r="G60" i="6"/>
  <c r="H60" i="6"/>
  <c r="I60" i="6"/>
  <c r="K60" i="6"/>
  <c r="L60" i="6"/>
  <c r="M60" i="6"/>
  <c r="G61" i="6"/>
  <c r="H61" i="6"/>
  <c r="I61" i="6"/>
  <c r="K61" i="6"/>
  <c r="L61" i="6"/>
  <c r="M61" i="6"/>
  <c r="G62" i="6"/>
  <c r="H62" i="6"/>
  <c r="I62" i="6"/>
  <c r="K62" i="6"/>
  <c r="L62" i="6"/>
  <c r="M62" i="6"/>
  <c r="F63" i="6"/>
  <c r="G63" i="6"/>
  <c r="H63" i="6"/>
  <c r="I63" i="6"/>
  <c r="J63" i="6"/>
  <c r="K63" i="6"/>
  <c r="L63" i="6"/>
  <c r="M63" i="6"/>
  <c r="AB25" i="6" s="1"/>
  <c r="N63" i="6"/>
  <c r="AC25" i="6" s="1"/>
  <c r="F41" i="6"/>
  <c r="G41" i="6"/>
  <c r="H41" i="6"/>
  <c r="I41" i="6"/>
  <c r="J41" i="6"/>
  <c r="K41" i="6"/>
  <c r="L41" i="6"/>
  <c r="M41" i="6"/>
  <c r="N41" i="6"/>
  <c r="F42" i="6"/>
  <c r="G42" i="6"/>
  <c r="H42" i="6"/>
  <c r="I42" i="6"/>
  <c r="J42" i="6"/>
  <c r="K42" i="6"/>
  <c r="L42" i="6"/>
  <c r="M42" i="6"/>
  <c r="N42" i="6"/>
  <c r="F43" i="6"/>
  <c r="G43" i="6"/>
  <c r="H43" i="6"/>
  <c r="I43" i="6"/>
  <c r="J43" i="6"/>
  <c r="K43" i="6"/>
  <c r="L43" i="6"/>
  <c r="M43" i="6"/>
  <c r="N43" i="6"/>
  <c r="F44" i="6"/>
  <c r="G44" i="6"/>
  <c r="H44" i="6"/>
  <c r="I44" i="6"/>
  <c r="J44" i="6"/>
  <c r="K44" i="6"/>
  <c r="L44" i="6"/>
  <c r="M44" i="6"/>
  <c r="N44" i="6"/>
  <c r="F45" i="6"/>
  <c r="G45" i="6"/>
  <c r="H45" i="6"/>
  <c r="I45" i="6"/>
  <c r="J45" i="6"/>
  <c r="K45" i="6"/>
  <c r="L45" i="6"/>
  <c r="M45" i="6"/>
  <c r="N45" i="6"/>
  <c r="F46" i="6"/>
  <c r="G46" i="6"/>
  <c r="H46" i="6"/>
  <c r="I46" i="6"/>
  <c r="J46" i="6"/>
  <c r="K46" i="6"/>
  <c r="L46" i="6"/>
  <c r="M46" i="6"/>
  <c r="N46" i="6"/>
  <c r="F47" i="6"/>
  <c r="G47" i="6"/>
  <c r="H47" i="6"/>
  <c r="I47" i="6"/>
  <c r="J47" i="6"/>
  <c r="K47" i="6"/>
  <c r="L47" i="6"/>
  <c r="M47" i="6"/>
  <c r="N47" i="6"/>
  <c r="F48" i="6"/>
  <c r="G48" i="6"/>
  <c r="H48" i="6"/>
  <c r="I48" i="6"/>
  <c r="J48" i="6"/>
  <c r="K48" i="6"/>
  <c r="L48" i="6"/>
  <c r="M48" i="6"/>
  <c r="N48" i="6"/>
  <c r="F49" i="6"/>
  <c r="G49" i="6"/>
  <c r="H49" i="6"/>
  <c r="I49" i="6"/>
  <c r="J49" i="6"/>
  <c r="K49" i="6"/>
  <c r="L49" i="6"/>
  <c r="M49" i="6"/>
  <c r="N49" i="6"/>
  <c r="F50" i="6"/>
  <c r="U20" i="6" s="1"/>
  <c r="G50" i="6"/>
  <c r="H50" i="6"/>
  <c r="I50" i="6"/>
  <c r="J50" i="6"/>
  <c r="K50" i="6"/>
  <c r="L50" i="6"/>
  <c r="M50" i="6"/>
  <c r="N50" i="6"/>
  <c r="F51" i="6"/>
  <c r="U21" i="6" s="1"/>
  <c r="G51" i="6"/>
  <c r="H51" i="6"/>
  <c r="I51" i="6"/>
  <c r="X21" i="6" s="1"/>
  <c r="J51" i="6"/>
  <c r="Y21" i="6" s="1"/>
  <c r="K51" i="6"/>
  <c r="L51" i="6"/>
  <c r="AA21" i="6" s="1"/>
  <c r="M51" i="6"/>
  <c r="AB21" i="6" s="1"/>
  <c r="N51" i="6"/>
  <c r="AC21" i="6" s="1"/>
  <c r="F26" i="6"/>
  <c r="G26" i="6"/>
  <c r="H26" i="6"/>
  <c r="I26" i="6"/>
  <c r="J26" i="6"/>
  <c r="K26" i="6"/>
  <c r="L26" i="6"/>
  <c r="M26" i="6"/>
  <c r="N26" i="6"/>
  <c r="F27" i="6"/>
  <c r="G27" i="6"/>
  <c r="H27" i="6"/>
  <c r="I27" i="6"/>
  <c r="J27" i="6"/>
  <c r="K27" i="6"/>
  <c r="L27" i="6"/>
  <c r="M27" i="6"/>
  <c r="N27" i="6"/>
  <c r="F28" i="6"/>
  <c r="G28" i="6"/>
  <c r="H28" i="6"/>
  <c r="I28" i="6"/>
  <c r="J28" i="6"/>
  <c r="K28" i="6"/>
  <c r="L28" i="6"/>
  <c r="M28" i="6"/>
  <c r="N28" i="6"/>
  <c r="F29" i="6"/>
  <c r="G29" i="6"/>
  <c r="H29" i="6"/>
  <c r="I29" i="6"/>
  <c r="J29" i="6"/>
  <c r="K29" i="6"/>
  <c r="L29" i="6"/>
  <c r="M29" i="6"/>
  <c r="N29" i="6"/>
  <c r="F30" i="6"/>
  <c r="G30" i="6"/>
  <c r="H30" i="6"/>
  <c r="I30" i="6"/>
  <c r="J30" i="6"/>
  <c r="K30" i="6"/>
  <c r="L30" i="6"/>
  <c r="M30" i="6"/>
  <c r="N30" i="6"/>
  <c r="F31" i="6"/>
  <c r="G31" i="6"/>
  <c r="H31" i="6"/>
  <c r="I31" i="6"/>
  <c r="J31" i="6"/>
  <c r="K31" i="6"/>
  <c r="L31" i="6"/>
  <c r="M31" i="6"/>
  <c r="N31" i="6"/>
  <c r="F32" i="6"/>
  <c r="U14" i="6" s="1"/>
  <c r="G32" i="6"/>
  <c r="H32" i="6"/>
  <c r="I32" i="6"/>
  <c r="J32" i="6"/>
  <c r="K32" i="6"/>
  <c r="L32" i="6"/>
  <c r="M32" i="6"/>
  <c r="N32" i="6"/>
  <c r="F33" i="6"/>
  <c r="G33" i="6"/>
  <c r="H33" i="6"/>
  <c r="I33" i="6"/>
  <c r="J33" i="6"/>
  <c r="K33" i="6"/>
  <c r="L33" i="6"/>
  <c r="M33" i="6"/>
  <c r="N33" i="6"/>
  <c r="F34" i="6"/>
  <c r="G34" i="6"/>
  <c r="H34" i="6"/>
  <c r="I34" i="6"/>
  <c r="J34" i="6"/>
  <c r="K34" i="6"/>
  <c r="L34" i="6"/>
  <c r="M34" i="6"/>
  <c r="N34" i="6"/>
  <c r="F35" i="6"/>
  <c r="G35" i="6"/>
  <c r="H35" i="6"/>
  <c r="I35" i="6"/>
  <c r="J35" i="6"/>
  <c r="K35" i="6"/>
  <c r="L35" i="6"/>
  <c r="M35" i="6"/>
  <c r="N35" i="6"/>
  <c r="F36" i="6"/>
  <c r="G36" i="6"/>
  <c r="H36" i="6"/>
  <c r="I36" i="6"/>
  <c r="J36" i="6"/>
  <c r="K36" i="6"/>
  <c r="L36" i="6"/>
  <c r="M36" i="6"/>
  <c r="N36" i="6"/>
  <c r="F37" i="6"/>
  <c r="G37" i="6"/>
  <c r="H37" i="6"/>
  <c r="I37" i="6"/>
  <c r="J37" i="6"/>
  <c r="K37" i="6"/>
  <c r="L37" i="6"/>
  <c r="M37" i="6"/>
  <c r="N37" i="6"/>
  <c r="F38" i="6"/>
  <c r="G38" i="6"/>
  <c r="H38" i="6"/>
  <c r="I38" i="6"/>
  <c r="J38" i="6"/>
  <c r="K38" i="6"/>
  <c r="L38" i="6"/>
  <c r="M38" i="6"/>
  <c r="N38" i="6"/>
  <c r="F39" i="6"/>
  <c r="G39" i="6"/>
  <c r="H39" i="6"/>
  <c r="I39" i="6"/>
  <c r="J39" i="6"/>
  <c r="K39" i="6"/>
  <c r="L39" i="6"/>
  <c r="M39" i="6"/>
  <c r="N39" i="6"/>
  <c r="F40" i="6"/>
  <c r="U17" i="6" s="1"/>
  <c r="G40" i="6"/>
  <c r="H40" i="6"/>
  <c r="I40" i="6"/>
  <c r="J40" i="6"/>
  <c r="Y17" i="6" s="1"/>
  <c r="K40" i="6"/>
  <c r="L40" i="6"/>
  <c r="M40" i="6"/>
  <c r="N40" i="6"/>
  <c r="F7" i="6"/>
  <c r="G7" i="6"/>
  <c r="H7" i="6"/>
  <c r="I7" i="6"/>
  <c r="J7" i="6"/>
  <c r="K7" i="6"/>
  <c r="L7" i="6"/>
  <c r="M7" i="6"/>
  <c r="N7" i="6"/>
  <c r="F8" i="6"/>
  <c r="G8" i="6"/>
  <c r="H8" i="6"/>
  <c r="I8" i="6"/>
  <c r="J8" i="6"/>
  <c r="K8" i="6"/>
  <c r="L8" i="6"/>
  <c r="M8" i="6"/>
  <c r="N8" i="6"/>
  <c r="F9" i="6"/>
  <c r="G9" i="6"/>
  <c r="H9" i="6"/>
  <c r="I9" i="6"/>
  <c r="J9" i="6"/>
  <c r="K9" i="6"/>
  <c r="L9" i="6"/>
  <c r="M9" i="6"/>
  <c r="N9" i="6"/>
  <c r="F10" i="6"/>
  <c r="G10" i="6"/>
  <c r="H10" i="6"/>
  <c r="I10" i="6"/>
  <c r="J10" i="6"/>
  <c r="K10" i="6"/>
  <c r="L10" i="6"/>
  <c r="M10" i="6"/>
  <c r="N10" i="6"/>
  <c r="F11" i="6"/>
  <c r="G11" i="6"/>
  <c r="H11" i="6"/>
  <c r="I11" i="6"/>
  <c r="J11" i="6"/>
  <c r="K11" i="6"/>
  <c r="L11" i="6"/>
  <c r="M11" i="6"/>
  <c r="N11" i="6"/>
  <c r="F12" i="6"/>
  <c r="G12" i="6"/>
  <c r="H12" i="6"/>
  <c r="I12" i="6"/>
  <c r="J12" i="6"/>
  <c r="K12" i="6"/>
  <c r="L12" i="6"/>
  <c r="M12" i="6"/>
  <c r="N12" i="6"/>
  <c r="F13" i="6"/>
  <c r="G13" i="6"/>
  <c r="H13" i="6"/>
  <c r="I13" i="6"/>
  <c r="J13" i="6"/>
  <c r="K13" i="6"/>
  <c r="L13" i="6"/>
  <c r="M13" i="6"/>
  <c r="N13" i="6"/>
  <c r="F14" i="6"/>
  <c r="G14" i="6"/>
  <c r="H14" i="6"/>
  <c r="I14" i="6"/>
  <c r="J14" i="6"/>
  <c r="K14" i="6"/>
  <c r="L14" i="6"/>
  <c r="M14" i="6"/>
  <c r="N14" i="6"/>
  <c r="F15" i="6"/>
  <c r="G15" i="6"/>
  <c r="H15" i="6"/>
  <c r="I15" i="6"/>
  <c r="J15" i="6"/>
  <c r="K15" i="6"/>
  <c r="L15" i="6"/>
  <c r="M15" i="6"/>
  <c r="N15" i="6"/>
  <c r="F16" i="6"/>
  <c r="G16" i="6"/>
  <c r="H16" i="6"/>
  <c r="I16" i="6"/>
  <c r="J16" i="6"/>
  <c r="K16" i="6"/>
  <c r="L16" i="6"/>
  <c r="M16" i="6"/>
  <c r="N16" i="6"/>
  <c r="F17" i="6"/>
  <c r="G17" i="6"/>
  <c r="H17" i="6"/>
  <c r="I17" i="6"/>
  <c r="J17" i="6"/>
  <c r="K17" i="6"/>
  <c r="L17" i="6"/>
  <c r="M17" i="6"/>
  <c r="N17" i="6"/>
  <c r="F18" i="6"/>
  <c r="G18" i="6"/>
  <c r="H18" i="6"/>
  <c r="I18" i="6"/>
  <c r="J18" i="6"/>
  <c r="K18" i="6"/>
  <c r="L18" i="6"/>
  <c r="M18" i="6"/>
  <c r="N18" i="6"/>
  <c r="F19" i="6"/>
  <c r="G19" i="6"/>
  <c r="H19" i="6"/>
  <c r="I19" i="6"/>
  <c r="J19" i="6"/>
  <c r="K19" i="6"/>
  <c r="L19" i="6"/>
  <c r="M19" i="6"/>
  <c r="N19" i="6"/>
  <c r="F20" i="6"/>
  <c r="G20" i="6"/>
  <c r="H20" i="6"/>
  <c r="I20" i="6"/>
  <c r="J20" i="6"/>
  <c r="K20" i="6"/>
  <c r="L20" i="6"/>
  <c r="M20" i="6"/>
  <c r="N20" i="6"/>
  <c r="F21" i="6"/>
  <c r="G21" i="6"/>
  <c r="H21" i="6"/>
  <c r="I21" i="6"/>
  <c r="J21" i="6"/>
  <c r="K21" i="6"/>
  <c r="L21" i="6"/>
  <c r="M21" i="6"/>
  <c r="N21" i="6"/>
  <c r="F22" i="6"/>
  <c r="G22" i="6"/>
  <c r="H22" i="6"/>
  <c r="I22" i="6"/>
  <c r="J22" i="6"/>
  <c r="K22" i="6"/>
  <c r="L22" i="6"/>
  <c r="M22" i="6"/>
  <c r="N22" i="6"/>
  <c r="F23" i="6"/>
  <c r="G23" i="6"/>
  <c r="H23" i="6"/>
  <c r="I23" i="6"/>
  <c r="X11" i="6" s="1"/>
  <c r="J23" i="6"/>
  <c r="K23" i="6"/>
  <c r="L23" i="6"/>
  <c r="M23" i="6"/>
  <c r="N23" i="6"/>
  <c r="F24" i="6"/>
  <c r="G24" i="6"/>
  <c r="H24" i="6"/>
  <c r="I24" i="6"/>
  <c r="J24" i="6"/>
  <c r="K24" i="6"/>
  <c r="L24" i="6"/>
  <c r="AA12" i="6" s="1"/>
  <c r="M24" i="6"/>
  <c r="N24" i="6"/>
  <c r="F25" i="6"/>
  <c r="U12" i="6" s="1"/>
  <c r="G25" i="6"/>
  <c r="V12" i="6" s="1"/>
  <c r="H25" i="6"/>
  <c r="I25" i="6"/>
  <c r="J25" i="6"/>
  <c r="K25" i="6"/>
  <c r="L25" i="6"/>
  <c r="M25" i="6"/>
  <c r="N25" i="6"/>
  <c r="M6" i="6"/>
  <c r="N6" i="6"/>
  <c r="AC6" i="6" s="1"/>
  <c r="G6" i="6"/>
  <c r="H6" i="6"/>
  <c r="I6" i="6"/>
  <c r="J6" i="6"/>
  <c r="Y6" i="6" s="1"/>
  <c r="K6" i="6"/>
  <c r="Z6" i="6" s="1"/>
  <c r="L6" i="6"/>
  <c r="AA6" i="6" s="1"/>
  <c r="AD27" i="6"/>
  <c r="AD26" i="6"/>
  <c r="AD25" i="6"/>
  <c r="AD24" i="6"/>
  <c r="AD23" i="6"/>
  <c r="AD22" i="6"/>
  <c r="AD21" i="6"/>
  <c r="AD20" i="6"/>
  <c r="AD19" i="6"/>
  <c r="AD18" i="6"/>
  <c r="AD17" i="6"/>
  <c r="AD16" i="6"/>
  <c r="AD15" i="6"/>
  <c r="AD14" i="6"/>
  <c r="AD13" i="6"/>
  <c r="AD12" i="6"/>
  <c r="AD11" i="6"/>
  <c r="AD10" i="6"/>
  <c r="AD9" i="6"/>
  <c r="AD8" i="6"/>
  <c r="AD7" i="6"/>
  <c r="AD6" i="6"/>
  <c r="AD5" i="6"/>
  <c r="C66" i="6"/>
  <c r="D66" i="6"/>
  <c r="E66" i="6"/>
  <c r="C67" i="6"/>
  <c r="D67" i="6"/>
  <c r="E67" i="6"/>
  <c r="C68" i="6"/>
  <c r="D68" i="6"/>
  <c r="E68" i="6"/>
  <c r="C69" i="6"/>
  <c r="R27" i="6" s="1"/>
  <c r="D69" i="6"/>
  <c r="E69" i="6"/>
  <c r="C70" i="6"/>
  <c r="D70" i="6"/>
  <c r="E70" i="6"/>
  <c r="C71" i="6"/>
  <c r="D71" i="6"/>
  <c r="E71" i="6"/>
  <c r="C72" i="6"/>
  <c r="D72" i="6"/>
  <c r="U28" i="6"/>
  <c r="C73" i="6"/>
  <c r="D73" i="6"/>
  <c r="C74" i="6"/>
  <c r="D74" i="6"/>
  <c r="C47" i="6"/>
  <c r="D47" i="6"/>
  <c r="E47" i="6"/>
  <c r="C48" i="6"/>
  <c r="D48" i="6"/>
  <c r="S20" i="6" s="1"/>
  <c r="E48" i="6"/>
  <c r="C49" i="6"/>
  <c r="D49" i="6"/>
  <c r="E49" i="6"/>
  <c r="C50" i="6"/>
  <c r="D50" i="6"/>
  <c r="E50" i="6"/>
  <c r="D51" i="6"/>
  <c r="E51" i="6"/>
  <c r="C52" i="6"/>
  <c r="D52" i="6"/>
  <c r="E52" i="6"/>
  <c r="C53" i="6"/>
  <c r="D53" i="6"/>
  <c r="E53" i="6"/>
  <c r="C54" i="6"/>
  <c r="D54" i="6"/>
  <c r="E54" i="6"/>
  <c r="C55" i="6"/>
  <c r="D55" i="6"/>
  <c r="E55" i="6"/>
  <c r="C56" i="6"/>
  <c r="D56" i="6"/>
  <c r="E56" i="6"/>
  <c r="C57" i="6"/>
  <c r="D57" i="6"/>
  <c r="E57" i="6"/>
  <c r="C58" i="6"/>
  <c r="D58" i="6"/>
  <c r="E58" i="6"/>
  <c r="C59" i="6"/>
  <c r="D59" i="6"/>
  <c r="E59" i="6"/>
  <c r="C60" i="6"/>
  <c r="D60" i="6"/>
  <c r="E60" i="6"/>
  <c r="C61" i="6"/>
  <c r="D61" i="6"/>
  <c r="E61" i="6"/>
  <c r="C62" i="6"/>
  <c r="D62" i="6"/>
  <c r="E62" i="6"/>
  <c r="C63" i="6"/>
  <c r="D63" i="6"/>
  <c r="E63" i="6"/>
  <c r="C64" i="6"/>
  <c r="D64" i="6"/>
  <c r="E64" i="6"/>
  <c r="C65" i="6"/>
  <c r="D65" i="6"/>
  <c r="E65" i="6"/>
  <c r="C27" i="6"/>
  <c r="D27" i="6"/>
  <c r="E27" i="6"/>
  <c r="C28" i="6"/>
  <c r="D28" i="6"/>
  <c r="E28" i="6"/>
  <c r="C29" i="6"/>
  <c r="D29" i="6"/>
  <c r="E29" i="6"/>
  <c r="C30" i="6"/>
  <c r="D30" i="6"/>
  <c r="E30" i="6"/>
  <c r="C31" i="6"/>
  <c r="D31" i="6"/>
  <c r="E31" i="6"/>
  <c r="C32" i="6"/>
  <c r="D32" i="6"/>
  <c r="E32" i="6"/>
  <c r="C33" i="6"/>
  <c r="D33" i="6"/>
  <c r="E33" i="6"/>
  <c r="C34" i="6"/>
  <c r="D34" i="6"/>
  <c r="E34" i="6"/>
  <c r="C35" i="6"/>
  <c r="D35" i="6"/>
  <c r="E35" i="6"/>
  <c r="C36" i="6"/>
  <c r="D36" i="6"/>
  <c r="E36" i="6"/>
  <c r="C37" i="6"/>
  <c r="D37" i="6"/>
  <c r="E37" i="6"/>
  <c r="C38" i="6"/>
  <c r="D38" i="6"/>
  <c r="E38" i="6"/>
  <c r="C39" i="6"/>
  <c r="D39" i="6"/>
  <c r="E39" i="6"/>
  <c r="C40" i="6"/>
  <c r="D40" i="6"/>
  <c r="E40" i="6"/>
  <c r="C41" i="6"/>
  <c r="D41" i="6"/>
  <c r="E41" i="6"/>
  <c r="C42" i="6"/>
  <c r="D42" i="6"/>
  <c r="E42" i="6"/>
  <c r="C43" i="6"/>
  <c r="D43" i="6"/>
  <c r="E43" i="6"/>
  <c r="C44" i="6"/>
  <c r="D44" i="6"/>
  <c r="E44" i="6"/>
  <c r="C45" i="6"/>
  <c r="D45" i="6"/>
  <c r="E45" i="6"/>
  <c r="C46" i="6"/>
  <c r="D46" i="6"/>
  <c r="E46" i="6"/>
  <c r="C7" i="6"/>
  <c r="D7" i="6"/>
  <c r="E7" i="6"/>
  <c r="C8" i="6"/>
  <c r="D8" i="6"/>
  <c r="E8" i="6"/>
  <c r="C9" i="6"/>
  <c r="D9" i="6"/>
  <c r="E9" i="6"/>
  <c r="T7" i="6" s="1"/>
  <c r="C10" i="6"/>
  <c r="D10" i="6"/>
  <c r="E10" i="6"/>
  <c r="C11" i="6"/>
  <c r="D11" i="6"/>
  <c r="S7" i="6" s="1"/>
  <c r="E11" i="6"/>
  <c r="C12" i="6"/>
  <c r="D12" i="6"/>
  <c r="E12" i="6"/>
  <c r="C13" i="6"/>
  <c r="D13" i="6"/>
  <c r="E13" i="6"/>
  <c r="C14" i="6"/>
  <c r="D14" i="6"/>
  <c r="E14" i="6"/>
  <c r="C15" i="6"/>
  <c r="D15" i="6"/>
  <c r="E15" i="6"/>
  <c r="C16" i="6"/>
  <c r="D16" i="6"/>
  <c r="E16" i="6"/>
  <c r="C17" i="6"/>
  <c r="D17" i="6"/>
  <c r="E17" i="6"/>
  <c r="C18" i="6"/>
  <c r="D18" i="6"/>
  <c r="E18" i="6"/>
  <c r="C19" i="6"/>
  <c r="D19" i="6"/>
  <c r="E19" i="6"/>
  <c r="C20" i="6"/>
  <c r="D20" i="6"/>
  <c r="E20" i="6"/>
  <c r="C21" i="6"/>
  <c r="D21" i="6"/>
  <c r="E21" i="6"/>
  <c r="C22" i="6"/>
  <c r="D22" i="6"/>
  <c r="E22" i="6"/>
  <c r="C23" i="6"/>
  <c r="D23" i="6"/>
  <c r="E23" i="6"/>
  <c r="C24" i="6"/>
  <c r="D24" i="6"/>
  <c r="C25" i="6"/>
  <c r="D25" i="6"/>
  <c r="E25" i="6"/>
  <c r="C26" i="6"/>
  <c r="D26" i="6"/>
  <c r="E26" i="6"/>
  <c r="D6" i="6"/>
  <c r="E6" i="6"/>
  <c r="F6" i="6"/>
  <c r="C6" i="6"/>
  <c r="Q6" i="6"/>
  <c r="P6" i="6"/>
  <c r="V14" i="7" l="1"/>
  <c r="AL19" i="7"/>
  <c r="AK19" i="7"/>
  <c r="AO19" i="7"/>
  <c r="AL16" i="7"/>
  <c r="AO16" i="7"/>
  <c r="AK16" i="7"/>
  <c r="Y18" i="7"/>
  <c r="T23" i="7"/>
  <c r="U28" i="7"/>
  <c r="AC14" i="7"/>
  <c r="U16" i="7"/>
  <c r="U19" i="7"/>
  <c r="Y19" i="7"/>
  <c r="V27" i="7"/>
  <c r="Y23" i="7"/>
  <c r="Z14" i="7"/>
  <c r="AD14" i="7"/>
  <c r="W15" i="7"/>
  <c r="AB15" i="7"/>
  <c r="V16" i="7"/>
  <c r="W18" i="7"/>
  <c r="AC18" i="7"/>
  <c r="U18" i="7"/>
  <c r="V19" i="7"/>
  <c r="AD19" i="7"/>
  <c r="AD21" i="7"/>
  <c r="T21" i="7"/>
  <c r="Y22" i="7"/>
  <c r="X23" i="7"/>
  <c r="AD23" i="7"/>
  <c r="T16" i="7"/>
  <c r="X16" i="7"/>
  <c r="AT15" i="7" s="1"/>
  <c r="T18" i="7"/>
  <c r="X18" i="7"/>
  <c r="X19" i="7"/>
  <c r="Y14" i="7"/>
  <c r="AD22" i="7"/>
  <c r="T25" i="7"/>
  <c r="X25" i="7"/>
  <c r="AC25" i="7"/>
  <c r="W27" i="7"/>
  <c r="W28" i="7"/>
  <c r="AE28" i="7"/>
  <c r="T19" i="7"/>
  <c r="V21" i="7"/>
  <c r="W22" i="7"/>
  <c r="AA25" i="7"/>
  <c r="Z27" i="7"/>
  <c r="V15" i="7"/>
  <c r="AA15" i="7"/>
  <c r="V18" i="7"/>
  <c r="V23" i="7"/>
  <c r="AA28" i="7"/>
  <c r="AG6" i="7"/>
  <c r="AG15" i="7"/>
  <c r="T15" i="7"/>
  <c r="AC15" i="7"/>
  <c r="AE18" i="7"/>
  <c r="AB19" i="7"/>
  <c r="X21" i="7"/>
  <c r="U21" i="7"/>
  <c r="Y21" i="7"/>
  <c r="U22" i="7"/>
  <c r="Y25" i="7"/>
  <c r="AD25" i="7"/>
  <c r="V25" i="7"/>
  <c r="Z25" i="7"/>
  <c r="T27" i="7"/>
  <c r="X27" i="7"/>
  <c r="AC27" i="7"/>
  <c r="X28" i="7"/>
  <c r="AG12" i="7"/>
  <c r="AH11" i="7"/>
  <c r="AF9" i="7"/>
  <c r="AF7" i="7"/>
  <c r="AF15" i="7"/>
  <c r="AB12" i="6"/>
  <c r="AA17" i="6"/>
  <c r="AC10" i="6"/>
  <c r="AA8" i="6"/>
  <c r="AC18" i="6"/>
  <c r="Z8" i="6"/>
  <c r="R21" i="6"/>
  <c r="AC14" i="6"/>
  <c r="U8" i="6"/>
  <c r="X7" i="6"/>
  <c r="AA24" i="6"/>
  <c r="Z12" i="6"/>
  <c r="Z24" i="6"/>
  <c r="S11" i="6"/>
  <c r="T13" i="6"/>
  <c r="T22" i="6"/>
  <c r="AB17" i="6"/>
  <c r="AA16" i="6"/>
  <c r="AB13" i="6"/>
  <c r="AC22" i="6"/>
  <c r="Z28" i="6"/>
  <c r="AB27" i="6"/>
  <c r="X27" i="6"/>
  <c r="T11" i="6"/>
  <c r="R20" i="6"/>
  <c r="AA11" i="6"/>
  <c r="Z10" i="6"/>
  <c r="AB9" i="6"/>
  <c r="AC9" i="6"/>
  <c r="AB8" i="6"/>
  <c r="AA7" i="6"/>
  <c r="Z16" i="6"/>
  <c r="AC15" i="6"/>
  <c r="U15" i="6"/>
  <c r="AB14" i="6"/>
  <c r="AA13" i="6"/>
  <c r="Z20" i="6"/>
  <c r="AA20" i="6"/>
  <c r="AB20" i="6"/>
  <c r="X20" i="6"/>
  <c r="AA19" i="6"/>
  <c r="W19" i="6"/>
  <c r="Z18" i="6"/>
  <c r="AC23" i="6"/>
  <c r="AB22" i="6"/>
  <c r="U27" i="6"/>
  <c r="AA27" i="6"/>
  <c r="W27" i="6"/>
  <c r="AA26" i="6"/>
  <c r="R22" i="6"/>
  <c r="R28" i="6"/>
  <c r="X6" i="6"/>
  <c r="AB6" i="6"/>
  <c r="AP5" i="6" s="1"/>
  <c r="W12" i="6"/>
  <c r="Z11" i="6"/>
  <c r="V11" i="6"/>
  <c r="Y10" i="6"/>
  <c r="U10" i="6"/>
  <c r="X9" i="6"/>
  <c r="W8" i="6"/>
  <c r="U7" i="6"/>
  <c r="Z7" i="6"/>
  <c r="V7" i="6"/>
  <c r="Z17" i="6"/>
  <c r="V17" i="6"/>
  <c r="X16" i="6"/>
  <c r="AC16" i="6"/>
  <c r="Y16" i="6"/>
  <c r="U16" i="6"/>
  <c r="W15" i="6"/>
  <c r="AB15" i="6"/>
  <c r="X15" i="6"/>
  <c r="AA14" i="6"/>
  <c r="W14" i="6"/>
  <c r="Z13" i="6"/>
  <c r="V13" i="6"/>
  <c r="W20" i="6"/>
  <c r="U19" i="6"/>
  <c r="Z19" i="6"/>
  <c r="V19" i="6"/>
  <c r="Y18" i="6"/>
  <c r="AA25" i="6"/>
  <c r="W25" i="6"/>
  <c r="AB23" i="6"/>
  <c r="AA22" i="6"/>
  <c r="Z27" i="6"/>
  <c r="Z26" i="6"/>
  <c r="Y25" i="6"/>
  <c r="U25" i="6"/>
  <c r="V25" i="6"/>
  <c r="S8" i="6"/>
  <c r="S16" i="6"/>
  <c r="R23" i="6"/>
  <c r="AC11" i="6"/>
  <c r="U11" i="6"/>
  <c r="AB10" i="6"/>
  <c r="AA9" i="6"/>
  <c r="AC7" i="6"/>
  <c r="AC17" i="6"/>
  <c r="AB16" i="6"/>
  <c r="AP15" i="6" s="1"/>
  <c r="AA15" i="6"/>
  <c r="Z14" i="6"/>
  <c r="AC13" i="6"/>
  <c r="U13" i="6"/>
  <c r="AC19" i="6"/>
  <c r="AB18" i="6"/>
  <c r="Z25" i="6"/>
  <c r="U23" i="6"/>
  <c r="AA23" i="6"/>
  <c r="W23" i="6"/>
  <c r="U22" i="6"/>
  <c r="Z22" i="6"/>
  <c r="V22" i="6"/>
  <c r="AC28" i="6"/>
  <c r="AO27" i="6" s="1"/>
  <c r="AH56" i="6" s="1"/>
  <c r="AC27" i="6"/>
  <c r="X26" i="6"/>
  <c r="AB24" i="6"/>
  <c r="AP23" i="6" s="1"/>
  <c r="U6" i="6"/>
  <c r="S9" i="6"/>
  <c r="S18" i="6"/>
  <c r="R17" i="6"/>
  <c r="R12" i="6"/>
  <c r="T18" i="6"/>
  <c r="R16" i="6"/>
  <c r="AC12" i="6"/>
  <c r="AP11" i="6" s="1"/>
  <c r="AB11" i="6"/>
  <c r="AA10" i="6"/>
  <c r="Z9" i="6"/>
  <c r="AO8" i="6" s="1"/>
  <c r="AH37" i="6" s="1"/>
  <c r="AC8" i="6"/>
  <c r="AO7" i="6" s="1"/>
  <c r="AH36" i="6" s="1"/>
  <c r="AB7" i="6"/>
  <c r="Z15" i="6"/>
  <c r="Z21" i="6"/>
  <c r="V21" i="6"/>
  <c r="AC20" i="6"/>
  <c r="AS19" i="6" s="1"/>
  <c r="AB19" i="6"/>
  <c r="AA18" i="6"/>
  <c r="X24" i="6"/>
  <c r="Z23" i="6"/>
  <c r="AB26" i="6"/>
  <c r="V10" i="7"/>
  <c r="AD10" i="7"/>
  <c r="W14" i="7"/>
  <c r="AE14" i="7"/>
  <c r="X15" i="7"/>
  <c r="W16" i="7"/>
  <c r="W19" i="7"/>
  <c r="AA19" i="7"/>
  <c r="AE19" i="7"/>
  <c r="V22" i="7"/>
  <c r="U25" i="7"/>
  <c r="U27" i="7"/>
  <c r="Y27" i="7"/>
  <c r="AQ26" i="7" s="1"/>
  <c r="AG13" i="7"/>
  <c r="AF12" i="7"/>
  <c r="AG11" i="7"/>
  <c r="AH10" i="7"/>
  <c r="AG8" i="7"/>
  <c r="AG14" i="7"/>
  <c r="T14" i="7"/>
  <c r="X14" i="7"/>
  <c r="AE25" i="7"/>
  <c r="AE27" i="7"/>
  <c r="AF13" i="7"/>
  <c r="BD12" i="7" s="1"/>
  <c r="AF11" i="7"/>
  <c r="AG10" i="7"/>
  <c r="AH9" i="7"/>
  <c r="AF8" i="7"/>
  <c r="BD7" i="7" s="1"/>
  <c r="AF14" i="7"/>
  <c r="W21" i="7"/>
  <c r="AA21" i="7"/>
  <c r="T22" i="7"/>
  <c r="X22" i="7"/>
  <c r="AC28" i="7"/>
  <c r="AU27" i="7" s="1"/>
  <c r="AM55" i="7" s="1"/>
  <c r="AF10" i="7"/>
  <c r="AG9" i="7"/>
  <c r="AG7" i="7"/>
  <c r="AH17" i="7"/>
  <c r="BD16" i="7" s="1"/>
  <c r="AZ15" i="7"/>
  <c r="AO5" i="6"/>
  <c r="AH34" i="6" s="1"/>
  <c r="BA12" i="7"/>
  <c r="BD8" i="7"/>
  <c r="AD18" i="7"/>
  <c r="AV17" i="7" s="1"/>
  <c r="Z23" i="7"/>
  <c r="T24" i="7"/>
  <c r="Y24" i="7"/>
  <c r="BD5" i="7"/>
  <c r="BA7" i="7"/>
  <c r="AC19" i="7"/>
  <c r="AB14" i="7"/>
  <c r="U15" i="7"/>
  <c r="Z15" i="7"/>
  <c r="AD15" i="7"/>
  <c r="AE21" i="7"/>
  <c r="AV20" i="7" s="1"/>
  <c r="AA22" i="7"/>
  <c r="BB17" i="7"/>
  <c r="BC17" i="7" s="1"/>
  <c r="BB25" i="7"/>
  <c r="BC25" i="7" s="1"/>
  <c r="BB21" i="7"/>
  <c r="BC21" i="7" s="1"/>
  <c r="BB24" i="7"/>
  <c r="BC24" i="7" s="1"/>
  <c r="BB20" i="7"/>
  <c r="BC20" i="7" s="1"/>
  <c r="BB23" i="7"/>
  <c r="BC23" i="7" s="1"/>
  <c r="BB19" i="7"/>
  <c r="BC19" i="7" s="1"/>
  <c r="BB22" i="7"/>
  <c r="BC22" i="7" s="1"/>
  <c r="BB18" i="7"/>
  <c r="BC18" i="7" s="1"/>
  <c r="BB26" i="7"/>
  <c r="BC26" i="7" s="1"/>
  <c r="Z18" i="7"/>
  <c r="Z21" i="7"/>
  <c r="AE22" i="7"/>
  <c r="AY21" i="7" s="1"/>
  <c r="AE23" i="7"/>
  <c r="AY22" i="7" s="1"/>
  <c r="AZ7" i="7"/>
  <c r="AV21" i="7"/>
  <c r="AZ5" i="7"/>
  <c r="BA5" i="7"/>
  <c r="BA15" i="7"/>
  <c r="BD15" i="7"/>
  <c r="AV26" i="7"/>
  <c r="Z20" i="7"/>
  <c r="AP19" i="7" s="1"/>
  <c r="AL47" i="7" s="1"/>
  <c r="AE15" i="7"/>
  <c r="AY14" i="7" s="1"/>
  <c r="AC9" i="7"/>
  <c r="AP15" i="7"/>
  <c r="AL43" i="7" s="1"/>
  <c r="W25" i="7"/>
  <c r="AE10" i="7"/>
  <c r="AD11" i="7"/>
  <c r="AA12" i="7"/>
  <c r="AE12" i="7"/>
  <c r="U12" i="7"/>
  <c r="U13" i="7"/>
  <c r="Y13" i="7"/>
  <c r="AC13" i="7"/>
  <c r="T28" i="7"/>
  <c r="AB12" i="7"/>
  <c r="AB13" i="7"/>
  <c r="T13" i="7"/>
  <c r="X24" i="7"/>
  <c r="Y26" i="7"/>
  <c r="AD26" i="7"/>
  <c r="AA10" i="7"/>
  <c r="W7" i="7"/>
  <c r="W11" i="7"/>
  <c r="AE11" i="7"/>
  <c r="AE7" i="7"/>
  <c r="AC7" i="7"/>
  <c r="AY13" i="7"/>
  <c r="Y9" i="7"/>
  <c r="X11" i="7"/>
  <c r="AC12" i="7"/>
  <c r="AB8" i="7"/>
  <c r="Z11" i="7"/>
  <c r="AB6" i="7"/>
  <c r="V7" i="7"/>
  <c r="V8" i="7"/>
  <c r="X9" i="7"/>
  <c r="AV16" i="7"/>
  <c r="AY26" i="7"/>
  <c r="U7" i="7"/>
  <c r="Y7" i="7"/>
  <c r="T9" i="7"/>
  <c r="AC10" i="7"/>
  <c r="U11" i="7"/>
  <c r="Y11" i="7"/>
  <c r="AC11" i="7"/>
  <c r="T12" i="7"/>
  <c r="X12" i="7"/>
  <c r="AY16" i="7"/>
  <c r="AY19" i="7"/>
  <c r="Y28" i="7"/>
  <c r="AT27" i="7" s="1"/>
  <c r="Z6" i="7"/>
  <c r="AD6" i="7"/>
  <c r="U8" i="7"/>
  <c r="Y8" i="7"/>
  <c r="AC8" i="7"/>
  <c r="W9" i="7"/>
  <c r="AY17" i="7"/>
  <c r="T11" i="7"/>
  <c r="AB11" i="7"/>
  <c r="AV10" i="7" s="1"/>
  <c r="Z13" i="7"/>
  <c r="AY15" i="7"/>
  <c r="U26" i="7"/>
  <c r="Z10" i="7"/>
  <c r="U6" i="7"/>
  <c r="Z8" i="7"/>
  <c r="X8" i="7"/>
  <c r="AA9" i="7"/>
  <c r="AE9" i="7"/>
  <c r="W10" i="7"/>
  <c r="V11" i="7"/>
  <c r="W12" i="7"/>
  <c r="V13" i="7"/>
  <c r="AB9" i="7"/>
  <c r="T10" i="7"/>
  <c r="X10" i="7"/>
  <c r="AB10" i="7"/>
  <c r="AU19" i="7"/>
  <c r="AM47" i="7" s="1"/>
  <c r="V26" i="7"/>
  <c r="AY20" i="7"/>
  <c r="AE6" i="7"/>
  <c r="T8" i="7"/>
  <c r="U9" i="7"/>
  <c r="AQ16" i="7"/>
  <c r="U10" i="7"/>
  <c r="Y10" i="7"/>
  <c r="AA11" i="7"/>
  <c r="Z12" i="7"/>
  <c r="AD12" i="7"/>
  <c r="Y12" i="7"/>
  <c r="X13" i="7"/>
  <c r="AD13" i="7"/>
  <c r="AT18" i="7"/>
  <c r="AT22" i="7"/>
  <c r="V24" i="7"/>
  <c r="U24" i="7"/>
  <c r="Z24" i="7"/>
  <c r="AP23" i="7" s="1"/>
  <c r="AL51" i="7" s="1"/>
  <c r="AD24" i="7"/>
  <c r="AY23" i="7" s="1"/>
  <c r="X26" i="7"/>
  <c r="AC26" i="7"/>
  <c r="AY27" i="7"/>
  <c r="AV19" i="7"/>
  <c r="AW19" i="7" s="1"/>
  <c r="AX19" i="7" s="1"/>
  <c r="AV15" i="7"/>
  <c r="AU15" i="7"/>
  <c r="AM43" i="7" s="1"/>
  <c r="AV13" i="7"/>
  <c r="AE13" i="7"/>
  <c r="AD9" i="7"/>
  <c r="AD8" i="7"/>
  <c r="AD7" i="7"/>
  <c r="AC6" i="7"/>
  <c r="AP22" i="7"/>
  <c r="AL50" i="7" s="1"/>
  <c r="Z22" i="7"/>
  <c r="AQ19" i="7"/>
  <c r="AP18" i="7"/>
  <c r="AL46" i="7" s="1"/>
  <c r="AA18" i="7"/>
  <c r="AP17" i="7" s="1"/>
  <c r="AL45" i="7" s="1"/>
  <c r="AA14" i="7"/>
  <c r="AA13" i="7"/>
  <c r="Z9" i="7"/>
  <c r="AP8" i="7" s="1"/>
  <c r="AL36" i="7" s="1"/>
  <c r="Z7" i="7"/>
  <c r="AA7" i="7"/>
  <c r="AA6" i="7"/>
  <c r="X6" i="7"/>
  <c r="Y6" i="7"/>
  <c r="T6" i="7"/>
  <c r="W13" i="7"/>
  <c r="V9" i="7"/>
  <c r="V6" i="7"/>
  <c r="W6" i="7"/>
  <c r="AU26" i="7"/>
  <c r="AM54" i="7" s="1"/>
  <c r="AQ22" i="7"/>
  <c r="AT16" i="7"/>
  <c r="AU14" i="7"/>
  <c r="AM42" i="7" s="1"/>
  <c r="AP16" i="7"/>
  <c r="AL44" i="7" s="1"/>
  <c r="AU16" i="7"/>
  <c r="AM44" i="7" s="1"/>
  <c r="AQ18" i="7"/>
  <c r="AU20" i="7"/>
  <c r="AM48" i="7" s="1"/>
  <c r="W8" i="7"/>
  <c r="AA8" i="7"/>
  <c r="AE8" i="7"/>
  <c r="T7" i="7"/>
  <c r="X7" i="7"/>
  <c r="AB7" i="7"/>
  <c r="AU13" i="7"/>
  <c r="AM41" i="7" s="1"/>
  <c r="AV14" i="7"/>
  <c r="AU17" i="7"/>
  <c r="AM45" i="7" s="1"/>
  <c r="AU21" i="7"/>
  <c r="AM49" i="7" s="1"/>
  <c r="AO23" i="6"/>
  <c r="AH52" i="6" s="1"/>
  <c r="Y28" i="6"/>
  <c r="W6" i="6"/>
  <c r="W21" i="6"/>
  <c r="Y19" i="6"/>
  <c r="X18" i="6"/>
  <c r="V23" i="6"/>
  <c r="Y22" i="6"/>
  <c r="W28" i="6"/>
  <c r="V27" i="6"/>
  <c r="X10" i="6"/>
  <c r="V8" i="6"/>
  <c r="Y13" i="6"/>
  <c r="V20" i="6"/>
  <c r="T17" i="6"/>
  <c r="S25" i="6"/>
  <c r="R24" i="6"/>
  <c r="T21" i="6"/>
  <c r="S28" i="6"/>
  <c r="V6" i="6"/>
  <c r="Y12" i="6"/>
  <c r="W10" i="6"/>
  <c r="V9" i="6"/>
  <c r="Y8" i="6"/>
  <c r="X17" i="6"/>
  <c r="W16" i="6"/>
  <c r="V15" i="6"/>
  <c r="Y14" i="6"/>
  <c r="X13" i="6"/>
  <c r="Y20" i="6"/>
  <c r="X19" i="6"/>
  <c r="AN18" i="6" s="1"/>
  <c r="W18" i="6"/>
  <c r="W24" i="6"/>
  <c r="Y23" i="6"/>
  <c r="X22" i="6"/>
  <c r="V28" i="6"/>
  <c r="Y27" i="6"/>
  <c r="W26" i="6"/>
  <c r="Y11" i="6"/>
  <c r="W9" i="6"/>
  <c r="Y7" i="6"/>
  <c r="V14" i="6"/>
  <c r="S6" i="6"/>
  <c r="S12" i="6"/>
  <c r="S10" i="6"/>
  <c r="R10" i="6"/>
  <c r="T8" i="6"/>
  <c r="S14" i="6"/>
  <c r="S27" i="6"/>
  <c r="T26" i="6"/>
  <c r="X12" i="6"/>
  <c r="AN11" i="6" s="1"/>
  <c r="W11" i="6"/>
  <c r="V10" i="6"/>
  <c r="AK9" i="6" s="1"/>
  <c r="Y9" i="6"/>
  <c r="X8" i="6"/>
  <c r="AJ7" i="6" s="1"/>
  <c r="AG36" i="6" s="1"/>
  <c r="W7" i="6"/>
  <c r="W17" i="6"/>
  <c r="AN16" i="6" s="1"/>
  <c r="V16" i="6"/>
  <c r="Y15" i="6"/>
  <c r="X14" i="6"/>
  <c r="AJ13" i="6" s="1"/>
  <c r="AG42" i="6" s="1"/>
  <c r="W13" i="6"/>
  <c r="AJ12" i="6" s="1"/>
  <c r="AG41" i="6" s="1"/>
  <c r="V18" i="6"/>
  <c r="X25" i="6"/>
  <c r="AN24" i="6" s="1"/>
  <c r="V24" i="6"/>
  <c r="AK23" i="6" s="1"/>
  <c r="X23" i="6"/>
  <c r="AJ22" i="6" s="1"/>
  <c r="AG51" i="6" s="1"/>
  <c r="W22" i="6"/>
  <c r="V26" i="6"/>
  <c r="AJ20" i="6"/>
  <c r="AG49" i="6" s="1"/>
  <c r="AJ11" i="6"/>
  <c r="AG40" i="6" s="1"/>
  <c r="AN8" i="6"/>
  <c r="AN19" i="6"/>
  <c r="AJ17" i="6"/>
  <c r="AG46" i="6" s="1"/>
  <c r="AN6" i="6"/>
  <c r="S19" i="6"/>
  <c r="AJ26" i="6"/>
  <c r="AG55" i="6" s="1"/>
  <c r="R9" i="6"/>
  <c r="R19" i="6"/>
  <c r="T15" i="6"/>
  <c r="R14" i="6"/>
  <c r="R25" i="6"/>
  <c r="AG24" i="6" s="1"/>
  <c r="T24" i="6"/>
  <c r="S24" i="6"/>
  <c r="S22" i="6"/>
  <c r="AF21" i="6" s="1"/>
  <c r="AI27" i="6"/>
  <c r="S26" i="6"/>
  <c r="R8" i="6"/>
  <c r="AG7" i="6" s="1"/>
  <c r="R6" i="6"/>
  <c r="R18" i="6"/>
  <c r="S15" i="6"/>
  <c r="S13" i="6"/>
  <c r="T23" i="6"/>
  <c r="T12" i="6"/>
  <c r="AI11" i="6" s="1"/>
  <c r="R11" i="6"/>
  <c r="R7" i="6"/>
  <c r="AG6" i="6" s="1"/>
  <c r="T19" i="6"/>
  <c r="S17" i="6"/>
  <c r="AI16" i="6" s="1"/>
  <c r="T16" i="6"/>
  <c r="R15" i="6"/>
  <c r="T14" i="6"/>
  <c r="R13" i="6"/>
  <c r="AG12" i="6" s="1"/>
  <c r="T25" i="6"/>
  <c r="S23" i="6"/>
  <c r="S21" i="6"/>
  <c r="AI20" i="6" s="1"/>
  <c r="T20" i="6"/>
  <c r="AI19" i="6" s="1"/>
  <c r="T27" i="6"/>
  <c r="AF26" i="6" s="1"/>
  <c r="R26" i="6"/>
  <c r="AG25" i="6" s="1"/>
  <c r="U18" i="6"/>
  <c r="AJ23" i="6"/>
  <c r="AG52" i="6" s="1"/>
  <c r="AN26" i="6"/>
  <c r="AJ19" i="6"/>
  <c r="AG48" i="6" s="1"/>
  <c r="AJ16" i="6"/>
  <c r="AG45" i="6" s="1"/>
  <c r="AN10" i="6"/>
  <c r="AF27" i="6"/>
  <c r="AF15" i="6"/>
  <c r="AI7" i="6"/>
  <c r="AF6" i="6"/>
  <c r="AF10" i="6"/>
  <c r="U9" i="6"/>
  <c r="T10" i="6"/>
  <c r="AI9" i="6" s="1"/>
  <c r="T9" i="6"/>
  <c r="T6" i="6"/>
  <c r="AF20" i="6" l="1"/>
  <c r="AO13" i="6"/>
  <c r="AH42" i="6" s="1"/>
  <c r="AZ12" i="7"/>
  <c r="AM19" i="7"/>
  <c r="AN19" i="7" s="1"/>
  <c r="AU7" i="7"/>
  <c r="AM35" i="7" s="1"/>
  <c r="AO25" i="7"/>
  <c r="BD6" i="7"/>
  <c r="BD10" i="7"/>
  <c r="AZ14" i="7"/>
  <c r="AQ24" i="7"/>
  <c r="AM16" i="7"/>
  <c r="AN16" i="7" s="1"/>
  <c r="AK6" i="7"/>
  <c r="AO6" i="7"/>
  <c r="AL6" i="7"/>
  <c r="AM6" i="7" s="1"/>
  <c r="AN6" i="7" s="1"/>
  <c r="AK5" i="7"/>
  <c r="AO5" i="7"/>
  <c r="AL5" i="7"/>
  <c r="AK17" i="7"/>
  <c r="AO17" i="7"/>
  <c r="AL17" i="7"/>
  <c r="AK25" i="7"/>
  <c r="AN45" i="7"/>
  <c r="AK9" i="7"/>
  <c r="AO9" i="7"/>
  <c r="AL9" i="7"/>
  <c r="AK10" i="7"/>
  <c r="AO10" i="7"/>
  <c r="AL10" i="7"/>
  <c r="AK11" i="7"/>
  <c r="AO11" i="7"/>
  <c r="AL11" i="7"/>
  <c r="AL27" i="7"/>
  <c r="AK27" i="7"/>
  <c r="AO27" i="7"/>
  <c r="BD9" i="7"/>
  <c r="AK26" i="7"/>
  <c r="AO26" i="7"/>
  <c r="AL26" i="7"/>
  <c r="AM26" i="7" s="1"/>
  <c r="AN26" i="7" s="1"/>
  <c r="AK14" i="7"/>
  <c r="AO14" i="7"/>
  <c r="AL14" i="7"/>
  <c r="AM14" i="7" s="1"/>
  <c r="AN14" i="7" s="1"/>
  <c r="AK18" i="7"/>
  <c r="AO18" i="7"/>
  <c r="AL18" i="7"/>
  <c r="AK22" i="7"/>
  <c r="AO22" i="7"/>
  <c r="AL22" i="7"/>
  <c r="AL7" i="7"/>
  <c r="AK7" i="7"/>
  <c r="AO7" i="7"/>
  <c r="AL8" i="7"/>
  <c r="AK8" i="7"/>
  <c r="AO8" i="7"/>
  <c r="AL12" i="7"/>
  <c r="AK12" i="7"/>
  <c r="AO12" i="7"/>
  <c r="AN47" i="7"/>
  <c r="AK21" i="7"/>
  <c r="AO21" i="7"/>
  <c r="AL21" i="7"/>
  <c r="AK13" i="7"/>
  <c r="AO13" i="7"/>
  <c r="AL13" i="7"/>
  <c r="AM13" i="7" s="1"/>
  <c r="AN13" i="7" s="1"/>
  <c r="AK15" i="7"/>
  <c r="AO15" i="7"/>
  <c r="AL15" i="7"/>
  <c r="AL20" i="7"/>
  <c r="AO20" i="7"/>
  <c r="AK20" i="7"/>
  <c r="AL25" i="7"/>
  <c r="AM25" i="7" s="1"/>
  <c r="AN25" i="7" s="1"/>
  <c r="AN44" i="7"/>
  <c r="AN43" i="7"/>
  <c r="AL23" i="7"/>
  <c r="AK23" i="7"/>
  <c r="AO23" i="7"/>
  <c r="AL24" i="7"/>
  <c r="AK24" i="7"/>
  <c r="AO24" i="7"/>
  <c r="AU18" i="7"/>
  <c r="AM46" i="7" s="1"/>
  <c r="AN46" i="7" s="1"/>
  <c r="AT14" i="7"/>
  <c r="AZ11" i="7"/>
  <c r="AP20" i="7"/>
  <c r="AL48" i="7" s="1"/>
  <c r="AN48" i="7" s="1"/>
  <c r="AZ8" i="7"/>
  <c r="AP13" i="7"/>
  <c r="AL41" i="7" s="1"/>
  <c r="AN41" i="7" s="1"/>
  <c r="AW14" i="7"/>
  <c r="AX14" i="7" s="1"/>
  <c r="AV18" i="7"/>
  <c r="AR22" i="7"/>
  <c r="AS22" i="7" s="1"/>
  <c r="AU23" i="7"/>
  <c r="AM51" i="7" s="1"/>
  <c r="AN51" i="7" s="1"/>
  <c r="AQ15" i="7"/>
  <c r="AR15" i="7" s="1"/>
  <c r="AS15" i="7" s="1"/>
  <c r="AY18" i="7"/>
  <c r="AZ10" i="7"/>
  <c r="AY25" i="7"/>
  <c r="AZ6" i="7"/>
  <c r="AP14" i="7"/>
  <c r="AL42" i="7" s="1"/>
  <c r="AN42" i="7" s="1"/>
  <c r="AQ14" i="7"/>
  <c r="AP26" i="7"/>
  <c r="AL54" i="7" s="1"/>
  <c r="AN54" i="7" s="1"/>
  <c r="BD14" i="7"/>
  <c r="AY24" i="7"/>
  <c r="AU11" i="7"/>
  <c r="AM39" i="7" s="1"/>
  <c r="AT24" i="7"/>
  <c r="AR24" i="7" s="1"/>
  <c r="AS24" i="7" s="1"/>
  <c r="AT26" i="7"/>
  <c r="AP24" i="7"/>
  <c r="AL52" i="7" s="1"/>
  <c r="AW13" i="7"/>
  <c r="AX13" i="7" s="1"/>
  <c r="AW17" i="7"/>
  <c r="AX17" i="7" s="1"/>
  <c r="AU10" i="7"/>
  <c r="AM38" i="7" s="1"/>
  <c r="BA14" i="7"/>
  <c r="BB14" i="7" s="1"/>
  <c r="BC14" i="7" s="1"/>
  <c r="AT20" i="7"/>
  <c r="BA6" i="7"/>
  <c r="BB6" i="7" s="1"/>
  <c r="BC6" i="7" s="1"/>
  <c r="BA8" i="7"/>
  <c r="BA10" i="7"/>
  <c r="BB10" i="7" s="1"/>
  <c r="BC10" i="7" s="1"/>
  <c r="AT13" i="7"/>
  <c r="AU25" i="7"/>
  <c r="AM53" i="7" s="1"/>
  <c r="AQ17" i="7"/>
  <c r="AZ9" i="7"/>
  <c r="BA13" i="7"/>
  <c r="BD11" i="7"/>
  <c r="AQ13" i="7"/>
  <c r="AT21" i="7"/>
  <c r="AW15" i="7"/>
  <c r="AX15" i="7" s="1"/>
  <c r="BA9" i="7"/>
  <c r="BB9" i="7" s="1"/>
  <c r="BC9" i="7" s="1"/>
  <c r="AO17" i="6"/>
  <c r="AH46" i="6" s="1"/>
  <c r="AI17" i="6"/>
  <c r="AH17" i="6" s="1"/>
  <c r="AJ10" i="6"/>
  <c r="AG39" i="6" s="1"/>
  <c r="AI6" i="6"/>
  <c r="AO12" i="6"/>
  <c r="AH41" i="6" s="1"/>
  <c r="AF7" i="6"/>
  <c r="AK11" i="6"/>
  <c r="AL11" i="6" s="1"/>
  <c r="AM11" i="6" s="1"/>
  <c r="AG17" i="6"/>
  <c r="AN22" i="6"/>
  <c r="AO11" i="6"/>
  <c r="AJ25" i="6"/>
  <c r="AG54" i="6" s="1"/>
  <c r="AF22" i="6"/>
  <c r="AJ24" i="6"/>
  <c r="AG53" i="6" s="1"/>
  <c r="AK18" i="6"/>
  <c r="AL18" i="6" s="1"/>
  <c r="AM18" i="6" s="1"/>
  <c r="AK12" i="6"/>
  <c r="AJ14" i="6"/>
  <c r="AG43" i="6" s="1"/>
  <c r="AJ15" i="6"/>
  <c r="AG44" i="6" s="1"/>
  <c r="AP7" i="6"/>
  <c r="AI41" i="6"/>
  <c r="AJ6" i="6"/>
  <c r="AG35" i="6" s="1"/>
  <c r="AI35" i="6" s="1"/>
  <c r="AF13" i="6"/>
  <c r="AJ8" i="6"/>
  <c r="AN27" i="6"/>
  <c r="AN17" i="6"/>
  <c r="AJ21" i="6"/>
  <c r="AG50" i="6" s="1"/>
  <c r="AN20" i="6"/>
  <c r="AO9" i="6"/>
  <c r="AH38" i="6" s="1"/>
  <c r="AS27" i="6"/>
  <c r="AP22" i="6"/>
  <c r="AS22" i="6"/>
  <c r="AO22" i="6"/>
  <c r="AP21" i="6"/>
  <c r="AS21" i="6"/>
  <c r="AP16" i="6"/>
  <c r="AS16" i="6"/>
  <c r="AP19" i="6"/>
  <c r="AQ19" i="6" s="1"/>
  <c r="AR19" i="6" s="1"/>
  <c r="AF19" i="6"/>
  <c r="AJ18" i="6"/>
  <c r="AG47" i="6" s="1"/>
  <c r="AF18" i="6"/>
  <c r="AG13" i="6"/>
  <c r="AN15" i="6"/>
  <c r="AN9" i="6"/>
  <c r="AN13" i="6"/>
  <c r="AK25" i="6"/>
  <c r="AK14" i="6"/>
  <c r="AK8" i="6"/>
  <c r="AL8" i="6" s="1"/>
  <c r="AM8" i="6" s="1"/>
  <c r="AK22" i="6"/>
  <c r="AL22" i="6" s="1"/>
  <c r="AM22" i="6" s="1"/>
  <c r="AN5" i="6"/>
  <c r="AU24" i="7"/>
  <c r="AM52" i="7" s="1"/>
  <c r="AY11" i="7"/>
  <c r="BD13" i="7"/>
  <c r="BB13" i="7" s="1"/>
  <c r="BC13" i="7" s="1"/>
  <c r="BA16" i="7"/>
  <c r="BA11" i="7"/>
  <c r="AS5" i="6"/>
  <c r="AQ5" i="6" s="1"/>
  <c r="AR5" i="6" s="1"/>
  <c r="AK20" i="6"/>
  <c r="AL20" i="6" s="1"/>
  <c r="AM20" i="6" s="1"/>
  <c r="AG16" i="6"/>
  <c r="AH16" i="6" s="1"/>
  <c r="AP24" i="6"/>
  <c r="AS24" i="6"/>
  <c r="AO24" i="6"/>
  <c r="AH53" i="6" s="1"/>
  <c r="AP25" i="6"/>
  <c r="AS25" i="6"/>
  <c r="AO25" i="6"/>
  <c r="AH54" i="6" s="1"/>
  <c r="AP18" i="6"/>
  <c r="AS18" i="6"/>
  <c r="AO18" i="6"/>
  <c r="AP12" i="6"/>
  <c r="AS12" i="6"/>
  <c r="AK6" i="6"/>
  <c r="AL6" i="6" s="1"/>
  <c r="AM6" i="6" s="1"/>
  <c r="AP10" i="6"/>
  <c r="AS10" i="6"/>
  <c r="AO10" i="6"/>
  <c r="AS17" i="6"/>
  <c r="AO19" i="6"/>
  <c r="AG19" i="6"/>
  <c r="AH19" i="6" s="1"/>
  <c r="AP27" i="6"/>
  <c r="AQ27" i="6" s="1"/>
  <c r="AR27" i="6" s="1"/>
  <c r="AO15" i="6"/>
  <c r="AH44" i="6" s="1"/>
  <c r="AS23" i="6"/>
  <c r="AQ23" i="6" s="1"/>
  <c r="AR23" i="6" s="1"/>
  <c r="AS11" i="6"/>
  <c r="AQ11" i="6" s="1"/>
  <c r="AR11" i="6" s="1"/>
  <c r="AG8" i="6"/>
  <c r="AK7" i="6"/>
  <c r="AK10" i="6"/>
  <c r="AL10" i="6" s="1"/>
  <c r="AM10" i="6" s="1"/>
  <c r="AN14" i="6"/>
  <c r="AI22" i="6"/>
  <c r="AG14" i="6"/>
  <c r="AH6" i="6"/>
  <c r="AH7" i="6"/>
  <c r="AI23" i="6"/>
  <c r="AN21" i="6"/>
  <c r="AJ9" i="6"/>
  <c r="AK17" i="6"/>
  <c r="AL17" i="6" s="1"/>
  <c r="AM17" i="6" s="1"/>
  <c r="AK15" i="6"/>
  <c r="AL15" i="6" s="1"/>
  <c r="AM15" i="6" s="1"/>
  <c r="AG9" i="6"/>
  <c r="AH9" i="6" s="1"/>
  <c r="AK13" i="6"/>
  <c r="AK19" i="6"/>
  <c r="AL19" i="6" s="1"/>
  <c r="AM19" i="6" s="1"/>
  <c r="AK26" i="6"/>
  <c r="AL26" i="6" s="1"/>
  <c r="AM26" i="6" s="1"/>
  <c r="AV24" i="7"/>
  <c r="AP25" i="7"/>
  <c r="AL53" i="7" s="1"/>
  <c r="AN53" i="7" s="1"/>
  <c r="AZ16" i="7"/>
  <c r="AZ13" i="7"/>
  <c r="AP20" i="6"/>
  <c r="AS20" i="6"/>
  <c r="AP8" i="6"/>
  <c r="AS8" i="6"/>
  <c r="AG15" i="6"/>
  <c r="AS9" i="6"/>
  <c r="AP13" i="6"/>
  <c r="AS13" i="6"/>
  <c r="AK24" i="6"/>
  <c r="AL24" i="6" s="1"/>
  <c r="AM24" i="6" s="1"/>
  <c r="AP26" i="6"/>
  <c r="AS26" i="6"/>
  <c r="AO26" i="6"/>
  <c r="AO6" i="6"/>
  <c r="AH35" i="6" s="1"/>
  <c r="AP6" i="6"/>
  <c r="AS6" i="6"/>
  <c r="AG27" i="6"/>
  <c r="AH27" i="6" s="1"/>
  <c r="AP17" i="6"/>
  <c r="AQ17" i="6" s="1"/>
  <c r="AR17" i="6" s="1"/>
  <c r="AS15" i="6"/>
  <c r="AQ15" i="6" s="1"/>
  <c r="AR15" i="6" s="1"/>
  <c r="AG20" i="6"/>
  <c r="AH20" i="6" s="1"/>
  <c r="AJ27" i="6"/>
  <c r="AK27" i="6"/>
  <c r="AL27" i="6" s="1"/>
  <c r="AM27" i="6" s="1"/>
  <c r="AI12" i="6"/>
  <c r="AH12" i="6" s="1"/>
  <c r="AF17" i="6"/>
  <c r="AI24" i="6"/>
  <c r="AH24" i="6" s="1"/>
  <c r="AI15" i="6"/>
  <c r="AI10" i="6"/>
  <c r="AG10" i="6"/>
  <c r="AI18" i="6"/>
  <c r="AG18" i="6"/>
  <c r="AN12" i="6"/>
  <c r="AL12" i="6" s="1"/>
  <c r="AM12" i="6" s="1"/>
  <c r="AN23" i="6"/>
  <c r="AL23" i="6" s="1"/>
  <c r="AM23" i="6" s="1"/>
  <c r="AN7" i="6"/>
  <c r="AL9" i="6"/>
  <c r="AM9" i="6" s="1"/>
  <c r="AG26" i="6"/>
  <c r="AG23" i="6"/>
  <c r="AO16" i="6"/>
  <c r="AP6" i="7"/>
  <c r="AL34" i="7" s="1"/>
  <c r="AV27" i="7"/>
  <c r="AW27" i="7" s="1"/>
  <c r="AX27" i="7" s="1"/>
  <c r="AP14" i="6"/>
  <c r="AS14" i="6"/>
  <c r="AO14" i="6"/>
  <c r="AH43" i="6" s="1"/>
  <c r="AP9" i="6"/>
  <c r="AQ9" i="6" s="1"/>
  <c r="AR9" i="6" s="1"/>
  <c r="AK21" i="6"/>
  <c r="AL21" i="6" s="1"/>
  <c r="AM21" i="6" s="1"/>
  <c r="AG22" i="6"/>
  <c r="AK16" i="6"/>
  <c r="AL16" i="6" s="1"/>
  <c r="AM16" i="6" s="1"/>
  <c r="AG21" i="6"/>
  <c r="AO21" i="6"/>
  <c r="AH50" i="6" s="1"/>
  <c r="AO20" i="6"/>
  <c r="AS7" i="6"/>
  <c r="AQ7" i="6" s="1"/>
  <c r="AR7" i="6" s="1"/>
  <c r="BB7" i="7"/>
  <c r="BC7" i="7" s="1"/>
  <c r="AI5" i="6"/>
  <c r="AJ5" i="6"/>
  <c r="AG34" i="6" s="1"/>
  <c r="AK5" i="6"/>
  <c r="AL5" i="6" s="1"/>
  <c r="AM5" i="6" s="1"/>
  <c r="AG5" i="6"/>
  <c r="AU22" i="7"/>
  <c r="AM50" i="7" s="1"/>
  <c r="AN50" i="7" s="1"/>
  <c r="AV22" i="7"/>
  <c r="AW22" i="7" s="1"/>
  <c r="AX22" i="7" s="1"/>
  <c r="AP12" i="7"/>
  <c r="AL40" i="7" s="1"/>
  <c r="AV25" i="7"/>
  <c r="AV23" i="7"/>
  <c r="AW23" i="7" s="1"/>
  <c r="AX23" i="7" s="1"/>
  <c r="AY10" i="7"/>
  <c r="AW10" i="7" s="1"/>
  <c r="AX10" i="7" s="1"/>
  <c r="BB5" i="7"/>
  <c r="BC5" i="7" s="1"/>
  <c r="BB16" i="7"/>
  <c r="BC16" i="7" s="1"/>
  <c r="BB8" i="7"/>
  <c r="BC8" i="7" s="1"/>
  <c r="BB12" i="7"/>
  <c r="BC12" i="7" s="1"/>
  <c r="AT8" i="7"/>
  <c r="AT19" i="7"/>
  <c r="AR19" i="7" s="1"/>
  <c r="AS19" i="7" s="1"/>
  <c r="AT17" i="7"/>
  <c r="AR17" i="7" s="1"/>
  <c r="AS17" i="7" s="1"/>
  <c r="AQ20" i="7"/>
  <c r="AR20" i="7" s="1"/>
  <c r="AS20" i="7" s="1"/>
  <c r="AW18" i="7"/>
  <c r="AX18" i="7" s="1"/>
  <c r="AW21" i="7"/>
  <c r="AX21" i="7" s="1"/>
  <c r="BB15" i="7"/>
  <c r="BC15" i="7" s="1"/>
  <c r="AW26" i="7"/>
  <c r="AX26" i="7" s="1"/>
  <c r="AW20" i="7"/>
  <c r="AX20" i="7" s="1"/>
  <c r="AQ12" i="7"/>
  <c r="AF11" i="6"/>
  <c r="AG11" i="6"/>
  <c r="AH11" i="6" s="1"/>
  <c r="AW16" i="7"/>
  <c r="AX16" i="7" s="1"/>
  <c r="AQ6" i="7"/>
  <c r="AQ11" i="7"/>
  <c r="AU5" i="7"/>
  <c r="AM33" i="7" s="1"/>
  <c r="AQ10" i="7"/>
  <c r="AQ23" i="7"/>
  <c r="AV9" i="7"/>
  <c r="AT23" i="7"/>
  <c r="AT10" i="7"/>
  <c r="AQ21" i="7"/>
  <c r="AR21" i="7" s="1"/>
  <c r="AS21" i="7" s="1"/>
  <c r="AQ27" i="7"/>
  <c r="AR27" i="7" s="1"/>
  <c r="AS27" i="7" s="1"/>
  <c r="AP10" i="7"/>
  <c r="AL38" i="7" s="1"/>
  <c r="AN38" i="7" s="1"/>
  <c r="AP27" i="7"/>
  <c r="AL55" i="7" s="1"/>
  <c r="AN55" i="7" s="1"/>
  <c r="AV11" i="7"/>
  <c r="AW11" i="7" s="1"/>
  <c r="AX11" i="7" s="1"/>
  <c r="AR18" i="7"/>
  <c r="AS18" i="7" s="1"/>
  <c r="AP21" i="7"/>
  <c r="AL49" i="7" s="1"/>
  <c r="AN49" i="7" s="1"/>
  <c r="AY5" i="7"/>
  <c r="AU12" i="7"/>
  <c r="AM40" i="7" s="1"/>
  <c r="AT6" i="7"/>
  <c r="AR6" i="7" s="1"/>
  <c r="AS6" i="7" s="1"/>
  <c r="AQ5" i="7"/>
  <c r="AU9" i="7"/>
  <c r="AM37" i="7" s="1"/>
  <c r="AP11" i="7"/>
  <c r="AL39" i="7" s="1"/>
  <c r="AN39" i="7" s="1"/>
  <c r="AR16" i="7"/>
  <c r="AS16" i="7" s="1"/>
  <c r="AU8" i="7"/>
  <c r="AM36" i="7" s="1"/>
  <c r="AN36" i="7" s="1"/>
  <c r="AP9" i="7"/>
  <c r="AL37" i="7" s="1"/>
  <c r="AN37" i="7" s="1"/>
  <c r="AY12" i="7"/>
  <c r="AT11" i="7"/>
  <c r="AV5" i="7"/>
  <c r="AQ8" i="7"/>
  <c r="AR8" i="7" s="1"/>
  <c r="AS8" i="7" s="1"/>
  <c r="AT12" i="7"/>
  <c r="AV12" i="7"/>
  <c r="AY9" i="7"/>
  <c r="AT25" i="7"/>
  <c r="AT5" i="7"/>
  <c r="AR5" i="7" s="1"/>
  <c r="AS5" i="7" s="1"/>
  <c r="AT9" i="7"/>
  <c r="AQ25" i="7"/>
  <c r="AY7" i="7"/>
  <c r="AQ9" i="7"/>
  <c r="AP5" i="7"/>
  <c r="AL33" i="7" s="1"/>
  <c r="AN33" i="7" s="1"/>
  <c r="AP7" i="7"/>
  <c r="AL35" i="7" s="1"/>
  <c r="AN35" i="7" s="1"/>
  <c r="AV8" i="7"/>
  <c r="AY8" i="7"/>
  <c r="AV7" i="7"/>
  <c r="AU6" i="7"/>
  <c r="AM34" i="7" s="1"/>
  <c r="AY6" i="7"/>
  <c r="AR26" i="7"/>
  <c r="AS26" i="7" s="1"/>
  <c r="AT7" i="7"/>
  <c r="AQ7" i="7"/>
  <c r="AV6" i="7"/>
  <c r="AF5" i="6"/>
  <c r="AI13" i="6"/>
  <c r="AN25" i="6"/>
  <c r="AF14" i="6"/>
  <c r="AF12" i="6"/>
  <c r="AF16" i="6"/>
  <c r="AF23" i="6"/>
  <c r="AI14" i="6"/>
  <c r="AF9" i="6"/>
  <c r="AF24" i="6"/>
  <c r="AI26" i="6"/>
  <c r="AI21" i="6"/>
  <c r="AI25" i="6"/>
  <c r="AH25" i="6" s="1"/>
  <c r="AF25" i="6"/>
  <c r="AF8" i="6"/>
  <c r="AI8" i="6"/>
  <c r="R7" i="1"/>
  <c r="R6" i="1"/>
  <c r="AH49" i="6" l="1"/>
  <c r="AI44" i="6"/>
  <c r="AH45" i="6"/>
  <c r="AI45" i="6" s="1"/>
  <c r="AG56" i="6"/>
  <c r="AI56" i="6" s="1"/>
  <c r="AI54" i="6"/>
  <c r="AH55" i="6"/>
  <c r="AI55" i="6" s="1"/>
  <c r="AH39" i="6"/>
  <c r="AI50" i="6"/>
  <c r="AH51" i="6"/>
  <c r="AI51" i="6" s="1"/>
  <c r="AQ14" i="6"/>
  <c r="AR14" i="6" s="1"/>
  <c r="AI36" i="6"/>
  <c r="AG37" i="6"/>
  <c r="AI37" i="6"/>
  <c r="AG38" i="6"/>
  <c r="AI38" i="6" s="1"/>
  <c r="AI47" i="6"/>
  <c r="AH48" i="6"/>
  <c r="AI48" i="6" s="1"/>
  <c r="AI46" i="6"/>
  <c r="AH47" i="6"/>
  <c r="AQ22" i="6"/>
  <c r="AR22" i="6" s="1"/>
  <c r="AI39" i="6"/>
  <c r="AH40" i="6"/>
  <c r="AI40" i="6" s="1"/>
  <c r="AM9" i="7"/>
  <c r="AN9" i="7" s="1"/>
  <c r="AM24" i="7"/>
  <c r="AN24" i="7" s="1"/>
  <c r="AM21" i="7"/>
  <c r="AN21" i="7" s="1"/>
  <c r="AM7" i="7"/>
  <c r="AN7" i="7" s="1"/>
  <c r="AM17" i="7"/>
  <c r="AN17" i="7" s="1"/>
  <c r="AM22" i="7"/>
  <c r="AN22" i="7" s="1"/>
  <c r="AM11" i="7"/>
  <c r="AN11" i="7" s="1"/>
  <c r="AN52" i="7"/>
  <c r="AM20" i="7"/>
  <c r="AN20" i="7" s="1"/>
  <c r="AM8" i="7"/>
  <c r="AN8" i="7" s="1"/>
  <c r="AM23" i="7"/>
  <c r="AN23" i="7" s="1"/>
  <c r="AM15" i="7"/>
  <c r="AN15" i="7" s="1"/>
  <c r="AM12" i="7"/>
  <c r="AN12" i="7" s="1"/>
  <c r="AM18" i="7"/>
  <c r="AN18" i="7" s="1"/>
  <c r="AM27" i="7"/>
  <c r="AN27" i="7" s="1"/>
  <c r="AM10" i="7"/>
  <c r="AN10" i="7" s="1"/>
  <c r="AM5" i="7"/>
  <c r="AN5" i="7" s="1"/>
  <c r="AN40" i="7"/>
  <c r="AN34" i="7"/>
  <c r="AR14" i="7"/>
  <c r="AS14" i="7" s="1"/>
  <c r="AR13" i="7"/>
  <c r="AS13" i="7" s="1"/>
  <c r="AW25" i="7"/>
  <c r="AX25" i="7" s="1"/>
  <c r="AW24" i="7"/>
  <c r="AX24" i="7" s="1"/>
  <c r="BB11" i="7"/>
  <c r="BC11" i="7" s="1"/>
  <c r="AQ20" i="6"/>
  <c r="AR20" i="6" s="1"/>
  <c r="AQ18" i="6"/>
  <c r="AR18" i="6" s="1"/>
  <c r="AI34" i="6"/>
  <c r="AI43" i="6"/>
  <c r="AI52" i="6"/>
  <c r="AQ6" i="6"/>
  <c r="AR6" i="6" s="1"/>
  <c r="AQ26" i="6"/>
  <c r="AR26" i="6" s="1"/>
  <c r="AQ10" i="6"/>
  <c r="AR10" i="6" s="1"/>
  <c r="AQ24" i="6"/>
  <c r="AR24" i="6" s="1"/>
  <c r="AI42" i="6"/>
  <c r="AQ16" i="6"/>
  <c r="AR16" i="6" s="1"/>
  <c r="AI49" i="6"/>
  <c r="AI53" i="6"/>
  <c r="AH5" i="6"/>
  <c r="AW9" i="7"/>
  <c r="AX9" i="7" s="1"/>
  <c r="AR11" i="7"/>
  <c r="AS11" i="7" s="1"/>
  <c r="AH22" i="6"/>
  <c r="AH23" i="6"/>
  <c r="AH10" i="6"/>
  <c r="AQ13" i="6"/>
  <c r="AR13" i="6" s="1"/>
  <c r="AQ8" i="6"/>
  <c r="AR8" i="6" s="1"/>
  <c r="AH8" i="6"/>
  <c r="AQ25" i="6"/>
  <c r="AR25" i="6" s="1"/>
  <c r="AH13" i="6"/>
  <c r="AQ21" i="6"/>
  <c r="AR21" i="6" s="1"/>
  <c r="AH26" i="6"/>
  <c r="AL13" i="6"/>
  <c r="AM13" i="6" s="1"/>
  <c r="AL7" i="6"/>
  <c r="AM7" i="6" s="1"/>
  <c r="AL14" i="6"/>
  <c r="AM14" i="6" s="1"/>
  <c r="AH21" i="6"/>
  <c r="AH18" i="6"/>
  <c r="AH15" i="6"/>
  <c r="AH14" i="6"/>
  <c r="AQ12" i="6"/>
  <c r="AR12" i="6" s="1"/>
  <c r="AL25" i="6"/>
  <c r="AM25" i="6" s="1"/>
  <c r="AR12" i="7"/>
  <c r="AS12" i="7" s="1"/>
  <c r="AR23" i="7"/>
  <c r="AS23" i="7" s="1"/>
  <c r="AR9" i="7"/>
  <c r="AS9" i="7" s="1"/>
  <c r="AR25" i="7"/>
  <c r="AS25" i="7" s="1"/>
  <c r="AW5" i="7"/>
  <c r="AX5" i="7" s="1"/>
  <c r="AR10" i="7"/>
  <c r="AS10" i="7" s="1"/>
  <c r="AW6" i="7"/>
  <c r="AX6" i="7" s="1"/>
  <c r="AW8" i="7"/>
  <c r="AX8" i="7" s="1"/>
  <c r="AW12" i="7"/>
  <c r="AX12" i="7" s="1"/>
  <c r="AW7" i="7"/>
  <c r="AX7" i="7" s="1"/>
  <c r="AR7" i="7"/>
  <c r="AS7" i="7" s="1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W5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X42" i="1"/>
  <c r="W42" i="1"/>
  <c r="X6" i="1"/>
  <c r="W6" i="1"/>
  <c r="S42" i="1"/>
  <c r="R42" i="1"/>
  <c r="S6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V42" i="4" l="1"/>
  <c r="V41" i="4"/>
  <c r="V40" i="4"/>
  <c r="V39" i="4"/>
  <c r="V38" i="4"/>
  <c r="V37" i="4"/>
  <c r="V36" i="4"/>
  <c r="V35" i="4"/>
  <c r="V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7" i="4"/>
  <c r="U6" i="4"/>
  <c r="Q42" i="4" l="1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S6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N6" i="3"/>
  <c r="M6" i="3"/>
</calcChain>
</file>

<file path=xl/sharedStrings.xml><?xml version="1.0" encoding="utf-8"?>
<sst xmlns="http://schemas.openxmlformats.org/spreadsheetml/2006/main" count="1332" uniqueCount="257">
  <si>
    <t>Spacer (no antibiotic) + Beads (1g Vancomycin &amp; 240mg Tobramycin)</t>
  </si>
  <si>
    <t>Tob</t>
  </si>
  <si>
    <t>Timepoint</t>
  </si>
  <si>
    <t>G1</t>
  </si>
  <si>
    <t>Blank</t>
  </si>
  <si>
    <t>blank</t>
  </si>
  <si>
    <t>D5</t>
  </si>
  <si>
    <t>D8</t>
  </si>
  <si>
    <t>D11</t>
  </si>
  <si>
    <t>D14</t>
  </si>
  <si>
    <t>D17</t>
  </si>
  <si>
    <t>D20</t>
  </si>
  <si>
    <t>D23</t>
  </si>
  <si>
    <t>D26</t>
  </si>
  <si>
    <t>D29</t>
  </si>
  <si>
    <t>D32</t>
  </si>
  <si>
    <t>D35</t>
  </si>
  <si>
    <t>D38</t>
  </si>
  <si>
    <t>D41</t>
  </si>
  <si>
    <t>BLANK</t>
  </si>
  <si>
    <t>Averages over all repeats</t>
  </si>
  <si>
    <t>G1Br</t>
  </si>
  <si>
    <t>G1C</t>
  </si>
  <si>
    <t>G1E</t>
  </si>
  <si>
    <t>G1F</t>
  </si>
  <si>
    <t>Vanc</t>
  </si>
  <si>
    <t>Std Dev over all repeats</t>
  </si>
  <si>
    <t>Spacer (2g Vancomycin &amp; 2g Tobramycin) + Beads (1g Vancomycin &amp; 240mg Tobramycin)</t>
  </si>
  <si>
    <t>G2</t>
  </si>
  <si>
    <t>G2B</t>
  </si>
  <si>
    <t>G2C</t>
  </si>
  <si>
    <t>G2D</t>
  </si>
  <si>
    <t>G2E</t>
  </si>
  <si>
    <t>2g Vancomycin Dump with an Unloaded Spacer</t>
  </si>
  <si>
    <t>Spacer Only (2g Vancomycin &amp; 2g Tobramycin)</t>
  </si>
  <si>
    <t>VD1A</t>
  </si>
  <si>
    <t>VD1B</t>
  </si>
  <si>
    <t>VD1C</t>
  </si>
  <si>
    <t>G3A</t>
  </si>
  <si>
    <t>G3B</t>
  </si>
  <si>
    <t>G3C</t>
  </si>
  <si>
    <t>G3D</t>
  </si>
  <si>
    <t>Vancomycin &amp; Tobramycin</t>
  </si>
  <si>
    <t>Flow Rate</t>
  </si>
  <si>
    <t>0.3mL/min</t>
  </si>
  <si>
    <t>Column Oven</t>
  </si>
  <si>
    <r>
      <t>40</t>
    </r>
    <r>
      <rPr>
        <sz val="11"/>
        <color theme="1"/>
        <rFont val="Calibri"/>
        <family val="2"/>
      </rPr>
      <t>°C</t>
    </r>
  </si>
  <si>
    <t>Gradient</t>
  </si>
  <si>
    <t>5.00 min</t>
  </si>
  <si>
    <t>5% A</t>
  </si>
  <si>
    <t>95% B</t>
  </si>
  <si>
    <t>2.00 min</t>
  </si>
  <si>
    <t>70% A</t>
  </si>
  <si>
    <t>30% B</t>
  </si>
  <si>
    <t>6.00 min</t>
  </si>
  <si>
    <t>6.10 min</t>
  </si>
  <si>
    <t>90% A</t>
  </si>
  <si>
    <t>5% B</t>
  </si>
  <si>
    <t>Stop time</t>
  </si>
  <si>
    <t>10.00 min</t>
  </si>
  <si>
    <t>Post time</t>
  </si>
  <si>
    <t>Fragmentor</t>
  </si>
  <si>
    <t>Method Development</t>
  </si>
  <si>
    <t>V&amp;T</t>
  </si>
  <si>
    <t>Injection Source</t>
  </si>
  <si>
    <t>Als</t>
  </si>
  <si>
    <t>Injection Location</t>
  </si>
  <si>
    <t>Binary Pump</t>
  </si>
  <si>
    <t>G7112B</t>
  </si>
  <si>
    <t>0.300 mL/min</t>
  </si>
  <si>
    <t>High Pressure Limit</t>
  </si>
  <si>
    <t>400 bar</t>
  </si>
  <si>
    <t>Stoptime</t>
  </si>
  <si>
    <t>Posttime</t>
  </si>
  <si>
    <t xml:space="preserve">Mobile Phase A </t>
  </si>
  <si>
    <t>H2O + 0.1% HFBA</t>
  </si>
  <si>
    <t>Mobile Phase B</t>
  </si>
  <si>
    <t>ACN + 0.1% HFBA</t>
  </si>
  <si>
    <t>Sampler</t>
  </si>
  <si>
    <t>G7129A</t>
  </si>
  <si>
    <t>Draw Speed</t>
  </si>
  <si>
    <t>200 µL/min</t>
  </si>
  <si>
    <t>Eject Speed</t>
  </si>
  <si>
    <t>400 µL/min</t>
  </si>
  <si>
    <t>Wait time after draw</t>
  </si>
  <si>
    <t>1.2 secs</t>
  </si>
  <si>
    <t>Needle Wash</t>
  </si>
  <si>
    <t>Yes</t>
  </si>
  <si>
    <t>G7130A</t>
  </si>
  <si>
    <t>Temperature set</t>
  </si>
  <si>
    <t>Not Ready Limit Value</t>
  </si>
  <si>
    <r>
      <t>0.8</t>
    </r>
    <r>
      <rPr>
        <sz val="11"/>
        <color theme="1"/>
        <rFont val="Calibri"/>
        <family val="2"/>
      </rPr>
      <t>°C</t>
    </r>
  </si>
  <si>
    <t>Mass Spectrometer Detector</t>
  </si>
  <si>
    <t>Ionization mode</t>
  </si>
  <si>
    <t>API-ES</t>
  </si>
  <si>
    <t>Polarity</t>
  </si>
  <si>
    <t>Positive</t>
  </si>
  <si>
    <t>SIM Parameters</t>
  </si>
  <si>
    <t>SIM Ion</t>
  </si>
  <si>
    <t>468.2 T &amp; 724.8 V</t>
  </si>
  <si>
    <t>Gain EMV</t>
  </si>
  <si>
    <t>Actual dwell</t>
  </si>
  <si>
    <t>Spray Chamber</t>
  </si>
  <si>
    <t>Gas Temp</t>
  </si>
  <si>
    <r>
      <t>345</t>
    </r>
    <r>
      <rPr>
        <sz val="11"/>
        <color theme="1"/>
        <rFont val="Calibri"/>
        <family val="2"/>
      </rPr>
      <t>°C</t>
    </r>
  </si>
  <si>
    <t>Drying Gas</t>
  </si>
  <si>
    <t>9.0 L/min</t>
  </si>
  <si>
    <t>Neb Pressure</t>
  </si>
  <si>
    <t>50 psig</t>
  </si>
  <si>
    <t>Vcap (Positive)</t>
  </si>
  <si>
    <t>3500V</t>
  </si>
  <si>
    <t>Vcap (Negative)</t>
  </si>
  <si>
    <t>3000V</t>
  </si>
  <si>
    <t xml:space="preserve">General Calibration Settings </t>
  </si>
  <si>
    <t>Curve type</t>
  </si>
  <si>
    <t>Quadratic</t>
  </si>
  <si>
    <t xml:space="preserve">Origin </t>
  </si>
  <si>
    <t>Ignored</t>
  </si>
  <si>
    <t xml:space="preserve">Weight </t>
  </si>
  <si>
    <t>Equal</t>
  </si>
  <si>
    <t>Machine</t>
  </si>
  <si>
    <t xml:space="preserve">Agilent Infinity II 1260 Lab LC/MSD </t>
  </si>
  <si>
    <t>Column</t>
  </si>
  <si>
    <t xml:space="preserve">Poroshell 120 </t>
  </si>
  <si>
    <t xml:space="preserve">SB-C18 2.7µm, 2.1 x 100mm </t>
  </si>
  <si>
    <t>PN:</t>
  </si>
  <si>
    <t>685775-902(T)</t>
  </si>
  <si>
    <t>SN:</t>
  </si>
  <si>
    <t>USCFH07050</t>
  </si>
  <si>
    <t>LN:</t>
  </si>
  <si>
    <t>B18178</t>
  </si>
  <si>
    <t>TOB Concentration (µg/mL)</t>
  </si>
  <si>
    <t>VANC Concentration (µg/mL)</t>
  </si>
  <si>
    <t>TOB Concentraion (µg/mL)</t>
  </si>
  <si>
    <t>Lowest</t>
  </si>
  <si>
    <t>Highest</t>
  </si>
  <si>
    <t>µg/mL</t>
  </si>
  <si>
    <t>Detection Limits</t>
  </si>
  <si>
    <t>Below limits of detection</t>
  </si>
  <si>
    <t>No sample</t>
  </si>
  <si>
    <r>
      <t>CSB+Spacer</t>
    </r>
    <r>
      <rPr>
        <vertAlign val="subscript"/>
        <sz val="12"/>
        <color theme="1"/>
        <rFont val="Calibri (Body)"/>
      </rPr>
      <t>u</t>
    </r>
  </si>
  <si>
    <r>
      <t>CSB</t>
    </r>
    <r>
      <rPr>
        <vertAlign val="subscript"/>
        <sz val="12"/>
        <color theme="1"/>
        <rFont val="Calibri (Body)"/>
      </rPr>
      <t>v+t</t>
    </r>
    <r>
      <rPr>
        <sz val="11"/>
        <color theme="1"/>
        <rFont val="Calibri"/>
        <family val="2"/>
        <scheme val="minor"/>
      </rPr>
      <t>Spacer</t>
    </r>
    <r>
      <rPr>
        <vertAlign val="subscript"/>
        <sz val="12"/>
        <color theme="1"/>
        <rFont val="Calibri (Body)"/>
      </rPr>
      <t>v+t</t>
    </r>
  </si>
  <si>
    <r>
      <t>Spacer</t>
    </r>
    <r>
      <rPr>
        <vertAlign val="subscript"/>
        <sz val="12"/>
        <color theme="1"/>
        <rFont val="Calibri (Body)"/>
      </rPr>
      <t>v+t</t>
    </r>
  </si>
  <si>
    <t>G1B</t>
  </si>
  <si>
    <r>
      <t>AB+S</t>
    </r>
    <r>
      <rPr>
        <vertAlign val="subscript"/>
        <sz val="12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>.ii</t>
    </r>
  </si>
  <si>
    <t>AB+S.iii</t>
  </si>
  <si>
    <t>AB+S.v</t>
  </si>
  <si>
    <t>AB+S.vi</t>
  </si>
  <si>
    <r>
      <t>AB+S</t>
    </r>
    <r>
      <rPr>
        <sz val="12"/>
        <color theme="1"/>
        <rFont val="Calibri (Body)_x0000_"/>
      </rPr>
      <t>V2T2.</t>
    </r>
    <r>
      <rPr>
        <sz val="11"/>
        <color theme="1"/>
        <rFont val="Calibri"/>
        <family val="2"/>
        <scheme val="minor"/>
      </rPr>
      <t>ii</t>
    </r>
  </si>
  <si>
    <t>AB+SV2T2.iii</t>
  </si>
  <si>
    <t>AB+SV2T2.iv</t>
  </si>
  <si>
    <t>AB+SV2T2.v</t>
  </si>
  <si>
    <t>SV2T2.i</t>
  </si>
  <si>
    <t>SV2T2.ii</t>
  </si>
  <si>
    <t>SV2T2.iii</t>
  </si>
  <si>
    <t>SV2T2.iv</t>
  </si>
  <si>
    <t>TOB-PAO1</t>
  </si>
  <si>
    <t>time (min)</t>
  </si>
  <si>
    <t>time (hr)</t>
  </si>
  <si>
    <t>10"</t>
  </si>
  <si>
    <t>15"</t>
  </si>
  <si>
    <t>20"</t>
  </si>
  <si>
    <t>25"</t>
  </si>
  <si>
    <t>30"</t>
  </si>
  <si>
    <t>35"</t>
  </si>
  <si>
    <t>40"</t>
  </si>
  <si>
    <t>45"</t>
  </si>
  <si>
    <t>50"</t>
  </si>
  <si>
    <t>55"</t>
  </si>
  <si>
    <t>60"</t>
  </si>
  <si>
    <t>2'</t>
  </si>
  <si>
    <t>3'</t>
  </si>
  <si>
    <t>4'</t>
  </si>
  <si>
    <t>5'</t>
  </si>
  <si>
    <t>6'</t>
  </si>
  <si>
    <t>7'</t>
  </si>
  <si>
    <t>8'</t>
  </si>
  <si>
    <t>12'</t>
  </si>
  <si>
    <t>18'</t>
  </si>
  <si>
    <t>24'</t>
  </si>
  <si>
    <t>48'</t>
  </si>
  <si>
    <t>Time (Days)</t>
  </si>
  <si>
    <t>Time (Hr)</t>
  </si>
  <si>
    <t>Average</t>
  </si>
  <si>
    <r>
      <t>CSBv+tplusSpacer</t>
    </r>
    <r>
      <rPr>
        <vertAlign val="subscript"/>
        <sz val="12"/>
        <color theme="1"/>
        <rFont val="Calibri (Body)"/>
      </rPr>
      <t>u</t>
    </r>
  </si>
  <si>
    <t>SD</t>
  </si>
  <si>
    <t>SE</t>
  </si>
  <si>
    <t>n</t>
  </si>
  <si>
    <r>
      <t>CSB</t>
    </r>
    <r>
      <rPr>
        <vertAlign val="subscript"/>
        <sz val="12"/>
        <color theme="1"/>
        <rFont val="Calibri (Body)"/>
      </rPr>
      <t>v+tplus</t>
    </r>
    <r>
      <rPr>
        <sz val="11"/>
        <color theme="1"/>
        <rFont val="Calibri"/>
        <family val="2"/>
        <scheme val="minor"/>
      </rPr>
      <t>Spacer</t>
    </r>
    <r>
      <rPr>
        <vertAlign val="subscript"/>
        <sz val="12"/>
        <color theme="1"/>
        <rFont val="Calibri (Body)"/>
      </rPr>
      <t>v+t</t>
    </r>
  </si>
  <si>
    <t>Raw</t>
  </si>
  <si>
    <t>Log-scale</t>
  </si>
  <si>
    <t>Geometric mean</t>
  </si>
  <si>
    <t>Min. Detection</t>
  </si>
  <si>
    <t>VANC-UAMS1</t>
  </si>
  <si>
    <t>VP.i</t>
  </si>
  <si>
    <t>VP.ii</t>
  </si>
  <si>
    <t>VP1.iii</t>
  </si>
  <si>
    <t>VP</t>
  </si>
  <si>
    <t>VP1</t>
  </si>
  <si>
    <t>VP2</t>
  </si>
  <si>
    <t>VP3</t>
  </si>
  <si>
    <t>VP.iii</t>
  </si>
  <si>
    <t>Hour</t>
  </si>
  <si>
    <t>mL/min</t>
  </si>
  <si>
    <t>CI</t>
  </si>
  <si>
    <t>GEOMETRIC MEAN</t>
  </si>
  <si>
    <t>Fold</t>
  </si>
  <si>
    <t>log difference</t>
  </si>
  <si>
    <t>Difference</t>
  </si>
  <si>
    <t>Log Dif</t>
  </si>
  <si>
    <t>e</t>
  </si>
  <si>
    <t>TOB</t>
  </si>
  <si>
    <t>CSBv+tSpacerv+t - 2</t>
  </si>
  <si>
    <t>CSBv+tSpacerv+t - 12</t>
  </si>
  <si>
    <t>CSBv+tSpacerv+t - 24</t>
  </si>
  <si>
    <t>CSBv+tSpacerv+t - 48</t>
  </si>
  <si>
    <t xml:space="preserve">Spacerv+t - 2 </t>
  </si>
  <si>
    <t>Spacerv+t - 12</t>
  </si>
  <si>
    <t>Spacerv+t - 24</t>
  </si>
  <si>
    <t>Spacerv+t - 48</t>
  </si>
  <si>
    <t>Avg</t>
  </si>
  <si>
    <t>ttest</t>
  </si>
  <si>
    <t>VANC</t>
  </si>
  <si>
    <t>VP -2</t>
  </si>
  <si>
    <t>VP - 12</t>
  </si>
  <si>
    <t xml:space="preserve">VP - 24 </t>
  </si>
  <si>
    <t>VP - 48</t>
  </si>
  <si>
    <t>Tobramycin</t>
  </si>
  <si>
    <t>Vancomycin</t>
  </si>
  <si>
    <t>12 hours</t>
  </si>
  <si>
    <t>24 hours</t>
  </si>
  <si>
    <t>48 hours</t>
  </si>
  <si>
    <t>CSBv+tSpacerv+t</t>
  </si>
  <si>
    <t>Spacerv+t</t>
  </si>
  <si>
    <t>AUC</t>
  </si>
  <si>
    <t>Std Error</t>
  </si>
  <si>
    <t>2 hours</t>
  </si>
  <si>
    <t>LOG</t>
  </si>
  <si>
    <t>CSBv+tSpacerv+t v VP</t>
  </si>
  <si>
    <t>CSBv+tSpacerv+t v Spacerv+t</t>
  </si>
  <si>
    <t>Spacerv+t v VP</t>
  </si>
  <si>
    <t>Raw Data</t>
  </si>
  <si>
    <t>Time (hour)</t>
  </si>
  <si>
    <t xml:space="preserve">Mean </t>
  </si>
  <si>
    <t>Standard Error</t>
  </si>
  <si>
    <t>time  (hour)</t>
  </si>
  <si>
    <t>Mean</t>
  </si>
  <si>
    <t>CSB+S.iii</t>
  </si>
  <si>
    <t>CSB+S.v</t>
  </si>
  <si>
    <r>
      <t>CSB+S</t>
    </r>
    <r>
      <rPr>
        <sz val="12"/>
        <color theme="1"/>
        <rFont val="Calibri (Body)_x0000_"/>
      </rPr>
      <t>.</t>
    </r>
    <r>
      <rPr>
        <sz val="11"/>
        <color theme="1"/>
        <rFont val="Calibri"/>
        <family val="2"/>
        <scheme val="minor"/>
      </rPr>
      <t>ii</t>
    </r>
  </si>
  <si>
    <t>CSB+S.iv</t>
  </si>
  <si>
    <t>S.i</t>
  </si>
  <si>
    <t>S.ii</t>
  </si>
  <si>
    <t>S.iii</t>
  </si>
  <si>
    <t>S.iv</t>
  </si>
  <si>
    <t xml:space="preserve">CSBv+tSpaceru data was not used because it was clinically irrelevant </t>
  </si>
  <si>
    <t>This data was not used because it was clinically irrelevant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</si>
</sst>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000"/>
  </numFmts>
  <fonts count="2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9"/>
      <color rgb="FF000000"/>
      <name val="Arial"/>
      <family val="2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Ink Free"/>
      <family val="4"/>
    </font>
    <font>
      <sz val="11"/>
      <color theme="1"/>
      <name val="Ink Free"/>
      <family val="4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11"/>
      <color theme="1"/>
      <name val="Ink Free"/>
      <family val="4"/>
    </font>
    <font>
      <vertAlign val="subscript"/>
      <sz val="12"/>
      <color theme="1"/>
      <name val="Calibri (Body)"/>
    </font>
    <font>
      <vertAlign val="subscript"/>
      <sz val="12"/>
      <color theme="1"/>
      <name val="Calibri"/>
      <family val="2"/>
      <scheme val="minor"/>
    </font>
    <font>
      <sz val="12"/>
      <color theme="1"/>
      <name val="Calibri (Body)_x0000_"/>
    </font>
    <font>
      <sz val="12"/>
      <color rgb="FF000000"/>
      <name val="Calibri"/>
      <family val="2"/>
      <scheme val="minor"/>
    </font>
    <font>
      <sz val="12"/>
      <name val="Arial"/>
    </font>
    <font>
      <sz val="12"/>
      <name val="Calibri"/>
      <family val="2"/>
      <scheme val="minor"/>
    </font>
    <font>
      <sz val="12"/>
      <name val="Arial"/>
      <family val="2"/>
    </font>
    <font>
      <sz val="16"/>
      <color theme="1"/>
      <name val="Calibri (Body)"/>
    </font>
  </fonts>
  <fills count="2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FFEB9C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2" fillId="4" borderId="0" applyNumberFormat="0" applyBorder="0" applyAlignment="0" applyProtection="0"/>
  </cellStyleXfs>
  <cellXfs count="179">
    <xf numFmtId="0" fontId="0" fillId="0" borderId="0" xfId="0"/>
    <xf numFmtId="0" fontId="3" fillId="0" borderId="0" xfId="0" applyFont="1"/>
    <xf numFmtId="0" fontId="4" fillId="0" borderId="0" xfId="0" applyFont="1"/>
    <xf numFmtId="1" fontId="5" fillId="3" borderId="1" xfId="0" applyNumberFormat="1" applyFont="1" applyFill="1" applyBorder="1" applyAlignment="1">
      <alignment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2" fontId="6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0" fontId="9" fillId="0" borderId="1" xfId="0" applyFont="1" applyBorder="1"/>
    <xf numFmtId="0" fontId="0" fillId="0" borderId="0" xfId="0" applyAlignment="1">
      <alignment vertical="center"/>
    </xf>
    <xf numFmtId="2" fontId="6" fillId="3" borderId="0" xfId="0" applyNumberFormat="1" applyFont="1" applyFill="1" applyBorder="1" applyAlignment="1">
      <alignment horizontal="right" vertical="center" wrapText="1"/>
    </xf>
    <xf numFmtId="0" fontId="8" fillId="0" borderId="1" xfId="0" applyFont="1" applyBorder="1"/>
    <xf numFmtId="0" fontId="8" fillId="0" borderId="2" xfId="0" applyFont="1" applyBorder="1"/>
    <xf numFmtId="2" fontId="0" fillId="0" borderId="0" xfId="0" applyNumberFormat="1"/>
    <xf numFmtId="2" fontId="0" fillId="0" borderId="1" xfId="0" applyNumberFormat="1" applyBorder="1"/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8" fillId="0" borderId="0" xfId="0" applyFont="1"/>
    <xf numFmtId="2" fontId="5" fillId="3" borderId="1" xfId="0" applyNumberFormat="1" applyFont="1" applyFill="1" applyBorder="1" applyAlignment="1">
      <alignment vertical="center" wrapText="1"/>
    </xf>
    <xf numFmtId="0" fontId="0" fillId="0" borderId="0" xfId="0" applyFont="1"/>
    <xf numFmtId="2" fontId="6" fillId="3" borderId="3" xfId="0" applyNumberFormat="1" applyFont="1" applyFill="1" applyBorder="1" applyAlignment="1">
      <alignment horizontal="right" vertical="center" wrapText="1"/>
    </xf>
    <xf numFmtId="0" fontId="0" fillId="0" borderId="3" xfId="0" applyBorder="1"/>
    <xf numFmtId="2" fontId="6" fillId="3" borderId="6" xfId="0" applyNumberFormat="1" applyFont="1" applyFill="1" applyBorder="1" applyAlignment="1">
      <alignment horizontal="right" vertical="center" wrapText="1"/>
    </xf>
    <xf numFmtId="2" fontId="6" fillId="3" borderId="2" xfId="0" applyNumberFormat="1" applyFont="1" applyFill="1" applyBorder="1" applyAlignment="1">
      <alignment horizontal="right" vertical="center" wrapText="1"/>
    </xf>
    <xf numFmtId="0" fontId="14" fillId="0" borderId="0" xfId="0" applyFont="1"/>
    <xf numFmtId="0" fontId="15" fillId="0" borderId="0" xfId="0" applyFont="1"/>
    <xf numFmtId="2" fontId="5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5" fillId="3" borderId="0" xfId="0" applyNumberFormat="1" applyFont="1" applyFill="1" applyBorder="1" applyAlignment="1">
      <alignment horizontal="right" vertical="center" wrapText="1"/>
    </xf>
    <xf numFmtId="0" fontId="0" fillId="5" borderId="0" xfId="0" applyFill="1"/>
    <xf numFmtId="2" fontId="6" fillId="5" borderId="1" xfId="0" applyNumberFormat="1" applyFont="1" applyFill="1" applyBorder="1" applyAlignment="1">
      <alignment horizontal="right" vertical="center" wrapText="1"/>
    </xf>
    <xf numFmtId="0" fontId="0" fillId="6" borderId="0" xfId="0" applyFill="1"/>
    <xf numFmtId="2" fontId="6" fillId="6" borderId="1" xfId="0" applyNumberFormat="1" applyFont="1" applyFill="1" applyBorder="1" applyAlignment="1">
      <alignment horizontal="right" vertical="center" wrapText="1"/>
    </xf>
    <xf numFmtId="2" fontId="6" fillId="7" borderId="1" xfId="0" applyNumberFormat="1" applyFont="1" applyFill="1" applyBorder="1" applyAlignment="1">
      <alignment horizontal="right" vertical="center" wrapText="1"/>
    </xf>
    <xf numFmtId="2" fontId="6" fillId="8" borderId="1" xfId="0" applyNumberFormat="1" applyFont="1" applyFill="1" applyBorder="1" applyAlignment="1">
      <alignment horizontal="right" vertical="center" wrapText="1"/>
    </xf>
    <xf numFmtId="0" fontId="0" fillId="7" borderId="1" xfId="0" applyFill="1" applyBorder="1"/>
    <xf numFmtId="0" fontId="9" fillId="7" borderId="1" xfId="0" applyFont="1" applyFill="1" applyBorder="1"/>
    <xf numFmtId="2" fontId="6" fillId="0" borderId="1" xfId="0" applyNumberFormat="1" applyFont="1" applyFill="1" applyBorder="1" applyAlignment="1">
      <alignment horizontal="right" vertical="center" wrapText="1"/>
    </xf>
    <xf numFmtId="2" fontId="18" fillId="7" borderId="1" xfId="1" applyNumberFormat="1" applyFont="1" applyFill="1" applyBorder="1" applyAlignment="1">
      <alignment horizontal="right" vertical="center" wrapText="1"/>
    </xf>
    <xf numFmtId="2" fontId="19" fillId="7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0" fillId="6" borderId="1" xfId="0" applyFill="1" applyBorder="1"/>
    <xf numFmtId="2" fontId="6" fillId="3" borderId="5" xfId="0" applyNumberFormat="1" applyFont="1" applyFill="1" applyBorder="1" applyAlignment="1">
      <alignment horizontal="right" vertical="center" wrapText="1"/>
    </xf>
    <xf numFmtId="2" fontId="6" fillId="7" borderId="5" xfId="0" applyNumberFormat="1" applyFont="1" applyFill="1" applyBorder="1" applyAlignment="1">
      <alignment horizontal="right" vertical="center" wrapText="1"/>
    </xf>
    <xf numFmtId="2" fontId="11" fillId="6" borderId="1" xfId="0" applyNumberFormat="1" applyFont="1" applyFill="1" applyBorder="1" applyAlignment="1">
      <alignment horizontal="right" vertical="center" wrapText="1"/>
    </xf>
    <xf numFmtId="0" fontId="11" fillId="6" borderId="1" xfId="0" applyFont="1" applyFill="1" applyBorder="1" applyAlignment="1">
      <alignment horizontal="right" vertical="center" wrapText="1"/>
    </xf>
    <xf numFmtId="2" fontId="11" fillId="6" borderId="2" xfId="0" applyNumberFormat="1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horizontal="right" vertical="center" wrapText="1"/>
    </xf>
    <xf numFmtId="0" fontId="6" fillId="6" borderId="1" xfId="0" applyFont="1" applyFill="1" applyBorder="1"/>
    <xf numFmtId="2" fontId="6" fillId="7" borderId="6" xfId="0" applyNumberFormat="1" applyFont="1" applyFill="1" applyBorder="1" applyAlignment="1">
      <alignment horizontal="right" vertical="center" wrapText="1"/>
    </xf>
    <xf numFmtId="2" fontId="6" fillId="7" borderId="7" xfId="0" applyNumberFormat="1" applyFont="1" applyFill="1" applyBorder="1" applyAlignment="1">
      <alignment horizontal="right" vertical="center" wrapText="1"/>
    </xf>
    <xf numFmtId="0" fontId="0" fillId="7" borderId="7" xfId="0" applyFill="1" applyBorder="1"/>
    <xf numFmtId="2" fontId="6" fillId="7" borderId="2" xfId="0" applyNumberFormat="1" applyFont="1" applyFill="1" applyBorder="1" applyAlignment="1">
      <alignment horizontal="right" vertical="center" wrapText="1"/>
    </xf>
    <xf numFmtId="2" fontId="6" fillId="7" borderId="3" xfId="0" applyNumberFormat="1" applyFont="1" applyFill="1" applyBorder="1" applyAlignment="1">
      <alignment horizontal="right" vertical="center" wrapText="1"/>
    </xf>
    <xf numFmtId="0" fontId="0" fillId="7" borderId="3" xfId="0" applyFill="1" applyBorder="1"/>
    <xf numFmtId="0" fontId="18" fillId="7" borderId="1" xfId="1" applyFont="1" applyFill="1" applyBorder="1" applyAlignment="1">
      <alignment horizontal="right" vertical="center" wrapText="1"/>
    </xf>
    <xf numFmtId="2" fontId="0" fillId="7" borderId="1" xfId="0" applyNumberFormat="1" applyFill="1" applyBorder="1"/>
    <xf numFmtId="2" fontId="12" fillId="6" borderId="1" xfId="2" applyNumberFormat="1" applyFill="1" applyBorder="1" applyAlignment="1">
      <alignment horizontal="right" vertical="center" wrapText="1"/>
    </xf>
    <xf numFmtId="0" fontId="12" fillId="6" borderId="1" xfId="2" applyFill="1" applyBorder="1"/>
    <xf numFmtId="0" fontId="0" fillId="6" borderId="1" xfId="0" applyFont="1" applyFill="1" applyBorder="1"/>
    <xf numFmtId="2" fontId="0" fillId="6" borderId="1" xfId="0" applyNumberFormat="1" applyFill="1" applyBorder="1"/>
    <xf numFmtId="0" fontId="20" fillId="0" borderId="0" xfId="0" applyFont="1"/>
    <xf numFmtId="0" fontId="0" fillId="0" borderId="0" xfId="0" applyAlignment="1">
      <alignment horizontal="center"/>
    </xf>
    <xf numFmtId="0" fontId="0" fillId="10" borderId="0" xfId="0" applyFont="1" applyFill="1" applyAlignment="1">
      <alignment horizontal="center"/>
    </xf>
    <xf numFmtId="0" fontId="0" fillId="12" borderId="0" xfId="0" applyFill="1" applyAlignment="1">
      <alignment horizontal="center"/>
    </xf>
    <xf numFmtId="0" fontId="24" fillId="1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8" xfId="0" applyBorder="1"/>
    <xf numFmtId="0" fontId="0" fillId="0" borderId="8" xfId="0" applyFill="1" applyBorder="1" applyAlignment="1">
      <alignment horizontal="center"/>
    </xf>
    <xf numFmtId="0" fontId="0" fillId="0" borderId="8" xfId="0" applyFill="1" applyBorder="1"/>
    <xf numFmtId="0" fontId="24" fillId="0" borderId="8" xfId="0" applyFont="1" applyFill="1" applyBorder="1" applyAlignment="1">
      <alignment horizontal="center"/>
    </xf>
    <xf numFmtId="0" fontId="24" fillId="12" borderId="0" xfId="0" applyFont="1" applyFill="1" applyBorder="1" applyAlignment="1">
      <alignment horizontal="center"/>
    </xf>
    <xf numFmtId="164" fontId="0" fillId="0" borderId="0" xfId="0" applyNumberFormat="1"/>
    <xf numFmtId="0" fontId="0" fillId="0" borderId="9" xfId="0" applyBorder="1"/>
    <xf numFmtId="2" fontId="0" fillId="0" borderId="0" xfId="0" applyNumberFormat="1" applyFill="1"/>
    <xf numFmtId="0" fontId="0" fillId="0" borderId="10" xfId="0" applyBorder="1"/>
    <xf numFmtId="0" fontId="0" fillId="0" borderId="11" xfId="0" applyFill="1" applyBorder="1"/>
    <xf numFmtId="2" fontId="6" fillId="13" borderId="1" xfId="0" applyNumberFormat="1" applyFont="1" applyFill="1" applyBorder="1" applyAlignment="1">
      <alignment horizontal="right" vertical="center" wrapText="1"/>
    </xf>
    <xf numFmtId="2" fontId="0" fillId="0" borderId="9" xfId="0" applyNumberFormat="1" applyBorder="1"/>
    <xf numFmtId="0" fontId="0" fillId="0" borderId="11" xfId="0" applyBorder="1"/>
    <xf numFmtId="2" fontId="0" fillId="0" borderId="12" xfId="0" applyNumberFormat="1" applyBorder="1"/>
    <xf numFmtId="2" fontId="0" fillId="0" borderId="8" xfId="0" applyNumberFormat="1" applyFill="1" applyBorder="1"/>
    <xf numFmtId="0" fontId="0" fillId="1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12" fillId="6" borderId="6" xfId="2" applyFill="1" applyBorder="1"/>
    <xf numFmtId="0" fontId="0" fillId="6" borderId="6" xfId="0" applyFill="1" applyBorder="1"/>
    <xf numFmtId="2" fontId="6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/>
    <xf numFmtId="0" fontId="0" fillId="0" borderId="0" xfId="0" applyFill="1" applyBorder="1"/>
    <xf numFmtId="0" fontId="0" fillId="6" borderId="3" xfId="0" applyFill="1" applyBorder="1"/>
    <xf numFmtId="2" fontId="6" fillId="11" borderId="3" xfId="0" applyNumberFormat="1" applyFont="1" applyFill="1" applyBorder="1" applyAlignment="1">
      <alignment horizontal="right" vertical="center" wrapText="1"/>
    </xf>
    <xf numFmtId="2" fontId="6" fillId="11" borderId="13" xfId="0" applyNumberFormat="1" applyFont="1" applyFill="1" applyBorder="1" applyAlignment="1">
      <alignment horizontal="right" vertical="center" wrapText="1"/>
    </xf>
    <xf numFmtId="0" fontId="0" fillId="15" borderId="0" xfId="0" applyFont="1" applyFill="1" applyAlignment="1">
      <alignment horizontal="center"/>
    </xf>
    <xf numFmtId="0" fontId="0" fillId="16" borderId="0" xfId="0" applyFill="1" applyAlignment="1">
      <alignment horizontal="center"/>
    </xf>
    <xf numFmtId="0" fontId="0" fillId="16" borderId="0" xfId="0" applyFont="1" applyFill="1" applyAlignment="1">
      <alignment horizontal="center"/>
    </xf>
    <xf numFmtId="0" fontId="0" fillId="15" borderId="0" xfId="0" applyFill="1" applyAlignment="1">
      <alignment horizontal="center"/>
    </xf>
    <xf numFmtId="0" fontId="0" fillId="17" borderId="0" xfId="0" applyFill="1"/>
    <xf numFmtId="2" fontId="0" fillId="0" borderId="0" xfId="0" applyNumberFormat="1" applyFill="1" applyAlignment="1">
      <alignment horizontal="center"/>
    </xf>
    <xf numFmtId="0" fontId="0" fillId="18" borderId="0" xfId="0" applyFill="1"/>
    <xf numFmtId="0" fontId="0" fillId="1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4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9" xfId="0" applyFill="1" applyBorder="1"/>
    <xf numFmtId="0" fontId="0" fillId="10" borderId="0" xfId="0" applyFont="1" applyFill="1" applyAlignment="1">
      <alignment horizontal="center"/>
    </xf>
    <xf numFmtId="2" fontId="0" fillId="0" borderId="0" xfId="0" applyNumberFormat="1" applyFill="1" applyBorder="1"/>
    <xf numFmtId="165" fontId="0" fillId="0" borderId="0" xfId="0" applyNumberFormat="1"/>
    <xf numFmtId="0" fontId="25" fillId="0" borderId="0" xfId="0" applyFont="1"/>
    <xf numFmtId="0" fontId="25" fillId="6" borderId="0" xfId="0" applyFont="1" applyFill="1" applyAlignment="1">
      <alignment horizontal="center"/>
    </xf>
    <xf numFmtId="0" fontId="25" fillId="19" borderId="0" xfId="0" applyFont="1" applyFill="1" applyAlignment="1">
      <alignment horizontal="center"/>
    </xf>
    <xf numFmtId="0" fontId="25" fillId="16" borderId="0" xfId="0" applyFont="1" applyFill="1" applyAlignment="1">
      <alignment horizontal="center"/>
    </xf>
    <xf numFmtId="0" fontId="25" fillId="0" borderId="14" xfId="0" applyFont="1" applyBorder="1"/>
    <xf numFmtId="0" fontId="25" fillId="0" borderId="0" xfId="0" applyFont="1" applyBorder="1"/>
    <xf numFmtId="0" fontId="0" fillId="0" borderId="0" xfId="0" applyBorder="1"/>
    <xf numFmtId="0" fontId="25" fillId="0" borderId="15" xfId="0" applyFont="1" applyBorder="1" applyAlignment="1"/>
    <xf numFmtId="0" fontId="0" fillId="0" borderId="0" xfId="0" applyAlignment="1">
      <alignment wrapText="1"/>
    </xf>
    <xf numFmtId="0" fontId="0" fillId="14" borderId="0" xfId="0" applyFill="1"/>
    <xf numFmtId="0" fontId="0" fillId="9" borderId="0" xfId="0" applyFill="1" applyAlignment="1">
      <alignment horizontal="center"/>
    </xf>
    <xf numFmtId="0" fontId="0" fillId="1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18" borderId="0" xfId="0" applyFill="1" applyAlignment="1">
      <alignment horizontal="center"/>
    </xf>
    <xf numFmtId="0" fontId="26" fillId="0" borderId="0" xfId="0" applyFont="1"/>
    <xf numFmtId="0" fontId="1" fillId="0" borderId="0" xfId="0" applyFont="1"/>
    <xf numFmtId="0" fontId="27" fillId="6" borderId="0" xfId="0" applyFont="1" applyFill="1" applyAlignment="1">
      <alignment horizontal="center"/>
    </xf>
    <xf numFmtId="0" fontId="27" fillId="19" borderId="0" xfId="0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2" fontId="6" fillId="0" borderId="8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ill="1" applyBorder="1"/>
    <xf numFmtId="2" fontId="6" fillId="0" borderId="3" xfId="0" applyNumberFormat="1" applyFont="1" applyFill="1" applyBorder="1" applyAlignment="1">
      <alignment horizontal="right" vertical="center" wrapText="1"/>
    </xf>
    <xf numFmtId="0" fontId="24" fillId="9" borderId="0" xfId="0" applyFont="1" applyFill="1"/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0" fillId="0" borderId="0" xfId="0" applyFill="1" applyAlignment="1">
      <alignment horizontal="center"/>
    </xf>
    <xf numFmtId="0" fontId="0" fillId="10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0" fillId="18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25" fillId="0" borderId="15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5" fillId="0" borderId="16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8" fillId="20" borderId="0" xfId="0" applyFont="1" applyFill="1" applyAlignment="1">
      <alignment horizontal="center"/>
    </xf>
    <xf numFmtId="0" fontId="0" fillId="20" borderId="0" xfId="0" applyFill="1" applyAlignment="1">
      <alignment horizontal="center"/>
    </xf>
    <xf numFmtId="0" fontId="0" fillId="20" borderId="0" xfId="0" applyFill="1" applyAlignment="1">
      <alignment wrapText="1"/>
    </xf>
    <xf numFmtId="0" fontId="24" fillId="9" borderId="0" xfId="0" applyFont="1" applyFill="1" applyAlignment="1">
      <alignment horizontal="center"/>
    </xf>
  </cellXfs>
  <cellStyles count="3">
    <cellStyle name="Bad" xfId="1" builtinId="27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G1</a:t>
            </a:r>
            <a:r>
              <a:rPr lang="en-GB" baseline="0"/>
              <a:t> - Spacer (no antibiotic) + Beads (1g Vancomycin &amp; 240mg Tobramycin) - LOG SCALE (avg over all samples)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'CSBv+tSpaceru'!$R$5</c:f>
              <c:strCache>
                <c:ptCount val="1"/>
                <c:pt idx="0">
                  <c:v>Tob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'CSBv+tSpaceru'!$W$6:$W$42</c:f>
                <c:numCache>
                  <c:formatCode>General</c:formatCode>
                  <c:ptCount val="37"/>
                  <c:pt idx="0">
                    <c:v>2.5880064399713576</c:v>
                  </c:pt>
                  <c:pt idx="1">
                    <c:v>656.15429505823067</c:v>
                  </c:pt>
                  <c:pt idx="2">
                    <c:v>475.4606979674524</c:v>
                  </c:pt>
                  <c:pt idx="3">
                    <c:v>331.96766914562772</c:v>
                  </c:pt>
                  <c:pt idx="4">
                    <c:v>250.01971670013984</c:v>
                  </c:pt>
                  <c:pt idx="5">
                    <c:v>178.75301792968335</c:v>
                  </c:pt>
                  <c:pt idx="6">
                    <c:v>139.96290981052371</c:v>
                  </c:pt>
                  <c:pt idx="7">
                    <c:v>103.63759381950629</c:v>
                  </c:pt>
                  <c:pt idx="8">
                    <c:v>101.39424132966418</c:v>
                  </c:pt>
                  <c:pt idx="9">
                    <c:v>65.667371778267125</c:v>
                  </c:pt>
                  <c:pt idx="10">
                    <c:v>53.318697983887141</c:v>
                  </c:pt>
                  <c:pt idx="11">
                    <c:v>45.640282546332806</c:v>
                  </c:pt>
                  <c:pt idx="12">
                    <c:v>217.63118307995506</c:v>
                  </c:pt>
                  <c:pt idx="13">
                    <c:v>136.43017484406059</c:v>
                  </c:pt>
                  <c:pt idx="14">
                    <c:v>158.43743459975732</c:v>
                  </c:pt>
                  <c:pt idx="15">
                    <c:v>149.4500748911536</c:v>
                  </c:pt>
                  <c:pt idx="16">
                    <c:v>154.10586864054574</c:v>
                  </c:pt>
                  <c:pt idx="17">
                    <c:v>153.46829094627802</c:v>
                  </c:pt>
                  <c:pt idx="18">
                    <c:v>142.75705441837022</c:v>
                  </c:pt>
                  <c:pt idx="19">
                    <c:v>272.74173068152146</c:v>
                  </c:pt>
                  <c:pt idx="20">
                    <c:v>226.38452118306526</c:v>
                  </c:pt>
                  <c:pt idx="21">
                    <c:v>230.86071518524091</c:v>
                  </c:pt>
                  <c:pt idx="22">
                    <c:v>206.74903961347741</c:v>
                  </c:pt>
                  <c:pt idx="23">
                    <c:v>250.32522816036317</c:v>
                  </c:pt>
                  <c:pt idx="24">
                    <c:v>265.38191823179358</c:v>
                  </c:pt>
                  <c:pt idx="25">
                    <c:v>246.00141867937501</c:v>
                  </c:pt>
                  <c:pt idx="26">
                    <c:v>321.8493756023322</c:v>
                  </c:pt>
                  <c:pt idx="27">
                    <c:v>140.1469169203439</c:v>
                  </c:pt>
                  <c:pt idx="28">
                    <c:v>85.473538699120226</c:v>
                  </c:pt>
                  <c:pt idx="29">
                    <c:v>78.599913991859907</c:v>
                  </c:pt>
                  <c:pt idx="30">
                    <c:v>85.986146228622204</c:v>
                  </c:pt>
                  <c:pt idx="31">
                    <c:v>51.756996478737037</c:v>
                  </c:pt>
                  <c:pt idx="32">
                    <c:v>9.4055019019602444</c:v>
                  </c:pt>
                  <c:pt idx="33">
                    <c:v>8.0690190543832525</c:v>
                  </c:pt>
                  <c:pt idx="34">
                    <c:v>7.4631740920186074</c:v>
                  </c:pt>
                  <c:pt idx="35">
                    <c:v>3.4062453302720295</c:v>
                  </c:pt>
                  <c:pt idx="36">
                    <c:v>2.201431182208518</c:v>
                  </c:pt>
                </c:numCache>
              </c:numRef>
            </c:plus>
            <c:minus>
              <c:numRef>
                <c:f>'CSBv+tSpaceru'!$W$6:$W$42</c:f>
                <c:numCache>
                  <c:formatCode>General</c:formatCode>
                  <c:ptCount val="37"/>
                  <c:pt idx="0">
                    <c:v>2.5880064399713576</c:v>
                  </c:pt>
                  <c:pt idx="1">
                    <c:v>656.15429505823067</c:v>
                  </c:pt>
                  <c:pt idx="2">
                    <c:v>475.4606979674524</c:v>
                  </c:pt>
                  <c:pt idx="3">
                    <c:v>331.96766914562772</c:v>
                  </c:pt>
                  <c:pt idx="4">
                    <c:v>250.01971670013984</c:v>
                  </c:pt>
                  <c:pt idx="5">
                    <c:v>178.75301792968335</c:v>
                  </c:pt>
                  <c:pt idx="6">
                    <c:v>139.96290981052371</c:v>
                  </c:pt>
                  <c:pt idx="7">
                    <c:v>103.63759381950629</c:v>
                  </c:pt>
                  <c:pt idx="8">
                    <c:v>101.39424132966418</c:v>
                  </c:pt>
                  <c:pt idx="9">
                    <c:v>65.667371778267125</c:v>
                  </c:pt>
                  <c:pt idx="10">
                    <c:v>53.318697983887141</c:v>
                  </c:pt>
                  <c:pt idx="11">
                    <c:v>45.640282546332806</c:v>
                  </c:pt>
                  <c:pt idx="12">
                    <c:v>217.63118307995506</c:v>
                  </c:pt>
                  <c:pt idx="13">
                    <c:v>136.43017484406059</c:v>
                  </c:pt>
                  <c:pt idx="14">
                    <c:v>158.43743459975732</c:v>
                  </c:pt>
                  <c:pt idx="15">
                    <c:v>149.4500748911536</c:v>
                  </c:pt>
                  <c:pt idx="16">
                    <c:v>154.10586864054574</c:v>
                  </c:pt>
                  <c:pt idx="17">
                    <c:v>153.46829094627802</c:v>
                  </c:pt>
                  <c:pt idx="18">
                    <c:v>142.75705441837022</c:v>
                  </c:pt>
                  <c:pt idx="19">
                    <c:v>272.74173068152146</c:v>
                  </c:pt>
                  <c:pt idx="20">
                    <c:v>226.38452118306526</c:v>
                  </c:pt>
                  <c:pt idx="21">
                    <c:v>230.86071518524091</c:v>
                  </c:pt>
                  <c:pt idx="22">
                    <c:v>206.74903961347741</c:v>
                  </c:pt>
                  <c:pt idx="23">
                    <c:v>250.32522816036317</c:v>
                  </c:pt>
                  <c:pt idx="24">
                    <c:v>265.38191823179358</c:v>
                  </c:pt>
                  <c:pt idx="25">
                    <c:v>246.00141867937501</c:v>
                  </c:pt>
                  <c:pt idx="26">
                    <c:v>321.8493756023322</c:v>
                  </c:pt>
                  <c:pt idx="27">
                    <c:v>140.1469169203439</c:v>
                  </c:pt>
                  <c:pt idx="28">
                    <c:v>85.473538699120226</c:v>
                  </c:pt>
                  <c:pt idx="29">
                    <c:v>78.599913991859907</c:v>
                  </c:pt>
                  <c:pt idx="30">
                    <c:v>85.986146228622204</c:v>
                  </c:pt>
                  <c:pt idx="31">
                    <c:v>51.756996478737037</c:v>
                  </c:pt>
                  <c:pt idx="32">
                    <c:v>9.4055019019602444</c:v>
                  </c:pt>
                  <c:pt idx="33">
                    <c:v>8.0690190543832525</c:v>
                  </c:pt>
                  <c:pt idx="34">
                    <c:v>7.4631740920186074</c:v>
                  </c:pt>
                  <c:pt idx="35">
                    <c:v>3.4062453302720295</c:v>
                  </c:pt>
                  <c:pt idx="36">
                    <c:v>2.201431182208518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'CSBv+tSpaceru'!$Q$6:$Q$42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18</c:v>
                </c:pt>
                <c:pt idx="22">
                  <c:v>24</c:v>
                </c:pt>
                <c:pt idx="23">
                  <c:v>48</c:v>
                </c:pt>
                <c:pt idx="24">
                  <c:v>120</c:v>
                </c:pt>
                <c:pt idx="25">
                  <c:v>192</c:v>
                </c:pt>
                <c:pt idx="26">
                  <c:v>264</c:v>
                </c:pt>
                <c:pt idx="27">
                  <c:v>336</c:v>
                </c:pt>
                <c:pt idx="28">
                  <c:v>408</c:v>
                </c:pt>
                <c:pt idx="29">
                  <c:v>480</c:v>
                </c:pt>
                <c:pt idx="30">
                  <c:v>552</c:v>
                </c:pt>
                <c:pt idx="31">
                  <c:v>624</c:v>
                </c:pt>
                <c:pt idx="32">
                  <c:v>696</c:v>
                </c:pt>
                <c:pt idx="33">
                  <c:v>768</c:v>
                </c:pt>
                <c:pt idx="34">
                  <c:v>840</c:v>
                </c:pt>
                <c:pt idx="35">
                  <c:v>912</c:v>
                </c:pt>
                <c:pt idx="36">
                  <c:v>984</c:v>
                </c:pt>
              </c:numCache>
            </c:numRef>
          </c:cat>
          <c:val>
            <c:numRef>
              <c:f>'CSBv+tSpaceru'!$R$6:$R$42</c:f>
              <c:numCache>
                <c:formatCode>0.00</c:formatCode>
                <c:ptCount val="37"/>
                <c:pt idx="0">
                  <c:v>601.2443333333332</c:v>
                </c:pt>
                <c:pt idx="1">
                  <c:v>472.94249999999994</c:v>
                </c:pt>
                <c:pt idx="2">
                  <c:v>418.85466666666662</c:v>
                </c:pt>
                <c:pt idx="3">
                  <c:v>316.03113333333334</c:v>
                </c:pt>
                <c:pt idx="4">
                  <c:v>221.76350000000002</c:v>
                </c:pt>
                <c:pt idx="5">
                  <c:v>155.07566666666668</c:v>
                </c:pt>
                <c:pt idx="6">
                  <c:v>103.35658333333333</c:v>
                </c:pt>
                <c:pt idx="7">
                  <c:v>78.204166666666666</c:v>
                </c:pt>
                <c:pt idx="8">
                  <c:v>68.813499999999991</c:v>
                </c:pt>
                <c:pt idx="9">
                  <c:v>48.723083333333328</c:v>
                </c:pt>
                <c:pt idx="10">
                  <c:v>41.694166666666668</c:v>
                </c:pt>
                <c:pt idx="11">
                  <c:v>50.294000000000004</c:v>
                </c:pt>
                <c:pt idx="12">
                  <c:v>175.46293333333335</c:v>
                </c:pt>
                <c:pt idx="13">
                  <c:v>91.971466666666686</c:v>
                </c:pt>
                <c:pt idx="14">
                  <c:v>106.95413333333335</c:v>
                </c:pt>
                <c:pt idx="15">
                  <c:v>126.01559999999999</c:v>
                </c:pt>
                <c:pt idx="16">
                  <c:v>146.91419999999999</c:v>
                </c:pt>
                <c:pt idx="17">
                  <c:v>163.15860000000001</c:v>
                </c:pt>
                <c:pt idx="18">
                  <c:v>135.75306666666668</c:v>
                </c:pt>
                <c:pt idx="19">
                  <c:v>272.88266666666669</c:v>
                </c:pt>
                <c:pt idx="20">
                  <c:v>199.90099999999998</c:v>
                </c:pt>
                <c:pt idx="21">
                  <c:v>245.22574999999998</c:v>
                </c:pt>
                <c:pt idx="22">
                  <c:v>221.10833333333332</c:v>
                </c:pt>
                <c:pt idx="23">
                  <c:v>206.43041666666667</c:v>
                </c:pt>
                <c:pt idx="24">
                  <c:v>170.29724999999996</c:v>
                </c:pt>
                <c:pt idx="25">
                  <c:v>137.80558333333335</c:v>
                </c:pt>
                <c:pt idx="26">
                  <c:v>215.98888888888891</c:v>
                </c:pt>
                <c:pt idx="27">
                  <c:v>94.863444444444454</c:v>
                </c:pt>
                <c:pt idx="28">
                  <c:v>58.359999999999985</c:v>
                </c:pt>
                <c:pt idx="29">
                  <c:v>53.82244444444445</c:v>
                </c:pt>
                <c:pt idx="30">
                  <c:v>58.715999999999994</c:v>
                </c:pt>
                <c:pt idx="31">
                  <c:v>35.894333333333336</c:v>
                </c:pt>
                <c:pt idx="32">
                  <c:v>7.732444444444444</c:v>
                </c:pt>
                <c:pt idx="33">
                  <c:v>6.8289999999999997</c:v>
                </c:pt>
                <c:pt idx="34">
                  <c:v>6.4184444444444448</c:v>
                </c:pt>
                <c:pt idx="35">
                  <c:v>4.54</c:v>
                </c:pt>
                <c:pt idx="36">
                  <c:v>3.4053333333333335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243-44A8-BF9E-CE56831C9B8C}"/>
            </c:ext>
          </c:extLst>
        </c:ser>
        <c:ser>
          <c:idx val="2"/>
          <c:order val="1"/>
          <c:tx>
            <c:strRef>
              <c:f>'CSBv+tSpaceru'!$S$5</c:f>
              <c:strCache>
                <c:ptCount val="1"/>
                <c:pt idx="0">
                  <c:v>Vanc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'CSBv+tSpaceru'!$X$6:$X$42</c:f>
                <c:numCache>
                  <c:formatCode>General</c:formatCode>
                  <c:ptCount val="37"/>
                  <c:pt idx="0">
                    <c:v>5.3316227673507957</c:v>
                  </c:pt>
                  <c:pt idx="1">
                    <c:v>679.61262883469578</c:v>
                  </c:pt>
                  <c:pt idx="2">
                    <c:v>744.0746012375904</c:v>
                  </c:pt>
                  <c:pt idx="3">
                    <c:v>793.71213380640972</c:v>
                  </c:pt>
                  <c:pt idx="4">
                    <c:v>706.98794006948742</c:v>
                  </c:pt>
                  <c:pt idx="5">
                    <c:v>502.06183709273483</c:v>
                  </c:pt>
                  <c:pt idx="6">
                    <c:v>340.25946791060892</c:v>
                  </c:pt>
                  <c:pt idx="7">
                    <c:v>208.19492511382569</c:v>
                  </c:pt>
                  <c:pt idx="8">
                    <c:v>173.7031202791043</c:v>
                  </c:pt>
                  <c:pt idx="9">
                    <c:v>67.111332629016005</c:v>
                  </c:pt>
                  <c:pt idx="10">
                    <c:v>29.287945868125373</c:v>
                  </c:pt>
                  <c:pt idx="11">
                    <c:v>49.149636617233021</c:v>
                  </c:pt>
                  <c:pt idx="12">
                    <c:v>121.01685954692428</c:v>
                  </c:pt>
                  <c:pt idx="13">
                    <c:v>73.997715343946922</c:v>
                  </c:pt>
                  <c:pt idx="14">
                    <c:v>116.24766380194288</c:v>
                  </c:pt>
                  <c:pt idx="15">
                    <c:v>103.3520464403562</c:v>
                  </c:pt>
                  <c:pt idx="16">
                    <c:v>250.68726000930215</c:v>
                  </c:pt>
                  <c:pt idx="17">
                    <c:v>246.83694768058268</c:v>
                  </c:pt>
                  <c:pt idx="18">
                    <c:v>174.26624809427997</c:v>
                  </c:pt>
                  <c:pt idx="19">
                    <c:v>208.12153803108495</c:v>
                  </c:pt>
                  <c:pt idx="20">
                    <c:v>1181.2723271423304</c:v>
                  </c:pt>
                  <c:pt idx="21">
                    <c:v>1334.8248564395665</c:v>
                  </c:pt>
                  <c:pt idx="22">
                    <c:v>1192.5337270969899</c:v>
                  </c:pt>
                  <c:pt idx="23">
                    <c:v>1301.94429507425</c:v>
                  </c:pt>
                  <c:pt idx="24">
                    <c:v>1321.6877990665093</c:v>
                  </c:pt>
                  <c:pt idx="25">
                    <c:v>1153.0864436455936</c:v>
                  </c:pt>
                  <c:pt idx="26">
                    <c:v>1678.9867642263443</c:v>
                  </c:pt>
                  <c:pt idx="27">
                    <c:v>981.0245246730301</c:v>
                  </c:pt>
                  <c:pt idx="28">
                    <c:v>817.46626508842019</c:v>
                  </c:pt>
                  <c:pt idx="29">
                    <c:v>566.44924707845621</c:v>
                  </c:pt>
                  <c:pt idx="30">
                    <c:v>358.48462357195712</c:v>
                  </c:pt>
                  <c:pt idx="31">
                    <c:v>249.62947804902325</c:v>
                  </c:pt>
                  <c:pt idx="32">
                    <c:v>122.90117247304843</c:v>
                  </c:pt>
                  <c:pt idx="33">
                    <c:v>81.366226368807361</c:v>
                  </c:pt>
                  <c:pt idx="34">
                    <c:v>49.242644228464322</c:v>
                  </c:pt>
                  <c:pt idx="35">
                    <c:v>20.463710507872218</c:v>
                  </c:pt>
                  <c:pt idx="36">
                    <c:v>11.536794214598785</c:v>
                  </c:pt>
                </c:numCache>
              </c:numRef>
            </c:plus>
            <c:minus>
              <c:numRef>
                <c:f>'CSBv+tSpaceru'!$X$6:$X$42</c:f>
                <c:numCache>
                  <c:formatCode>General</c:formatCode>
                  <c:ptCount val="37"/>
                  <c:pt idx="0">
                    <c:v>5.3316227673507957</c:v>
                  </c:pt>
                  <c:pt idx="1">
                    <c:v>679.61262883469578</c:v>
                  </c:pt>
                  <c:pt idx="2">
                    <c:v>744.0746012375904</c:v>
                  </c:pt>
                  <c:pt idx="3">
                    <c:v>793.71213380640972</c:v>
                  </c:pt>
                  <c:pt idx="4">
                    <c:v>706.98794006948742</c:v>
                  </c:pt>
                  <c:pt idx="5">
                    <c:v>502.06183709273483</c:v>
                  </c:pt>
                  <c:pt idx="6">
                    <c:v>340.25946791060892</c:v>
                  </c:pt>
                  <c:pt idx="7">
                    <c:v>208.19492511382569</c:v>
                  </c:pt>
                  <c:pt idx="8">
                    <c:v>173.7031202791043</c:v>
                  </c:pt>
                  <c:pt idx="9">
                    <c:v>67.111332629016005</c:v>
                  </c:pt>
                  <c:pt idx="10">
                    <c:v>29.287945868125373</c:v>
                  </c:pt>
                  <c:pt idx="11">
                    <c:v>49.149636617233021</c:v>
                  </c:pt>
                  <c:pt idx="12">
                    <c:v>121.01685954692428</c:v>
                  </c:pt>
                  <c:pt idx="13">
                    <c:v>73.997715343946922</c:v>
                  </c:pt>
                  <c:pt idx="14">
                    <c:v>116.24766380194288</c:v>
                  </c:pt>
                  <c:pt idx="15">
                    <c:v>103.3520464403562</c:v>
                  </c:pt>
                  <c:pt idx="16">
                    <c:v>250.68726000930215</c:v>
                  </c:pt>
                  <c:pt idx="17">
                    <c:v>246.83694768058268</c:v>
                  </c:pt>
                  <c:pt idx="18">
                    <c:v>174.26624809427997</c:v>
                  </c:pt>
                  <c:pt idx="19">
                    <c:v>208.12153803108495</c:v>
                  </c:pt>
                  <c:pt idx="20">
                    <c:v>1181.2723271423304</c:v>
                  </c:pt>
                  <c:pt idx="21">
                    <c:v>1334.8248564395665</c:v>
                  </c:pt>
                  <c:pt idx="22">
                    <c:v>1192.5337270969899</c:v>
                  </c:pt>
                  <c:pt idx="23">
                    <c:v>1301.94429507425</c:v>
                  </c:pt>
                  <c:pt idx="24">
                    <c:v>1321.6877990665093</c:v>
                  </c:pt>
                  <c:pt idx="25">
                    <c:v>1153.0864436455936</c:v>
                  </c:pt>
                  <c:pt idx="26">
                    <c:v>1678.9867642263443</c:v>
                  </c:pt>
                  <c:pt idx="27">
                    <c:v>981.0245246730301</c:v>
                  </c:pt>
                  <c:pt idx="28">
                    <c:v>817.46626508842019</c:v>
                  </c:pt>
                  <c:pt idx="29">
                    <c:v>566.44924707845621</c:v>
                  </c:pt>
                  <c:pt idx="30">
                    <c:v>358.48462357195712</c:v>
                  </c:pt>
                  <c:pt idx="31">
                    <c:v>249.62947804902325</c:v>
                  </c:pt>
                  <c:pt idx="32">
                    <c:v>122.90117247304843</c:v>
                  </c:pt>
                  <c:pt idx="33">
                    <c:v>81.366226368807361</c:v>
                  </c:pt>
                  <c:pt idx="34">
                    <c:v>49.242644228464322</c:v>
                  </c:pt>
                  <c:pt idx="35">
                    <c:v>20.463710507872218</c:v>
                  </c:pt>
                  <c:pt idx="36">
                    <c:v>11.536794214598785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'CSBv+tSpaceru'!$Q$6:$Q$42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18</c:v>
                </c:pt>
                <c:pt idx="22">
                  <c:v>24</c:v>
                </c:pt>
                <c:pt idx="23">
                  <c:v>48</c:v>
                </c:pt>
                <c:pt idx="24">
                  <c:v>120</c:v>
                </c:pt>
                <c:pt idx="25">
                  <c:v>192</c:v>
                </c:pt>
                <c:pt idx="26">
                  <c:v>264</c:v>
                </c:pt>
                <c:pt idx="27">
                  <c:v>336</c:v>
                </c:pt>
                <c:pt idx="28">
                  <c:v>408</c:v>
                </c:pt>
                <c:pt idx="29">
                  <c:v>480</c:v>
                </c:pt>
                <c:pt idx="30">
                  <c:v>552</c:v>
                </c:pt>
                <c:pt idx="31">
                  <c:v>624</c:v>
                </c:pt>
                <c:pt idx="32">
                  <c:v>696</c:v>
                </c:pt>
                <c:pt idx="33">
                  <c:v>768</c:v>
                </c:pt>
                <c:pt idx="34">
                  <c:v>840</c:v>
                </c:pt>
                <c:pt idx="35">
                  <c:v>912</c:v>
                </c:pt>
                <c:pt idx="36">
                  <c:v>984</c:v>
                </c:pt>
              </c:numCache>
            </c:numRef>
          </c:cat>
          <c:val>
            <c:numRef>
              <c:f>'CSBv+tSpaceru'!$S$6:$S$42</c:f>
              <c:numCache>
                <c:formatCode>0.00</c:formatCode>
                <c:ptCount val="37"/>
                <c:pt idx="0">
                  <c:v>358.44966666666664</c:v>
                </c:pt>
                <c:pt idx="1">
                  <c:v>610.97783333333336</c:v>
                </c:pt>
                <c:pt idx="2">
                  <c:v>770.43783333333329</c:v>
                </c:pt>
                <c:pt idx="3">
                  <c:v>712.2166666666667</c:v>
                </c:pt>
                <c:pt idx="4">
                  <c:v>711.44066666666674</c:v>
                </c:pt>
                <c:pt idx="5">
                  <c:v>501.09724999999997</c:v>
                </c:pt>
                <c:pt idx="6">
                  <c:v>396.97291666666661</c:v>
                </c:pt>
                <c:pt idx="7">
                  <c:v>299.06766666666664</c:v>
                </c:pt>
                <c:pt idx="8">
                  <c:v>242.07816666666668</c:v>
                </c:pt>
                <c:pt idx="9">
                  <c:v>137.61916666666667</c:v>
                </c:pt>
                <c:pt idx="10">
                  <c:v>106.82758333333334</c:v>
                </c:pt>
                <c:pt idx="11">
                  <c:v>122.72183333333335</c:v>
                </c:pt>
                <c:pt idx="12">
                  <c:v>150.57920000000001</c:v>
                </c:pt>
                <c:pt idx="13">
                  <c:v>151.46653333333333</c:v>
                </c:pt>
                <c:pt idx="14">
                  <c:v>203.52946666666665</c:v>
                </c:pt>
                <c:pt idx="15">
                  <c:v>234.39546666666664</c:v>
                </c:pt>
                <c:pt idx="16">
                  <c:v>328.0634</c:v>
                </c:pt>
                <c:pt idx="17">
                  <c:v>369.54313333333334</c:v>
                </c:pt>
                <c:pt idx="18">
                  <c:v>219.63200000000001</c:v>
                </c:pt>
                <c:pt idx="19">
                  <c:v>427.17466666666661</c:v>
                </c:pt>
                <c:pt idx="20">
                  <c:v>787.84259999999983</c:v>
                </c:pt>
                <c:pt idx="21">
                  <c:v>905.77599999999995</c:v>
                </c:pt>
                <c:pt idx="22">
                  <c:v>820.9921333333333</c:v>
                </c:pt>
                <c:pt idx="23">
                  <c:v>1009.2497500000001</c:v>
                </c:pt>
                <c:pt idx="24">
                  <c:v>895.91899999999998</c:v>
                </c:pt>
                <c:pt idx="25">
                  <c:v>743.68116666666663</c:v>
                </c:pt>
                <c:pt idx="26">
                  <c:v>1121.5330000000001</c:v>
                </c:pt>
                <c:pt idx="27">
                  <c:v>656.39022222222218</c:v>
                </c:pt>
                <c:pt idx="28">
                  <c:v>547.45388888888886</c:v>
                </c:pt>
                <c:pt idx="29">
                  <c:v>379.72466666666674</c:v>
                </c:pt>
                <c:pt idx="30">
                  <c:v>240.44855555555554</c:v>
                </c:pt>
                <c:pt idx="31">
                  <c:v>167.66155555555554</c:v>
                </c:pt>
                <c:pt idx="32">
                  <c:v>82.269666666666666</c:v>
                </c:pt>
                <c:pt idx="33">
                  <c:v>54.56</c:v>
                </c:pt>
                <c:pt idx="34">
                  <c:v>33.306888888888892</c:v>
                </c:pt>
                <c:pt idx="35">
                  <c:v>15.045666666666667</c:v>
                </c:pt>
                <c:pt idx="36">
                  <c:v>8.4943333333333335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243-44A8-BF9E-CE56831C9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026680"/>
        <c:axId val="487033896"/>
      </c:lineChart>
      <c:catAx>
        <c:axId val="487026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033896"/>
        <c:crosses val="autoZero"/>
        <c:auto val="1"/>
        <c:lblAlgn val="ctr"/>
        <c:lblOffset val="100"/>
        <c:noMultiLvlLbl val="0"/>
      </c:catAx>
      <c:valAx>
        <c:axId val="487033896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026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</a:rPr>
              <a:t>Antibiotic</a:t>
            </a:r>
            <a:r>
              <a:rPr lang="en-US" sz="1600" b="1" baseline="0">
                <a:solidFill>
                  <a:schemeClr val="tx1"/>
                </a:solidFill>
              </a:rPr>
              <a:t> Exposure</a:t>
            </a:r>
            <a:endParaRPr lang="en-US" sz="16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AUC!$B$37</c:f>
              <c:strCache>
                <c:ptCount val="1"/>
                <c:pt idx="0">
                  <c:v>AUC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386-7546-A3EB-8D6D31E59077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F386-7546-A3EB-8D6D31E59077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386-7546-A3EB-8D6D31E59077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F386-7546-A3EB-8D6D31E59077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386-7546-A3EB-8D6D31E59077}"/>
              </c:ext>
            </c:extLst>
          </c:dPt>
          <c:dPt>
            <c:idx val="5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F386-7546-A3EB-8D6D31E59077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386-7546-A3EB-8D6D31E59077}"/>
              </c:ext>
            </c:extLst>
          </c:dPt>
          <c:dPt>
            <c:idx val="7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386-7546-A3EB-8D6D31E59077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386-7546-A3EB-8D6D31E59077}"/>
              </c:ext>
            </c:extLst>
          </c:dPt>
          <c:dPt>
            <c:idx val="9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F386-7546-A3EB-8D6D31E59077}"/>
              </c:ext>
            </c:extLst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386-7546-A3EB-8D6D31E59077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F386-7546-A3EB-8D6D31E59077}"/>
              </c:ext>
            </c:extLst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386-7546-A3EB-8D6D31E59077}"/>
              </c:ext>
            </c:extLst>
          </c:dPt>
          <c:dPt>
            <c:idx val="15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386-7546-A3EB-8D6D31E59077}"/>
              </c:ext>
            </c:extLst>
          </c:dPt>
          <c:dPt>
            <c:idx val="1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386-7546-A3EB-8D6D31E59077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F386-7546-A3EB-8D6D31E59077}"/>
              </c:ext>
            </c:extLst>
          </c:dPt>
          <c:errBars>
            <c:errBarType val="both"/>
            <c:errValType val="cust"/>
            <c:noEndCap val="0"/>
            <c:plus>
              <c:numRef>
                <c:f>AUC!$C$38:$V$38</c:f>
                <c:numCache>
                  <c:formatCode>General</c:formatCode>
                  <c:ptCount val="20"/>
                  <c:pt idx="0">
                    <c:v>115.39452510842965</c:v>
                  </c:pt>
                  <c:pt idx="1">
                    <c:v>10.727632835346292</c:v>
                  </c:pt>
                  <c:pt idx="2">
                    <c:v>73.028339248084691</c:v>
                  </c:pt>
                  <c:pt idx="3">
                    <c:v>21.618993337264047</c:v>
                  </c:pt>
                  <c:pt idx="4">
                    <c:v>253.76889543769292</c:v>
                  </c:pt>
                  <c:pt idx="5">
                    <c:v>22.418928014812224</c:v>
                  </c:pt>
                  <c:pt idx="6">
                    <c:v>400.17878088007961</c:v>
                  </c:pt>
                  <c:pt idx="7">
                    <c:v>116.98433922965934</c:v>
                  </c:pt>
                  <c:pt idx="8">
                    <c:v>166.35504928590737</c:v>
                  </c:pt>
                  <c:pt idx="9">
                    <c:v>6.1007951582150364</c:v>
                  </c:pt>
                  <c:pt idx="10">
                    <c:v>450.93455781668956</c:v>
                  </c:pt>
                  <c:pt idx="11">
                    <c:v>255.39545806454743</c:v>
                  </c:pt>
                  <c:pt idx="12">
                    <c:v>15.692891437420538</c:v>
                  </c:pt>
                  <c:pt idx="13">
                    <c:v>451.00047879994293</c:v>
                  </c:pt>
                  <c:pt idx="14">
                    <c:v>1039.5322666148143</c:v>
                  </c:pt>
                  <c:pt idx="15">
                    <c:v>35.392569930000839</c:v>
                  </c:pt>
                  <c:pt idx="16">
                    <c:v>453.01776640411998</c:v>
                  </c:pt>
                  <c:pt idx="17">
                    <c:v>4261.4019284542183</c:v>
                  </c:pt>
                  <c:pt idx="18">
                    <c:v>127.40001873201065</c:v>
                  </c:pt>
                  <c:pt idx="19">
                    <c:v>450.9081894847825</c:v>
                  </c:pt>
                </c:numCache>
              </c:numRef>
            </c:plus>
            <c:minus>
              <c:numRef>
                <c:f>AUC!$C$38:$V$38</c:f>
                <c:numCache>
                  <c:formatCode>General</c:formatCode>
                  <c:ptCount val="20"/>
                  <c:pt idx="0">
                    <c:v>115.39452510842965</c:v>
                  </c:pt>
                  <c:pt idx="1">
                    <c:v>10.727632835346292</c:v>
                  </c:pt>
                  <c:pt idx="2">
                    <c:v>73.028339248084691</c:v>
                  </c:pt>
                  <c:pt idx="3">
                    <c:v>21.618993337264047</c:v>
                  </c:pt>
                  <c:pt idx="4">
                    <c:v>253.76889543769292</c:v>
                  </c:pt>
                  <c:pt idx="5">
                    <c:v>22.418928014812224</c:v>
                  </c:pt>
                  <c:pt idx="6">
                    <c:v>400.17878088007961</c:v>
                  </c:pt>
                  <c:pt idx="7">
                    <c:v>116.98433922965934</c:v>
                  </c:pt>
                  <c:pt idx="8">
                    <c:v>166.35504928590737</c:v>
                  </c:pt>
                  <c:pt idx="9">
                    <c:v>6.1007951582150364</c:v>
                  </c:pt>
                  <c:pt idx="10">
                    <c:v>450.93455781668956</c:v>
                  </c:pt>
                  <c:pt idx="11">
                    <c:v>255.39545806454743</c:v>
                  </c:pt>
                  <c:pt idx="12">
                    <c:v>15.692891437420538</c:v>
                  </c:pt>
                  <c:pt idx="13">
                    <c:v>451.00047879994293</c:v>
                  </c:pt>
                  <c:pt idx="14">
                    <c:v>1039.5322666148143</c:v>
                  </c:pt>
                  <c:pt idx="15">
                    <c:v>35.392569930000839</c:v>
                  </c:pt>
                  <c:pt idx="16">
                    <c:v>453.01776640411998</c:v>
                  </c:pt>
                  <c:pt idx="17">
                    <c:v>4261.4019284542183</c:v>
                  </c:pt>
                  <c:pt idx="18">
                    <c:v>127.40001873201065</c:v>
                  </c:pt>
                  <c:pt idx="19">
                    <c:v>450.9081894847825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AUC!$C$34:$V$36</c:f>
              <c:multiLvlStrCache>
                <c:ptCount val="20"/>
                <c:lvl>
                  <c:pt idx="0">
                    <c:v>CSBv+tSpacerv+t</c:v>
                  </c:pt>
                  <c:pt idx="1">
                    <c:v>Spacerv+t</c:v>
                  </c:pt>
                  <c:pt idx="2">
                    <c:v>CSBv+tSpacerv+t</c:v>
                  </c:pt>
                  <c:pt idx="3">
                    <c:v>Spacerv+t</c:v>
                  </c:pt>
                  <c:pt idx="4">
                    <c:v>CSBv+tSpacerv+t</c:v>
                  </c:pt>
                  <c:pt idx="5">
                    <c:v>Spacerv+t</c:v>
                  </c:pt>
                  <c:pt idx="6">
                    <c:v>CSBv+tSpacerv+t</c:v>
                  </c:pt>
                  <c:pt idx="7">
                    <c:v>Spacerv+t</c:v>
                  </c:pt>
                  <c:pt idx="8">
                    <c:v>CSBv+tSpacerv+t</c:v>
                  </c:pt>
                  <c:pt idx="9">
                    <c:v>Spacerv+t</c:v>
                  </c:pt>
                  <c:pt idx="10">
                    <c:v>VP</c:v>
                  </c:pt>
                  <c:pt idx="11">
                    <c:v>CSBv+tSpacerv+t</c:v>
                  </c:pt>
                  <c:pt idx="12">
                    <c:v>Spacerv+t</c:v>
                  </c:pt>
                  <c:pt idx="13">
                    <c:v>VP</c:v>
                  </c:pt>
                  <c:pt idx="14">
                    <c:v>CSBv+tSpacerv+t</c:v>
                  </c:pt>
                  <c:pt idx="15">
                    <c:v>Spacerv+t</c:v>
                  </c:pt>
                  <c:pt idx="16">
                    <c:v>VP</c:v>
                  </c:pt>
                  <c:pt idx="17">
                    <c:v>CSBv+tSpacerv+t</c:v>
                  </c:pt>
                  <c:pt idx="18">
                    <c:v>Spacerv+t</c:v>
                  </c:pt>
                  <c:pt idx="19">
                    <c:v>VP</c:v>
                  </c:pt>
                </c:lvl>
                <c:lvl>
                  <c:pt idx="0">
                    <c:v>2 hours</c:v>
                  </c:pt>
                  <c:pt idx="2">
                    <c:v>12 hours</c:v>
                  </c:pt>
                  <c:pt idx="4">
                    <c:v>24 hours</c:v>
                  </c:pt>
                  <c:pt idx="6">
                    <c:v>48 hours</c:v>
                  </c:pt>
                  <c:pt idx="8">
                    <c:v>2 hours</c:v>
                  </c:pt>
                  <c:pt idx="11">
                    <c:v>12 hours</c:v>
                  </c:pt>
                  <c:pt idx="14">
                    <c:v>24 hours</c:v>
                  </c:pt>
                  <c:pt idx="17">
                    <c:v>48 hours</c:v>
                  </c:pt>
                </c:lvl>
                <c:lvl>
                  <c:pt idx="0">
                    <c:v>Tobramycin</c:v>
                  </c:pt>
                  <c:pt idx="8">
                    <c:v>Vancomycin</c:v>
                  </c:pt>
                </c:lvl>
              </c:multiLvlStrCache>
            </c:multiLvlStrRef>
          </c:cat>
          <c:val>
            <c:numRef>
              <c:f>AUC!$C$37:$V$37</c:f>
              <c:numCache>
                <c:formatCode>General</c:formatCode>
                <c:ptCount val="20"/>
                <c:pt idx="0">
                  <c:v>198.71499999999997</c:v>
                </c:pt>
                <c:pt idx="1">
                  <c:v>36.247500000000002</c:v>
                </c:pt>
                <c:pt idx="2">
                  <c:v>491.4</c:v>
                </c:pt>
                <c:pt idx="3">
                  <c:v>91.877499999999998</c:v>
                </c:pt>
                <c:pt idx="4">
                  <c:v>949.72499999999991</c:v>
                </c:pt>
                <c:pt idx="5">
                  <c:v>199.20000000000002</c:v>
                </c:pt>
                <c:pt idx="6">
                  <c:v>1434.3</c:v>
                </c:pt>
                <c:pt idx="7">
                  <c:v>354.17499999999995</c:v>
                </c:pt>
                <c:pt idx="8">
                  <c:v>322.6275</c:v>
                </c:pt>
                <c:pt idx="9">
                  <c:v>21.328749999999999</c:v>
                </c:pt>
                <c:pt idx="10">
                  <c:v>907.61</c:v>
                </c:pt>
                <c:pt idx="11">
                  <c:v>1476.2</c:v>
                </c:pt>
                <c:pt idx="12">
                  <c:v>54.005000000000003</c:v>
                </c:pt>
                <c:pt idx="13">
                  <c:v>917.54333333333341</c:v>
                </c:pt>
                <c:pt idx="14">
                  <c:v>3622</c:v>
                </c:pt>
                <c:pt idx="15">
                  <c:v>105.5025</c:v>
                </c:pt>
                <c:pt idx="16">
                  <c:v>927.50333333333344</c:v>
                </c:pt>
                <c:pt idx="17">
                  <c:v>8789.75</c:v>
                </c:pt>
                <c:pt idx="18">
                  <c:v>209.6825</c:v>
                </c:pt>
                <c:pt idx="19">
                  <c:v>952.63666666666666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86-7546-A3EB-8D6D31E59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9"/>
        <c:axId val="303907119"/>
        <c:axId val="309677631"/>
      </c:barChart>
      <c:catAx>
        <c:axId val="303907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4800000" spcFirstLastPara="1" vertOverflow="ellipsis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677631"/>
        <c:crosses val="autoZero"/>
        <c:auto val="1"/>
        <c:lblAlgn val="ctr"/>
        <c:lblOffset val="100"/>
        <c:noMultiLvlLbl val="0"/>
      </c:catAx>
      <c:valAx>
        <c:axId val="3096776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Area Under the</a:t>
                </a:r>
                <a:r>
                  <a:rPr lang="en-US" sz="1100" b="1" baseline="0">
                    <a:solidFill>
                      <a:schemeClr val="tx1"/>
                    </a:solidFill>
                  </a:rPr>
                  <a:t> Curve ((µg*hr)/mL) </a:t>
                </a:r>
                <a:endParaRPr lang="en-US" sz="11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9071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</a:rPr>
              <a:t>Antibiotic Exposure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AUC!$B$77</c:f>
              <c:strCache>
                <c:ptCount val="1"/>
                <c:pt idx="0">
                  <c:v>AUC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22C6-ED45-A795-41A6E72C1AC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2C6-ED45-A795-41A6E72C1ACC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2C6-ED45-A795-41A6E72C1ACC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2C6-ED45-A795-41A6E72C1ACC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22C6-ED45-A795-41A6E72C1ACC}"/>
              </c:ext>
            </c:extLst>
          </c:dPt>
          <c:dPt>
            <c:idx val="5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22C6-ED45-A795-41A6E72C1ACC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2C6-ED45-A795-41A6E72C1ACC}"/>
              </c:ext>
            </c:extLst>
          </c:dPt>
          <c:dPt>
            <c:idx val="7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2C6-ED45-A795-41A6E72C1ACC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22C6-ED45-A795-41A6E72C1ACC}"/>
              </c:ext>
            </c:extLst>
          </c:dPt>
          <c:dPt>
            <c:idx val="9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2C6-ED45-A795-41A6E72C1ACC}"/>
              </c:ext>
            </c:extLst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2C6-ED45-A795-41A6E72C1ACC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2C6-ED45-A795-41A6E72C1ACC}"/>
              </c:ext>
            </c:extLst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22C6-ED45-A795-41A6E72C1ACC}"/>
              </c:ext>
            </c:extLst>
          </c:dPt>
          <c:dPt>
            <c:idx val="15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22C6-ED45-A795-41A6E72C1ACC}"/>
              </c:ext>
            </c:extLst>
          </c:dPt>
          <c:dPt>
            <c:idx val="1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22C6-ED45-A795-41A6E72C1ACC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2C6-ED45-A795-41A6E72C1ACC}"/>
              </c:ext>
            </c:extLst>
          </c:dPt>
          <c:errBars>
            <c:errBarType val="both"/>
            <c:errValType val="cust"/>
            <c:noEndCap val="0"/>
            <c:plus>
              <c:numRef>
                <c:f>AUC!$C$78:$V$78</c:f>
                <c:numCache>
                  <c:formatCode>General</c:formatCode>
                  <c:ptCount val="20"/>
                  <c:pt idx="0">
                    <c:v>0.30867034188873366</c:v>
                  </c:pt>
                  <c:pt idx="1">
                    <c:v>0.14465575784256599</c:v>
                  </c:pt>
                  <c:pt idx="2">
                    <c:v>7.09264858783695E-2</c:v>
                  </c:pt>
                  <c:pt idx="3">
                    <c:v>9.3803079085471322E-2</c:v>
                  </c:pt>
                  <c:pt idx="4">
                    <c:v>0.14590914174498951</c:v>
                  </c:pt>
                  <c:pt idx="5">
                    <c:v>5.6009825263429312E-2</c:v>
                  </c:pt>
                  <c:pt idx="6">
                    <c:v>0.189932100152926</c:v>
                  </c:pt>
                  <c:pt idx="7">
                    <c:v>0.15154231565789439</c:v>
                  </c:pt>
                  <c:pt idx="8">
                    <c:v>0.32652602181130075</c:v>
                  </c:pt>
                  <c:pt idx="9">
                    <c:v>0.19064066782696931</c:v>
                  </c:pt>
                  <c:pt idx="10">
                    <c:v>0.64381783461088071</c:v>
                  </c:pt>
                  <c:pt idx="11">
                    <c:v>9.2708884795991625E-2</c:v>
                  </c:pt>
                  <c:pt idx="12">
                    <c:v>0.17277685828592929</c:v>
                  </c:pt>
                  <c:pt idx="13">
                    <c:v>0.57517290731549942</c:v>
                  </c:pt>
                  <c:pt idx="14">
                    <c:v>0.15315839494410569</c:v>
                  </c:pt>
                  <c:pt idx="15">
                    <c:v>0.1843163902628987</c:v>
                  </c:pt>
                  <c:pt idx="16">
                    <c:v>0.54656434446163105</c:v>
                  </c:pt>
                  <c:pt idx="17">
                    <c:v>0.25903125764572366</c:v>
                  </c:pt>
                  <c:pt idx="18">
                    <c:v>0.23111312787460878</c:v>
                  </c:pt>
                  <c:pt idx="19">
                    <c:v>0.45363728266787923</c:v>
                  </c:pt>
                </c:numCache>
              </c:numRef>
            </c:plus>
            <c:minus>
              <c:numRef>
                <c:f>AUC!$C$78:$V$78</c:f>
                <c:numCache>
                  <c:formatCode>General</c:formatCode>
                  <c:ptCount val="20"/>
                  <c:pt idx="0">
                    <c:v>0.30867034188873366</c:v>
                  </c:pt>
                  <c:pt idx="1">
                    <c:v>0.14465575784256599</c:v>
                  </c:pt>
                  <c:pt idx="2">
                    <c:v>7.09264858783695E-2</c:v>
                  </c:pt>
                  <c:pt idx="3">
                    <c:v>9.3803079085471322E-2</c:v>
                  </c:pt>
                  <c:pt idx="4">
                    <c:v>0.14590914174498951</c:v>
                  </c:pt>
                  <c:pt idx="5">
                    <c:v>5.6009825263429312E-2</c:v>
                  </c:pt>
                  <c:pt idx="6">
                    <c:v>0.189932100152926</c:v>
                  </c:pt>
                  <c:pt idx="7">
                    <c:v>0.15154231565789439</c:v>
                  </c:pt>
                  <c:pt idx="8">
                    <c:v>0.32652602181130075</c:v>
                  </c:pt>
                  <c:pt idx="9">
                    <c:v>0.19064066782696931</c:v>
                  </c:pt>
                  <c:pt idx="10">
                    <c:v>0.64381783461088071</c:v>
                  </c:pt>
                  <c:pt idx="11">
                    <c:v>9.2708884795991625E-2</c:v>
                  </c:pt>
                  <c:pt idx="12">
                    <c:v>0.17277685828592929</c:v>
                  </c:pt>
                  <c:pt idx="13">
                    <c:v>0.57517290731549942</c:v>
                  </c:pt>
                  <c:pt idx="14">
                    <c:v>0.15315839494410569</c:v>
                  </c:pt>
                  <c:pt idx="15">
                    <c:v>0.1843163902628987</c:v>
                  </c:pt>
                  <c:pt idx="16">
                    <c:v>0.54656434446163105</c:v>
                  </c:pt>
                  <c:pt idx="17">
                    <c:v>0.25903125764572366</c:v>
                  </c:pt>
                  <c:pt idx="18">
                    <c:v>0.23111312787460878</c:v>
                  </c:pt>
                  <c:pt idx="19">
                    <c:v>0.45363728266787923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multiLvlStrRef>
              <c:f>AUC!$C$74:$AK$76</c:f>
              <c:multiLvlStrCache>
                <c:ptCount val="20"/>
                <c:lvl>
                  <c:pt idx="0">
                    <c:v>CSBv+tSpacerv+t</c:v>
                  </c:pt>
                  <c:pt idx="1">
                    <c:v>Spacerv+t</c:v>
                  </c:pt>
                  <c:pt idx="2">
                    <c:v>CSBv+tSpacerv+t</c:v>
                  </c:pt>
                  <c:pt idx="3">
                    <c:v>Spacerv+t</c:v>
                  </c:pt>
                  <c:pt idx="4">
                    <c:v>CSBv+tSpacerv+t</c:v>
                  </c:pt>
                  <c:pt idx="5">
                    <c:v>Spacerv+t</c:v>
                  </c:pt>
                  <c:pt idx="6">
                    <c:v>CSBv+tSpacerv+t</c:v>
                  </c:pt>
                  <c:pt idx="7">
                    <c:v>Spacerv+t</c:v>
                  </c:pt>
                  <c:pt idx="8">
                    <c:v>CSBv+tSpacerv+t</c:v>
                  </c:pt>
                  <c:pt idx="9">
                    <c:v>Spacerv+t</c:v>
                  </c:pt>
                  <c:pt idx="10">
                    <c:v>VP</c:v>
                  </c:pt>
                  <c:pt idx="11">
                    <c:v>CSBv+tSpacerv+t</c:v>
                  </c:pt>
                  <c:pt idx="12">
                    <c:v>Spacerv+t</c:v>
                  </c:pt>
                  <c:pt idx="13">
                    <c:v>VP</c:v>
                  </c:pt>
                  <c:pt idx="14">
                    <c:v>CSBv+tSpacerv+t</c:v>
                  </c:pt>
                  <c:pt idx="15">
                    <c:v>Spacerv+t</c:v>
                  </c:pt>
                  <c:pt idx="16">
                    <c:v>VP</c:v>
                  </c:pt>
                  <c:pt idx="17">
                    <c:v>CSBv+tSpacerv+t</c:v>
                  </c:pt>
                  <c:pt idx="18">
                    <c:v>Spacerv+t</c:v>
                  </c:pt>
                  <c:pt idx="19">
                    <c:v>VP</c:v>
                  </c:pt>
                </c:lvl>
                <c:lvl>
                  <c:pt idx="0">
                    <c:v>2 hours</c:v>
                  </c:pt>
                  <c:pt idx="2">
                    <c:v>12 hours</c:v>
                  </c:pt>
                  <c:pt idx="4">
                    <c:v>24 hours</c:v>
                  </c:pt>
                  <c:pt idx="6">
                    <c:v>48 hours</c:v>
                  </c:pt>
                  <c:pt idx="8">
                    <c:v>2 hours</c:v>
                  </c:pt>
                  <c:pt idx="11">
                    <c:v>12 hours</c:v>
                  </c:pt>
                  <c:pt idx="14">
                    <c:v>24 hours</c:v>
                  </c:pt>
                  <c:pt idx="17">
                    <c:v>48 hours</c:v>
                  </c:pt>
                </c:lvl>
                <c:lvl>
                  <c:pt idx="0">
                    <c:v>Tobramycin</c:v>
                  </c:pt>
                  <c:pt idx="8">
                    <c:v>Vancomycin</c:v>
                  </c:pt>
                </c:lvl>
              </c:multiLvlStrCache>
            </c:multiLvlStrRef>
          </c:cat>
          <c:val>
            <c:numRef>
              <c:f>AUC!$C$77:$V$77</c:f>
              <c:numCache>
                <c:formatCode>General</c:formatCode>
                <c:ptCount val="20"/>
                <c:pt idx="0">
                  <c:v>2.0062389002467675</c:v>
                </c:pt>
                <c:pt idx="1">
                  <c:v>1.4916145038989692</c:v>
                </c:pt>
                <c:pt idx="2">
                  <c:v>2.6751662887428589</c:v>
                </c:pt>
                <c:pt idx="3">
                  <c:v>1.9309639952017656</c:v>
                </c:pt>
                <c:pt idx="4">
                  <c:v>2.9153009898994702</c:v>
                </c:pt>
                <c:pt idx="5">
                  <c:v>2.289374868117906</c:v>
                </c:pt>
                <c:pt idx="6">
                  <c:v>3.064335908514487</c:v>
                </c:pt>
                <c:pt idx="7">
                  <c:v>2.4730996451084111</c:v>
                </c:pt>
                <c:pt idx="8">
                  <c:v>2.2418470389769958</c:v>
                </c:pt>
                <c:pt idx="9">
                  <c:v>1.2350474104993721</c:v>
                </c:pt>
                <c:pt idx="10">
                  <c:v>2.4863893164132178</c:v>
                </c:pt>
                <c:pt idx="11">
                  <c:v>3.1432851240859563</c:v>
                </c:pt>
                <c:pt idx="12">
                  <c:v>1.6493550756780437</c:v>
                </c:pt>
                <c:pt idx="13">
                  <c:v>2.5582922583525813</c:v>
                </c:pt>
                <c:pt idx="14">
                  <c:v>3.4894737640136158</c:v>
                </c:pt>
                <c:pt idx="15">
                  <c:v>1.9253166080925188</c:v>
                </c:pt>
                <c:pt idx="16">
                  <c:v>2.5907476521395041</c:v>
                </c:pt>
                <c:pt idx="17">
                  <c:v>3.7528447456303349</c:v>
                </c:pt>
                <c:pt idx="18">
                  <c:v>2.1139221108326538</c:v>
                </c:pt>
                <c:pt idx="19">
                  <c:v>2.6909964191741813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C6-ED45-A795-41A6E72C1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-27"/>
        <c:axId val="376616143"/>
        <c:axId val="376554591"/>
      </c:barChart>
      <c:catAx>
        <c:axId val="376616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5100000" spcFirstLastPara="1" vertOverflow="ellipsis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554591"/>
        <c:crosses val="autoZero"/>
        <c:auto val="1"/>
        <c:lblAlgn val="ctr"/>
        <c:lblOffset val="100"/>
        <c:noMultiLvlLbl val="0"/>
      </c:catAx>
      <c:valAx>
        <c:axId val="3765545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solidFill>
                      <a:schemeClr val="tx1"/>
                    </a:solidFill>
                    <a:effectLst/>
                  </a:rPr>
                  <a:t>Log</a:t>
                </a:r>
                <a:r>
                  <a:rPr lang="en-US" sz="800" b="1" i="0" baseline="0">
                    <a:solidFill>
                      <a:schemeClr val="tx1"/>
                    </a:solidFill>
                    <a:effectLst/>
                  </a:rPr>
                  <a:t>10</a:t>
                </a:r>
                <a:r>
                  <a:rPr lang="en-US" sz="1200" b="1" i="0" baseline="0">
                    <a:solidFill>
                      <a:schemeClr val="tx1"/>
                    </a:solidFill>
                    <a:effectLst/>
                  </a:rPr>
                  <a:t> Area Under the Curve ((µg*hr)/mL) </a:t>
                </a:r>
                <a:endParaRPr lang="en-US" sz="12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61614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G1</a:t>
            </a:r>
            <a:r>
              <a:rPr lang="en-GB" baseline="0"/>
              <a:t> - Spacer (no antibiotic) + Beads (1g Vancomycin &amp; 240mg Tobramycin) - LOG SCALE (avg over all samples)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'CSBv+tSpaceru'!$R$5</c:f>
              <c:strCache>
                <c:ptCount val="1"/>
                <c:pt idx="0">
                  <c:v>Tob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'CSBv+tSpaceru'!$W$6:$W$42</c:f>
                <c:numCache>
                  <c:formatCode>General</c:formatCode>
                  <c:ptCount val="37"/>
                  <c:pt idx="0">
                    <c:v>2.5880064399713576</c:v>
                  </c:pt>
                  <c:pt idx="1">
                    <c:v>656.15429505823067</c:v>
                  </c:pt>
                  <c:pt idx="2">
                    <c:v>475.4606979674524</c:v>
                  </c:pt>
                  <c:pt idx="3">
                    <c:v>331.96766914562772</c:v>
                  </c:pt>
                  <c:pt idx="4">
                    <c:v>250.01971670013984</c:v>
                  </c:pt>
                  <c:pt idx="5">
                    <c:v>178.75301792968335</c:v>
                  </c:pt>
                  <c:pt idx="6">
                    <c:v>139.96290981052371</c:v>
                  </c:pt>
                  <c:pt idx="7">
                    <c:v>103.63759381950629</c:v>
                  </c:pt>
                  <c:pt idx="8">
                    <c:v>101.39424132966418</c:v>
                  </c:pt>
                  <c:pt idx="9">
                    <c:v>65.667371778267125</c:v>
                  </c:pt>
                  <c:pt idx="10">
                    <c:v>53.318697983887141</c:v>
                  </c:pt>
                  <c:pt idx="11">
                    <c:v>45.640282546332806</c:v>
                  </c:pt>
                  <c:pt idx="12">
                    <c:v>217.63118307995506</c:v>
                  </c:pt>
                  <c:pt idx="13">
                    <c:v>136.43017484406059</c:v>
                  </c:pt>
                  <c:pt idx="14">
                    <c:v>158.43743459975732</c:v>
                  </c:pt>
                  <c:pt idx="15">
                    <c:v>149.4500748911536</c:v>
                  </c:pt>
                  <c:pt idx="16">
                    <c:v>154.10586864054574</c:v>
                  </c:pt>
                  <c:pt idx="17">
                    <c:v>153.46829094627802</c:v>
                  </c:pt>
                  <c:pt idx="18">
                    <c:v>142.75705441837022</c:v>
                  </c:pt>
                  <c:pt idx="19">
                    <c:v>272.74173068152146</c:v>
                  </c:pt>
                  <c:pt idx="20">
                    <c:v>226.38452118306526</c:v>
                  </c:pt>
                  <c:pt idx="21">
                    <c:v>230.86071518524091</c:v>
                  </c:pt>
                  <c:pt idx="22">
                    <c:v>206.74903961347741</c:v>
                  </c:pt>
                  <c:pt idx="23">
                    <c:v>250.32522816036317</c:v>
                  </c:pt>
                  <c:pt idx="24">
                    <c:v>265.38191823179358</c:v>
                  </c:pt>
                  <c:pt idx="25">
                    <c:v>246.00141867937501</c:v>
                  </c:pt>
                  <c:pt idx="26">
                    <c:v>321.8493756023322</c:v>
                  </c:pt>
                  <c:pt idx="27">
                    <c:v>140.1469169203439</c:v>
                  </c:pt>
                  <c:pt idx="28">
                    <c:v>85.473538699120226</c:v>
                  </c:pt>
                  <c:pt idx="29">
                    <c:v>78.599913991859907</c:v>
                  </c:pt>
                  <c:pt idx="30">
                    <c:v>85.986146228622204</c:v>
                  </c:pt>
                  <c:pt idx="31">
                    <c:v>51.756996478737037</c:v>
                  </c:pt>
                  <c:pt idx="32">
                    <c:v>9.4055019019602444</c:v>
                  </c:pt>
                  <c:pt idx="33">
                    <c:v>8.0690190543832525</c:v>
                  </c:pt>
                  <c:pt idx="34">
                    <c:v>7.4631740920186074</c:v>
                  </c:pt>
                  <c:pt idx="35">
                    <c:v>3.4062453302720295</c:v>
                  </c:pt>
                  <c:pt idx="36">
                    <c:v>2.201431182208518</c:v>
                  </c:pt>
                </c:numCache>
              </c:numRef>
            </c:plus>
            <c:minus>
              <c:numRef>
                <c:f>'CSBv+tSpaceru'!$W$6:$W$42</c:f>
                <c:numCache>
                  <c:formatCode>General</c:formatCode>
                  <c:ptCount val="37"/>
                  <c:pt idx="0">
                    <c:v>2.5880064399713576</c:v>
                  </c:pt>
                  <c:pt idx="1">
                    <c:v>656.15429505823067</c:v>
                  </c:pt>
                  <c:pt idx="2">
                    <c:v>475.4606979674524</c:v>
                  </c:pt>
                  <c:pt idx="3">
                    <c:v>331.96766914562772</c:v>
                  </c:pt>
                  <c:pt idx="4">
                    <c:v>250.01971670013984</c:v>
                  </c:pt>
                  <c:pt idx="5">
                    <c:v>178.75301792968335</c:v>
                  </c:pt>
                  <c:pt idx="6">
                    <c:v>139.96290981052371</c:v>
                  </c:pt>
                  <c:pt idx="7">
                    <c:v>103.63759381950629</c:v>
                  </c:pt>
                  <c:pt idx="8">
                    <c:v>101.39424132966418</c:v>
                  </c:pt>
                  <c:pt idx="9">
                    <c:v>65.667371778267125</c:v>
                  </c:pt>
                  <c:pt idx="10">
                    <c:v>53.318697983887141</c:v>
                  </c:pt>
                  <c:pt idx="11">
                    <c:v>45.640282546332806</c:v>
                  </c:pt>
                  <c:pt idx="12">
                    <c:v>217.63118307995506</c:v>
                  </c:pt>
                  <c:pt idx="13">
                    <c:v>136.43017484406059</c:v>
                  </c:pt>
                  <c:pt idx="14">
                    <c:v>158.43743459975732</c:v>
                  </c:pt>
                  <c:pt idx="15">
                    <c:v>149.4500748911536</c:v>
                  </c:pt>
                  <c:pt idx="16">
                    <c:v>154.10586864054574</c:v>
                  </c:pt>
                  <c:pt idx="17">
                    <c:v>153.46829094627802</c:v>
                  </c:pt>
                  <c:pt idx="18">
                    <c:v>142.75705441837022</c:v>
                  </c:pt>
                  <c:pt idx="19">
                    <c:v>272.74173068152146</c:v>
                  </c:pt>
                  <c:pt idx="20">
                    <c:v>226.38452118306526</c:v>
                  </c:pt>
                  <c:pt idx="21">
                    <c:v>230.86071518524091</c:v>
                  </c:pt>
                  <c:pt idx="22">
                    <c:v>206.74903961347741</c:v>
                  </c:pt>
                  <c:pt idx="23">
                    <c:v>250.32522816036317</c:v>
                  </c:pt>
                  <c:pt idx="24">
                    <c:v>265.38191823179358</c:v>
                  </c:pt>
                  <c:pt idx="25">
                    <c:v>246.00141867937501</c:v>
                  </c:pt>
                  <c:pt idx="26">
                    <c:v>321.8493756023322</c:v>
                  </c:pt>
                  <c:pt idx="27">
                    <c:v>140.1469169203439</c:v>
                  </c:pt>
                  <c:pt idx="28">
                    <c:v>85.473538699120226</c:v>
                  </c:pt>
                  <c:pt idx="29">
                    <c:v>78.599913991859907</c:v>
                  </c:pt>
                  <c:pt idx="30">
                    <c:v>85.986146228622204</c:v>
                  </c:pt>
                  <c:pt idx="31">
                    <c:v>51.756996478737037</c:v>
                  </c:pt>
                  <c:pt idx="32">
                    <c:v>9.4055019019602444</c:v>
                  </c:pt>
                  <c:pt idx="33">
                    <c:v>8.0690190543832525</c:v>
                  </c:pt>
                  <c:pt idx="34">
                    <c:v>7.4631740920186074</c:v>
                  </c:pt>
                  <c:pt idx="35">
                    <c:v>3.4062453302720295</c:v>
                  </c:pt>
                  <c:pt idx="36">
                    <c:v>2.201431182208518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'CSBv+tSpaceru'!$Q$6:$Q$42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18</c:v>
                </c:pt>
                <c:pt idx="22">
                  <c:v>24</c:v>
                </c:pt>
                <c:pt idx="23">
                  <c:v>48</c:v>
                </c:pt>
                <c:pt idx="24">
                  <c:v>120</c:v>
                </c:pt>
                <c:pt idx="25">
                  <c:v>192</c:v>
                </c:pt>
                <c:pt idx="26">
                  <c:v>264</c:v>
                </c:pt>
                <c:pt idx="27">
                  <c:v>336</c:v>
                </c:pt>
                <c:pt idx="28">
                  <c:v>408</c:v>
                </c:pt>
                <c:pt idx="29">
                  <c:v>480</c:v>
                </c:pt>
                <c:pt idx="30">
                  <c:v>552</c:v>
                </c:pt>
                <c:pt idx="31">
                  <c:v>624</c:v>
                </c:pt>
                <c:pt idx="32">
                  <c:v>696</c:v>
                </c:pt>
                <c:pt idx="33">
                  <c:v>768</c:v>
                </c:pt>
                <c:pt idx="34">
                  <c:v>840</c:v>
                </c:pt>
                <c:pt idx="35">
                  <c:v>912</c:v>
                </c:pt>
                <c:pt idx="36">
                  <c:v>984</c:v>
                </c:pt>
              </c:numCache>
            </c:numRef>
          </c:cat>
          <c:val>
            <c:numRef>
              <c:f>'CSBv+tSpaceru'!$R$6:$R$42</c:f>
              <c:numCache>
                <c:formatCode>0.00</c:formatCode>
                <c:ptCount val="37"/>
                <c:pt idx="0">
                  <c:v>601.2443333333332</c:v>
                </c:pt>
                <c:pt idx="1">
                  <c:v>472.94249999999994</c:v>
                </c:pt>
                <c:pt idx="2">
                  <c:v>418.85466666666662</c:v>
                </c:pt>
                <c:pt idx="3">
                  <c:v>316.03113333333334</c:v>
                </c:pt>
                <c:pt idx="4">
                  <c:v>221.76350000000002</c:v>
                </c:pt>
                <c:pt idx="5">
                  <c:v>155.07566666666668</c:v>
                </c:pt>
                <c:pt idx="6">
                  <c:v>103.35658333333333</c:v>
                </c:pt>
                <c:pt idx="7">
                  <c:v>78.204166666666666</c:v>
                </c:pt>
                <c:pt idx="8">
                  <c:v>68.813499999999991</c:v>
                </c:pt>
                <c:pt idx="9">
                  <c:v>48.723083333333328</c:v>
                </c:pt>
                <c:pt idx="10">
                  <c:v>41.694166666666668</c:v>
                </c:pt>
                <c:pt idx="11">
                  <c:v>50.294000000000004</c:v>
                </c:pt>
                <c:pt idx="12">
                  <c:v>175.46293333333335</c:v>
                </c:pt>
                <c:pt idx="13">
                  <c:v>91.971466666666686</c:v>
                </c:pt>
                <c:pt idx="14">
                  <c:v>106.95413333333335</c:v>
                </c:pt>
                <c:pt idx="15">
                  <c:v>126.01559999999999</c:v>
                </c:pt>
                <c:pt idx="16">
                  <c:v>146.91419999999999</c:v>
                </c:pt>
                <c:pt idx="17">
                  <c:v>163.15860000000001</c:v>
                </c:pt>
                <c:pt idx="18">
                  <c:v>135.75306666666668</c:v>
                </c:pt>
                <c:pt idx="19">
                  <c:v>272.88266666666669</c:v>
                </c:pt>
                <c:pt idx="20">
                  <c:v>199.90099999999998</c:v>
                </c:pt>
                <c:pt idx="21">
                  <c:v>245.22574999999998</c:v>
                </c:pt>
                <c:pt idx="22">
                  <c:v>221.10833333333332</c:v>
                </c:pt>
                <c:pt idx="23">
                  <c:v>206.43041666666667</c:v>
                </c:pt>
                <c:pt idx="24">
                  <c:v>170.29724999999996</c:v>
                </c:pt>
                <c:pt idx="25">
                  <c:v>137.80558333333335</c:v>
                </c:pt>
                <c:pt idx="26">
                  <c:v>215.98888888888891</c:v>
                </c:pt>
                <c:pt idx="27">
                  <c:v>94.863444444444454</c:v>
                </c:pt>
                <c:pt idx="28">
                  <c:v>58.359999999999985</c:v>
                </c:pt>
                <c:pt idx="29">
                  <c:v>53.82244444444445</c:v>
                </c:pt>
                <c:pt idx="30">
                  <c:v>58.715999999999994</c:v>
                </c:pt>
                <c:pt idx="31">
                  <c:v>35.894333333333336</c:v>
                </c:pt>
                <c:pt idx="32">
                  <c:v>7.732444444444444</c:v>
                </c:pt>
                <c:pt idx="33">
                  <c:v>6.8289999999999997</c:v>
                </c:pt>
                <c:pt idx="34">
                  <c:v>6.4184444444444448</c:v>
                </c:pt>
                <c:pt idx="35">
                  <c:v>4.54</c:v>
                </c:pt>
                <c:pt idx="36">
                  <c:v>3.4053333333333335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55-4230-86D7-CCC6B581C5CB}"/>
            </c:ext>
          </c:extLst>
        </c:ser>
        <c:ser>
          <c:idx val="2"/>
          <c:order val="1"/>
          <c:tx>
            <c:strRef>
              <c:f>'CSBv+tSpaceru'!$S$5</c:f>
              <c:strCache>
                <c:ptCount val="1"/>
                <c:pt idx="0">
                  <c:v>Vanc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'CSBv+tSpaceru'!$X$6:$X$42</c:f>
                <c:numCache>
                  <c:formatCode>General</c:formatCode>
                  <c:ptCount val="37"/>
                  <c:pt idx="0">
                    <c:v>5.3316227673507957</c:v>
                  </c:pt>
                  <c:pt idx="1">
                    <c:v>679.61262883469578</c:v>
                  </c:pt>
                  <c:pt idx="2">
                    <c:v>744.0746012375904</c:v>
                  </c:pt>
                  <c:pt idx="3">
                    <c:v>793.71213380640972</c:v>
                  </c:pt>
                  <c:pt idx="4">
                    <c:v>706.98794006948742</c:v>
                  </c:pt>
                  <c:pt idx="5">
                    <c:v>502.06183709273483</c:v>
                  </c:pt>
                  <c:pt idx="6">
                    <c:v>340.25946791060892</c:v>
                  </c:pt>
                  <c:pt idx="7">
                    <c:v>208.19492511382569</c:v>
                  </c:pt>
                  <c:pt idx="8">
                    <c:v>173.7031202791043</c:v>
                  </c:pt>
                  <c:pt idx="9">
                    <c:v>67.111332629016005</c:v>
                  </c:pt>
                  <c:pt idx="10">
                    <c:v>29.287945868125373</c:v>
                  </c:pt>
                  <c:pt idx="11">
                    <c:v>49.149636617233021</c:v>
                  </c:pt>
                  <c:pt idx="12">
                    <c:v>121.01685954692428</c:v>
                  </c:pt>
                  <c:pt idx="13">
                    <c:v>73.997715343946922</c:v>
                  </c:pt>
                  <c:pt idx="14">
                    <c:v>116.24766380194288</c:v>
                  </c:pt>
                  <c:pt idx="15">
                    <c:v>103.3520464403562</c:v>
                  </c:pt>
                  <c:pt idx="16">
                    <c:v>250.68726000930215</c:v>
                  </c:pt>
                  <c:pt idx="17">
                    <c:v>246.83694768058268</c:v>
                  </c:pt>
                  <c:pt idx="18">
                    <c:v>174.26624809427997</c:v>
                  </c:pt>
                  <c:pt idx="19">
                    <c:v>208.12153803108495</c:v>
                  </c:pt>
                  <c:pt idx="20">
                    <c:v>1181.2723271423304</c:v>
                  </c:pt>
                  <c:pt idx="21">
                    <c:v>1334.8248564395665</c:v>
                  </c:pt>
                  <c:pt idx="22">
                    <c:v>1192.5337270969899</c:v>
                  </c:pt>
                  <c:pt idx="23">
                    <c:v>1301.94429507425</c:v>
                  </c:pt>
                  <c:pt idx="24">
                    <c:v>1321.6877990665093</c:v>
                  </c:pt>
                  <c:pt idx="25">
                    <c:v>1153.0864436455936</c:v>
                  </c:pt>
                  <c:pt idx="26">
                    <c:v>1678.9867642263443</c:v>
                  </c:pt>
                  <c:pt idx="27">
                    <c:v>981.0245246730301</c:v>
                  </c:pt>
                  <c:pt idx="28">
                    <c:v>817.46626508842019</c:v>
                  </c:pt>
                  <c:pt idx="29">
                    <c:v>566.44924707845621</c:v>
                  </c:pt>
                  <c:pt idx="30">
                    <c:v>358.48462357195712</c:v>
                  </c:pt>
                  <c:pt idx="31">
                    <c:v>249.62947804902325</c:v>
                  </c:pt>
                  <c:pt idx="32">
                    <c:v>122.90117247304843</c:v>
                  </c:pt>
                  <c:pt idx="33">
                    <c:v>81.366226368807361</c:v>
                  </c:pt>
                  <c:pt idx="34">
                    <c:v>49.242644228464322</c:v>
                  </c:pt>
                  <c:pt idx="35">
                    <c:v>20.463710507872218</c:v>
                  </c:pt>
                  <c:pt idx="36">
                    <c:v>11.536794214598785</c:v>
                  </c:pt>
                </c:numCache>
              </c:numRef>
            </c:plus>
            <c:minus>
              <c:numRef>
                <c:f>'CSBv+tSpaceru'!$X$6:$X$42</c:f>
                <c:numCache>
                  <c:formatCode>General</c:formatCode>
                  <c:ptCount val="37"/>
                  <c:pt idx="0">
                    <c:v>5.3316227673507957</c:v>
                  </c:pt>
                  <c:pt idx="1">
                    <c:v>679.61262883469578</c:v>
                  </c:pt>
                  <c:pt idx="2">
                    <c:v>744.0746012375904</c:v>
                  </c:pt>
                  <c:pt idx="3">
                    <c:v>793.71213380640972</c:v>
                  </c:pt>
                  <c:pt idx="4">
                    <c:v>706.98794006948742</c:v>
                  </c:pt>
                  <c:pt idx="5">
                    <c:v>502.06183709273483</c:v>
                  </c:pt>
                  <c:pt idx="6">
                    <c:v>340.25946791060892</c:v>
                  </c:pt>
                  <c:pt idx="7">
                    <c:v>208.19492511382569</c:v>
                  </c:pt>
                  <c:pt idx="8">
                    <c:v>173.7031202791043</c:v>
                  </c:pt>
                  <c:pt idx="9">
                    <c:v>67.111332629016005</c:v>
                  </c:pt>
                  <c:pt idx="10">
                    <c:v>29.287945868125373</c:v>
                  </c:pt>
                  <c:pt idx="11">
                    <c:v>49.149636617233021</c:v>
                  </c:pt>
                  <c:pt idx="12">
                    <c:v>121.01685954692428</c:v>
                  </c:pt>
                  <c:pt idx="13">
                    <c:v>73.997715343946922</c:v>
                  </c:pt>
                  <c:pt idx="14">
                    <c:v>116.24766380194288</c:v>
                  </c:pt>
                  <c:pt idx="15">
                    <c:v>103.3520464403562</c:v>
                  </c:pt>
                  <c:pt idx="16">
                    <c:v>250.68726000930215</c:v>
                  </c:pt>
                  <c:pt idx="17">
                    <c:v>246.83694768058268</c:v>
                  </c:pt>
                  <c:pt idx="18">
                    <c:v>174.26624809427997</c:v>
                  </c:pt>
                  <c:pt idx="19">
                    <c:v>208.12153803108495</c:v>
                  </c:pt>
                  <c:pt idx="20">
                    <c:v>1181.2723271423304</c:v>
                  </c:pt>
                  <c:pt idx="21">
                    <c:v>1334.8248564395665</c:v>
                  </c:pt>
                  <c:pt idx="22">
                    <c:v>1192.5337270969899</c:v>
                  </c:pt>
                  <c:pt idx="23">
                    <c:v>1301.94429507425</c:v>
                  </c:pt>
                  <c:pt idx="24">
                    <c:v>1321.6877990665093</c:v>
                  </c:pt>
                  <c:pt idx="25">
                    <c:v>1153.0864436455936</c:v>
                  </c:pt>
                  <c:pt idx="26">
                    <c:v>1678.9867642263443</c:v>
                  </c:pt>
                  <c:pt idx="27">
                    <c:v>981.0245246730301</c:v>
                  </c:pt>
                  <c:pt idx="28">
                    <c:v>817.46626508842019</c:v>
                  </c:pt>
                  <c:pt idx="29">
                    <c:v>566.44924707845621</c:v>
                  </c:pt>
                  <c:pt idx="30">
                    <c:v>358.48462357195712</c:v>
                  </c:pt>
                  <c:pt idx="31">
                    <c:v>249.62947804902325</c:v>
                  </c:pt>
                  <c:pt idx="32">
                    <c:v>122.90117247304843</c:v>
                  </c:pt>
                  <c:pt idx="33">
                    <c:v>81.366226368807361</c:v>
                  </c:pt>
                  <c:pt idx="34">
                    <c:v>49.242644228464322</c:v>
                  </c:pt>
                  <c:pt idx="35">
                    <c:v>20.463710507872218</c:v>
                  </c:pt>
                  <c:pt idx="36">
                    <c:v>11.536794214598785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'CSBv+tSpaceru'!$Q$6:$Q$42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18</c:v>
                </c:pt>
                <c:pt idx="22">
                  <c:v>24</c:v>
                </c:pt>
                <c:pt idx="23">
                  <c:v>48</c:v>
                </c:pt>
                <c:pt idx="24">
                  <c:v>120</c:v>
                </c:pt>
                <c:pt idx="25">
                  <c:v>192</c:v>
                </c:pt>
                <c:pt idx="26">
                  <c:v>264</c:v>
                </c:pt>
                <c:pt idx="27">
                  <c:v>336</c:v>
                </c:pt>
                <c:pt idx="28">
                  <c:v>408</c:v>
                </c:pt>
                <c:pt idx="29">
                  <c:v>480</c:v>
                </c:pt>
                <c:pt idx="30">
                  <c:v>552</c:v>
                </c:pt>
                <c:pt idx="31">
                  <c:v>624</c:v>
                </c:pt>
                <c:pt idx="32">
                  <c:v>696</c:v>
                </c:pt>
                <c:pt idx="33">
                  <c:v>768</c:v>
                </c:pt>
                <c:pt idx="34">
                  <c:v>840</c:v>
                </c:pt>
                <c:pt idx="35">
                  <c:v>912</c:v>
                </c:pt>
                <c:pt idx="36">
                  <c:v>984</c:v>
                </c:pt>
              </c:numCache>
            </c:numRef>
          </c:cat>
          <c:val>
            <c:numRef>
              <c:f>'CSBv+tSpaceru'!$S$6:$S$42</c:f>
              <c:numCache>
                <c:formatCode>0.00</c:formatCode>
                <c:ptCount val="37"/>
                <c:pt idx="0">
                  <c:v>358.44966666666664</c:v>
                </c:pt>
                <c:pt idx="1">
                  <c:v>610.97783333333336</c:v>
                </c:pt>
                <c:pt idx="2">
                  <c:v>770.43783333333329</c:v>
                </c:pt>
                <c:pt idx="3">
                  <c:v>712.2166666666667</c:v>
                </c:pt>
                <c:pt idx="4">
                  <c:v>711.44066666666674</c:v>
                </c:pt>
                <c:pt idx="5">
                  <c:v>501.09724999999997</c:v>
                </c:pt>
                <c:pt idx="6">
                  <c:v>396.97291666666661</c:v>
                </c:pt>
                <c:pt idx="7">
                  <c:v>299.06766666666664</c:v>
                </c:pt>
                <c:pt idx="8">
                  <c:v>242.07816666666668</c:v>
                </c:pt>
                <c:pt idx="9">
                  <c:v>137.61916666666667</c:v>
                </c:pt>
                <c:pt idx="10">
                  <c:v>106.82758333333334</c:v>
                </c:pt>
                <c:pt idx="11">
                  <c:v>122.72183333333335</c:v>
                </c:pt>
                <c:pt idx="12">
                  <c:v>150.57920000000001</c:v>
                </c:pt>
                <c:pt idx="13">
                  <c:v>151.46653333333333</c:v>
                </c:pt>
                <c:pt idx="14">
                  <c:v>203.52946666666665</c:v>
                </c:pt>
                <c:pt idx="15">
                  <c:v>234.39546666666664</c:v>
                </c:pt>
                <c:pt idx="16">
                  <c:v>328.0634</c:v>
                </c:pt>
                <c:pt idx="17">
                  <c:v>369.54313333333334</c:v>
                </c:pt>
                <c:pt idx="18">
                  <c:v>219.63200000000001</c:v>
                </c:pt>
                <c:pt idx="19">
                  <c:v>427.17466666666661</c:v>
                </c:pt>
                <c:pt idx="20">
                  <c:v>787.84259999999983</c:v>
                </c:pt>
                <c:pt idx="21">
                  <c:v>905.77599999999995</c:v>
                </c:pt>
                <c:pt idx="22">
                  <c:v>820.9921333333333</c:v>
                </c:pt>
                <c:pt idx="23">
                  <c:v>1009.2497500000001</c:v>
                </c:pt>
                <c:pt idx="24">
                  <c:v>895.91899999999998</c:v>
                </c:pt>
                <c:pt idx="25">
                  <c:v>743.68116666666663</c:v>
                </c:pt>
                <c:pt idx="26">
                  <c:v>1121.5330000000001</c:v>
                </c:pt>
                <c:pt idx="27">
                  <c:v>656.39022222222218</c:v>
                </c:pt>
                <c:pt idx="28">
                  <c:v>547.45388888888886</c:v>
                </c:pt>
                <c:pt idx="29">
                  <c:v>379.72466666666674</c:v>
                </c:pt>
                <c:pt idx="30">
                  <c:v>240.44855555555554</c:v>
                </c:pt>
                <c:pt idx="31">
                  <c:v>167.66155555555554</c:v>
                </c:pt>
                <c:pt idx="32">
                  <c:v>82.269666666666666</c:v>
                </c:pt>
                <c:pt idx="33">
                  <c:v>54.56</c:v>
                </c:pt>
                <c:pt idx="34">
                  <c:v>33.306888888888892</c:v>
                </c:pt>
                <c:pt idx="35">
                  <c:v>15.045666666666667</c:v>
                </c:pt>
                <c:pt idx="36">
                  <c:v>8.4943333333333335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55-4230-86D7-CCC6B581C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026680"/>
        <c:axId val="487033896"/>
      </c:lineChart>
      <c:catAx>
        <c:axId val="487026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033896"/>
        <c:crosses val="autoZero"/>
        <c:auto val="1"/>
        <c:lblAlgn val="ctr"/>
        <c:lblOffset val="100"/>
        <c:noMultiLvlLbl val="0"/>
      </c:catAx>
      <c:valAx>
        <c:axId val="487033896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026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Spacer (2g Vancomycin &amp; 2g Tobramycin) + Beads (1g Vancomycin &amp; 240mg Tobramycin) Log Scale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'CSBv+tplusSpacerv+t'!$R$4</c:f>
              <c:strCache>
                <c:ptCount val="1"/>
                <c:pt idx="0">
                  <c:v>Tob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'CSBv+tplusSpacerv+t'!$W$5:$W$41</c:f>
                <c:numCache>
                  <c:formatCode>General</c:formatCode>
                  <c:ptCount val="37"/>
                  <c:pt idx="0">
                    <c:v>9.9335634593030484</c:v>
                  </c:pt>
                  <c:pt idx="1">
                    <c:v>764.26695126060133</c:v>
                  </c:pt>
                  <c:pt idx="2">
                    <c:v>530.49047792036924</c:v>
                  </c:pt>
                  <c:pt idx="3">
                    <c:v>334.31868308137774</c:v>
                  </c:pt>
                  <c:pt idx="4">
                    <c:v>282.20487870189544</c:v>
                  </c:pt>
                  <c:pt idx="5">
                    <c:v>199.58312040371385</c:v>
                  </c:pt>
                  <c:pt idx="6">
                    <c:v>156.33523749270827</c:v>
                  </c:pt>
                  <c:pt idx="7">
                    <c:v>114.1071478208889</c:v>
                  </c:pt>
                  <c:pt idx="8">
                    <c:v>90.202275678139927</c:v>
                  </c:pt>
                  <c:pt idx="9">
                    <c:v>64.951912906430593</c:v>
                  </c:pt>
                  <c:pt idx="10">
                    <c:v>56.862927810230758</c:v>
                  </c:pt>
                  <c:pt idx="11">
                    <c:v>47.281375572206016</c:v>
                  </c:pt>
                  <c:pt idx="12">
                    <c:v>397.57947183284716</c:v>
                  </c:pt>
                  <c:pt idx="13">
                    <c:v>243.45648788698696</c:v>
                  </c:pt>
                  <c:pt idx="14">
                    <c:v>280.6833345024246</c:v>
                  </c:pt>
                  <c:pt idx="15">
                    <c:v>274.32848667778524</c:v>
                  </c:pt>
                  <c:pt idx="16">
                    <c:v>275.10038677160333</c:v>
                  </c:pt>
                  <c:pt idx="17">
                    <c:v>283.13116661653146</c:v>
                  </c:pt>
                  <c:pt idx="18">
                    <c:v>263.32776270940906</c:v>
                  </c:pt>
                  <c:pt idx="19">
                    <c:v>293.82069721154562</c:v>
                  </c:pt>
                  <c:pt idx="20">
                    <c:v>240.92522251872103</c:v>
                  </c:pt>
                  <c:pt idx="21">
                    <c:v>251.0365215668555</c:v>
                  </c:pt>
                  <c:pt idx="22">
                    <c:v>237.96838280502325</c:v>
                  </c:pt>
                  <c:pt idx="23">
                    <c:v>261.45605686284097</c:v>
                  </c:pt>
                  <c:pt idx="24">
                    <c:v>263.71764155849382</c:v>
                  </c:pt>
                  <c:pt idx="25">
                    <c:v>237.68923733267323</c:v>
                  </c:pt>
                  <c:pt idx="26">
                    <c:v>307.66910662471463</c:v>
                  </c:pt>
                  <c:pt idx="27">
                    <c:v>84.66612425597252</c:v>
                  </c:pt>
                  <c:pt idx="28">
                    <c:v>74.264174722368267</c:v>
                  </c:pt>
                  <c:pt idx="29">
                    <c:v>75.594380815382777</c:v>
                  </c:pt>
                  <c:pt idx="30">
                    <c:v>70.718503794975746</c:v>
                  </c:pt>
                  <c:pt idx="31">
                    <c:v>62.832018587482743</c:v>
                  </c:pt>
                  <c:pt idx="32">
                    <c:v>43.988255251954591</c:v>
                  </c:pt>
                  <c:pt idx="33">
                    <c:v>35.055655516541762</c:v>
                  </c:pt>
                  <c:pt idx="34">
                    <c:v>16.295138960745316</c:v>
                  </c:pt>
                  <c:pt idx="35">
                    <c:v>14.528991354453268</c:v>
                  </c:pt>
                  <c:pt idx="36">
                    <c:v>4.1833651658815425</c:v>
                  </c:pt>
                </c:numCache>
              </c:numRef>
            </c:plus>
            <c:minus>
              <c:numRef>
                <c:f>'CSBv+tplusSpacerv+t'!$W$5:$W$41</c:f>
                <c:numCache>
                  <c:formatCode>General</c:formatCode>
                  <c:ptCount val="37"/>
                  <c:pt idx="0">
                    <c:v>9.9335634593030484</c:v>
                  </c:pt>
                  <c:pt idx="1">
                    <c:v>764.26695126060133</c:v>
                  </c:pt>
                  <c:pt idx="2">
                    <c:v>530.49047792036924</c:v>
                  </c:pt>
                  <c:pt idx="3">
                    <c:v>334.31868308137774</c:v>
                  </c:pt>
                  <c:pt idx="4">
                    <c:v>282.20487870189544</c:v>
                  </c:pt>
                  <c:pt idx="5">
                    <c:v>199.58312040371385</c:v>
                  </c:pt>
                  <c:pt idx="6">
                    <c:v>156.33523749270827</c:v>
                  </c:pt>
                  <c:pt idx="7">
                    <c:v>114.1071478208889</c:v>
                  </c:pt>
                  <c:pt idx="8">
                    <c:v>90.202275678139927</c:v>
                  </c:pt>
                  <c:pt idx="9">
                    <c:v>64.951912906430593</c:v>
                  </c:pt>
                  <c:pt idx="10">
                    <c:v>56.862927810230758</c:v>
                  </c:pt>
                  <c:pt idx="11">
                    <c:v>47.281375572206016</c:v>
                  </c:pt>
                  <c:pt idx="12">
                    <c:v>397.57947183284716</c:v>
                  </c:pt>
                  <c:pt idx="13">
                    <c:v>243.45648788698696</c:v>
                  </c:pt>
                  <c:pt idx="14">
                    <c:v>280.6833345024246</c:v>
                  </c:pt>
                  <c:pt idx="15">
                    <c:v>274.32848667778524</c:v>
                  </c:pt>
                  <c:pt idx="16">
                    <c:v>275.10038677160333</c:v>
                  </c:pt>
                  <c:pt idx="17">
                    <c:v>283.13116661653146</c:v>
                  </c:pt>
                  <c:pt idx="18">
                    <c:v>263.32776270940906</c:v>
                  </c:pt>
                  <c:pt idx="19">
                    <c:v>293.82069721154562</c:v>
                  </c:pt>
                  <c:pt idx="20">
                    <c:v>240.92522251872103</c:v>
                  </c:pt>
                  <c:pt idx="21">
                    <c:v>251.0365215668555</c:v>
                  </c:pt>
                  <c:pt idx="22">
                    <c:v>237.96838280502325</c:v>
                  </c:pt>
                  <c:pt idx="23">
                    <c:v>261.45605686284097</c:v>
                  </c:pt>
                  <c:pt idx="24">
                    <c:v>263.71764155849382</c:v>
                  </c:pt>
                  <c:pt idx="25">
                    <c:v>237.68923733267323</c:v>
                  </c:pt>
                  <c:pt idx="26">
                    <c:v>307.66910662471463</c:v>
                  </c:pt>
                  <c:pt idx="27">
                    <c:v>84.66612425597252</c:v>
                  </c:pt>
                  <c:pt idx="28">
                    <c:v>74.264174722368267</c:v>
                  </c:pt>
                  <c:pt idx="29">
                    <c:v>75.594380815382777</c:v>
                  </c:pt>
                  <c:pt idx="30">
                    <c:v>70.718503794975746</c:v>
                  </c:pt>
                  <c:pt idx="31">
                    <c:v>62.832018587482743</c:v>
                  </c:pt>
                  <c:pt idx="32">
                    <c:v>43.988255251954591</c:v>
                  </c:pt>
                  <c:pt idx="33">
                    <c:v>35.055655516541762</c:v>
                  </c:pt>
                  <c:pt idx="34">
                    <c:v>16.295138960745316</c:v>
                  </c:pt>
                  <c:pt idx="35">
                    <c:v>14.528991354453268</c:v>
                  </c:pt>
                  <c:pt idx="36">
                    <c:v>4.1833651658815425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'CSBv+tplusSpacerv+t'!$Q$5:$Q$41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18</c:v>
                </c:pt>
                <c:pt idx="22">
                  <c:v>24</c:v>
                </c:pt>
                <c:pt idx="23">
                  <c:v>48</c:v>
                </c:pt>
                <c:pt idx="24">
                  <c:v>120</c:v>
                </c:pt>
                <c:pt idx="25">
                  <c:v>192</c:v>
                </c:pt>
                <c:pt idx="26">
                  <c:v>264</c:v>
                </c:pt>
                <c:pt idx="27">
                  <c:v>336</c:v>
                </c:pt>
                <c:pt idx="28">
                  <c:v>408</c:v>
                </c:pt>
                <c:pt idx="29">
                  <c:v>480</c:v>
                </c:pt>
                <c:pt idx="30">
                  <c:v>552</c:v>
                </c:pt>
                <c:pt idx="31">
                  <c:v>624</c:v>
                </c:pt>
                <c:pt idx="32">
                  <c:v>696</c:v>
                </c:pt>
                <c:pt idx="33">
                  <c:v>768</c:v>
                </c:pt>
                <c:pt idx="34">
                  <c:v>840</c:v>
                </c:pt>
                <c:pt idx="35">
                  <c:v>912</c:v>
                </c:pt>
                <c:pt idx="36">
                  <c:v>984</c:v>
                </c:pt>
              </c:numCache>
            </c:numRef>
          </c:cat>
          <c:val>
            <c:numRef>
              <c:f>'CSBv+tplusSpacerv+t'!$R$5:$R$41</c:f>
              <c:numCache>
                <c:formatCode>0.00</c:formatCode>
                <c:ptCount val="37"/>
                <c:pt idx="0">
                  <c:v>1020.852</c:v>
                </c:pt>
                <c:pt idx="1">
                  <c:v>619.64041666666662</c:v>
                </c:pt>
                <c:pt idx="2">
                  <c:v>437.23800000000006</c:v>
                </c:pt>
                <c:pt idx="3">
                  <c:v>308.70446666666669</c:v>
                </c:pt>
                <c:pt idx="4">
                  <c:v>259.48333333333329</c:v>
                </c:pt>
                <c:pt idx="5">
                  <c:v>195.53858333333332</c:v>
                </c:pt>
                <c:pt idx="6">
                  <c:v>154.26258333333337</c:v>
                </c:pt>
                <c:pt idx="7">
                  <c:v>117.128</c:v>
                </c:pt>
                <c:pt idx="8">
                  <c:v>93.851333333333329</c:v>
                </c:pt>
                <c:pt idx="9">
                  <c:v>71.134749999999997</c:v>
                </c:pt>
                <c:pt idx="10">
                  <c:v>60.321333333333335</c:v>
                </c:pt>
                <c:pt idx="11">
                  <c:v>43.256</c:v>
                </c:pt>
                <c:pt idx="12">
                  <c:v>228.83980000000003</c:v>
                </c:pt>
                <c:pt idx="13">
                  <c:v>128.66053333333335</c:v>
                </c:pt>
                <c:pt idx="14">
                  <c:v>152.69860000000003</c:v>
                </c:pt>
                <c:pt idx="15">
                  <c:v>150.90873333333334</c:v>
                </c:pt>
                <c:pt idx="16">
                  <c:v>169.65119999999999</c:v>
                </c:pt>
                <c:pt idx="17">
                  <c:v>173.29226666666671</c:v>
                </c:pt>
                <c:pt idx="18">
                  <c:v>163.10639999999998</c:v>
                </c:pt>
                <c:pt idx="19">
                  <c:v>201.01233333333337</c:v>
                </c:pt>
                <c:pt idx="20">
                  <c:v>146.06546666666665</c:v>
                </c:pt>
                <c:pt idx="21">
                  <c:v>190.89475000000004</c:v>
                </c:pt>
                <c:pt idx="22">
                  <c:v>142.2004666666667</c:v>
                </c:pt>
                <c:pt idx="23">
                  <c:v>162.24791666666667</c:v>
                </c:pt>
                <c:pt idx="24">
                  <c:v>150.70908333333333</c:v>
                </c:pt>
                <c:pt idx="25">
                  <c:v>136.47083333333336</c:v>
                </c:pt>
                <c:pt idx="26">
                  <c:v>209.87766666666667</c:v>
                </c:pt>
                <c:pt idx="27">
                  <c:v>61.576555555555565</c:v>
                </c:pt>
                <c:pt idx="28">
                  <c:v>54.398777777777781</c:v>
                </c:pt>
                <c:pt idx="29">
                  <c:v>55.13111111111111</c:v>
                </c:pt>
                <c:pt idx="30">
                  <c:v>51.773000000000003</c:v>
                </c:pt>
                <c:pt idx="31">
                  <c:v>46.791444444444444</c:v>
                </c:pt>
                <c:pt idx="32">
                  <c:v>33.93588888888889</c:v>
                </c:pt>
                <c:pt idx="33">
                  <c:v>28.335222222222221</c:v>
                </c:pt>
                <c:pt idx="34">
                  <c:v>15.244333333333335</c:v>
                </c:pt>
                <c:pt idx="35">
                  <c:v>13.864444444444445</c:v>
                </c:pt>
                <c:pt idx="36">
                  <c:v>6.673111111111111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AE-4002-9A15-FC5D64ACEAEB}"/>
            </c:ext>
          </c:extLst>
        </c:ser>
        <c:ser>
          <c:idx val="1"/>
          <c:order val="1"/>
          <c:tx>
            <c:strRef>
              <c:f>'CSBv+tplusSpacerv+t'!$S$4</c:f>
              <c:strCache>
                <c:ptCount val="1"/>
                <c:pt idx="0">
                  <c:v>Vanc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'CSBv+tplusSpacerv+t'!$X$5:$X$41</c:f>
                <c:numCache>
                  <c:formatCode>General</c:formatCode>
                  <c:ptCount val="37"/>
                  <c:pt idx="0">
                    <c:v>3.8540760674035845</c:v>
                  </c:pt>
                  <c:pt idx="1">
                    <c:v>580.60805845378798</c:v>
                  </c:pt>
                  <c:pt idx="2">
                    <c:v>637.23125503361803</c:v>
                  </c:pt>
                  <c:pt idx="3">
                    <c:v>648.9855381077308</c:v>
                  </c:pt>
                  <c:pt idx="4">
                    <c:v>703.90081433091098</c:v>
                  </c:pt>
                  <c:pt idx="5">
                    <c:v>495.91443938820703</c:v>
                  </c:pt>
                  <c:pt idx="6">
                    <c:v>361.38856815079708</c:v>
                  </c:pt>
                  <c:pt idx="7">
                    <c:v>239.14415614935345</c:v>
                  </c:pt>
                  <c:pt idx="8">
                    <c:v>135.64178347427952</c:v>
                  </c:pt>
                  <c:pt idx="9">
                    <c:v>83.600879183067335</c:v>
                  </c:pt>
                  <c:pt idx="10">
                    <c:v>51.269378076843928</c:v>
                  </c:pt>
                  <c:pt idx="11">
                    <c:v>42.207801675074542</c:v>
                  </c:pt>
                  <c:pt idx="12">
                    <c:v>207.43687928317581</c:v>
                  </c:pt>
                  <c:pt idx="13">
                    <c:v>150.12794898146365</c:v>
                  </c:pt>
                  <c:pt idx="14">
                    <c:v>207.64644737637238</c:v>
                  </c:pt>
                  <c:pt idx="15">
                    <c:v>222.79866378429352</c:v>
                  </c:pt>
                  <c:pt idx="16">
                    <c:v>227.37586163118507</c:v>
                  </c:pt>
                  <c:pt idx="17">
                    <c:v>259.45376131051069</c:v>
                  </c:pt>
                  <c:pt idx="18">
                    <c:v>225.40269650091966</c:v>
                  </c:pt>
                  <c:pt idx="19">
                    <c:v>263.91259290844584</c:v>
                  </c:pt>
                  <c:pt idx="20">
                    <c:v>1152.2570690029488</c:v>
                  </c:pt>
                  <c:pt idx="21">
                    <c:v>1285.202168887271</c:v>
                  </c:pt>
                  <c:pt idx="22">
                    <c:v>1152.4140669420783</c:v>
                  </c:pt>
                  <c:pt idx="23">
                    <c:v>1234.5725051308953</c:v>
                  </c:pt>
                  <c:pt idx="24">
                    <c:v>1245.3289704508868</c:v>
                  </c:pt>
                  <c:pt idx="25">
                    <c:v>1059.0441558155985</c:v>
                  </c:pt>
                  <c:pt idx="26">
                    <c:v>1570.5050822736757</c:v>
                  </c:pt>
                  <c:pt idx="27">
                    <c:v>980.75449725680301</c:v>
                  </c:pt>
                  <c:pt idx="28">
                    <c:v>983.31219146088654</c:v>
                  </c:pt>
                  <c:pt idx="29">
                    <c:v>630.64734002956141</c:v>
                  </c:pt>
                  <c:pt idx="30">
                    <c:v>539.78086445993165</c:v>
                  </c:pt>
                  <c:pt idx="31">
                    <c:v>316.54878279658573</c:v>
                  </c:pt>
                  <c:pt idx="32">
                    <c:v>285.4474896204398</c:v>
                  </c:pt>
                  <c:pt idx="33">
                    <c:v>240.46329980084511</c:v>
                  </c:pt>
                  <c:pt idx="34">
                    <c:v>69.293656022755783</c:v>
                  </c:pt>
                  <c:pt idx="35">
                    <c:v>33.650651392077258</c:v>
                  </c:pt>
                  <c:pt idx="36">
                    <c:v>20.906684228840419</c:v>
                  </c:pt>
                </c:numCache>
              </c:numRef>
            </c:plus>
            <c:minus>
              <c:numRef>
                <c:f>'CSBv+tplusSpacerv+t'!$X$5:$X$41</c:f>
                <c:numCache>
                  <c:formatCode>General</c:formatCode>
                  <c:ptCount val="37"/>
                  <c:pt idx="0">
                    <c:v>3.8540760674035845</c:v>
                  </c:pt>
                  <c:pt idx="1">
                    <c:v>580.60805845378798</c:v>
                  </c:pt>
                  <c:pt idx="2">
                    <c:v>637.23125503361803</c:v>
                  </c:pt>
                  <c:pt idx="3">
                    <c:v>648.9855381077308</c:v>
                  </c:pt>
                  <c:pt idx="4">
                    <c:v>703.90081433091098</c:v>
                  </c:pt>
                  <c:pt idx="5">
                    <c:v>495.91443938820703</c:v>
                  </c:pt>
                  <c:pt idx="6">
                    <c:v>361.38856815079708</c:v>
                  </c:pt>
                  <c:pt idx="7">
                    <c:v>239.14415614935345</c:v>
                  </c:pt>
                  <c:pt idx="8">
                    <c:v>135.64178347427952</c:v>
                  </c:pt>
                  <c:pt idx="9">
                    <c:v>83.600879183067335</c:v>
                  </c:pt>
                  <c:pt idx="10">
                    <c:v>51.269378076843928</c:v>
                  </c:pt>
                  <c:pt idx="11">
                    <c:v>42.207801675074542</c:v>
                  </c:pt>
                  <c:pt idx="12">
                    <c:v>207.43687928317581</c:v>
                  </c:pt>
                  <c:pt idx="13">
                    <c:v>150.12794898146365</c:v>
                  </c:pt>
                  <c:pt idx="14">
                    <c:v>207.64644737637238</c:v>
                  </c:pt>
                  <c:pt idx="15">
                    <c:v>222.79866378429352</c:v>
                  </c:pt>
                  <c:pt idx="16">
                    <c:v>227.37586163118507</c:v>
                  </c:pt>
                  <c:pt idx="17">
                    <c:v>259.45376131051069</c:v>
                  </c:pt>
                  <c:pt idx="18">
                    <c:v>225.40269650091966</c:v>
                  </c:pt>
                  <c:pt idx="19">
                    <c:v>263.91259290844584</c:v>
                  </c:pt>
                  <c:pt idx="20">
                    <c:v>1152.2570690029488</c:v>
                  </c:pt>
                  <c:pt idx="21">
                    <c:v>1285.202168887271</c:v>
                  </c:pt>
                  <c:pt idx="22">
                    <c:v>1152.4140669420783</c:v>
                  </c:pt>
                  <c:pt idx="23">
                    <c:v>1234.5725051308953</c:v>
                  </c:pt>
                  <c:pt idx="24">
                    <c:v>1245.3289704508868</c:v>
                  </c:pt>
                  <c:pt idx="25">
                    <c:v>1059.0441558155985</c:v>
                  </c:pt>
                  <c:pt idx="26">
                    <c:v>1570.5050822736757</c:v>
                  </c:pt>
                  <c:pt idx="27">
                    <c:v>980.75449725680301</c:v>
                  </c:pt>
                  <c:pt idx="28">
                    <c:v>983.31219146088654</c:v>
                  </c:pt>
                  <c:pt idx="29">
                    <c:v>630.64734002956141</c:v>
                  </c:pt>
                  <c:pt idx="30">
                    <c:v>539.78086445993165</c:v>
                  </c:pt>
                  <c:pt idx="31">
                    <c:v>316.54878279658573</c:v>
                  </c:pt>
                  <c:pt idx="32">
                    <c:v>285.4474896204398</c:v>
                  </c:pt>
                  <c:pt idx="33">
                    <c:v>240.46329980084511</c:v>
                  </c:pt>
                  <c:pt idx="34">
                    <c:v>69.293656022755783</c:v>
                  </c:pt>
                  <c:pt idx="35">
                    <c:v>33.650651392077258</c:v>
                  </c:pt>
                  <c:pt idx="36">
                    <c:v>20.906684228840419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'CSBv+tplusSpacerv+t'!$Q$5:$Q$41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18</c:v>
                </c:pt>
                <c:pt idx="22">
                  <c:v>24</c:v>
                </c:pt>
                <c:pt idx="23">
                  <c:v>48</c:v>
                </c:pt>
                <c:pt idx="24">
                  <c:v>120</c:v>
                </c:pt>
                <c:pt idx="25">
                  <c:v>192</c:v>
                </c:pt>
                <c:pt idx="26">
                  <c:v>264</c:v>
                </c:pt>
                <c:pt idx="27">
                  <c:v>336</c:v>
                </c:pt>
                <c:pt idx="28">
                  <c:v>408</c:v>
                </c:pt>
                <c:pt idx="29">
                  <c:v>480</c:v>
                </c:pt>
                <c:pt idx="30">
                  <c:v>552</c:v>
                </c:pt>
                <c:pt idx="31">
                  <c:v>624</c:v>
                </c:pt>
                <c:pt idx="32">
                  <c:v>696</c:v>
                </c:pt>
                <c:pt idx="33">
                  <c:v>768</c:v>
                </c:pt>
                <c:pt idx="34">
                  <c:v>840</c:v>
                </c:pt>
                <c:pt idx="35">
                  <c:v>912</c:v>
                </c:pt>
                <c:pt idx="36">
                  <c:v>984</c:v>
                </c:pt>
              </c:numCache>
            </c:numRef>
          </c:cat>
          <c:val>
            <c:numRef>
              <c:f>'CSBv+tplusSpacerv+t'!$S$5:$S$41</c:f>
              <c:numCache>
                <c:formatCode>0.00</c:formatCode>
                <c:ptCount val="37"/>
                <c:pt idx="0">
                  <c:v>544.97233333333338</c:v>
                </c:pt>
                <c:pt idx="1">
                  <c:v>604.03125</c:v>
                </c:pt>
                <c:pt idx="2">
                  <c:v>605.78641666666658</c:v>
                </c:pt>
                <c:pt idx="3">
                  <c:v>579.11913333333337</c:v>
                </c:pt>
                <c:pt idx="4">
                  <c:v>595.66941666666673</c:v>
                </c:pt>
                <c:pt idx="5">
                  <c:v>442.60891666666674</c:v>
                </c:pt>
                <c:pt idx="6">
                  <c:v>332.9380833333334</c:v>
                </c:pt>
                <c:pt idx="7">
                  <c:v>225.69275000000002</c:v>
                </c:pt>
                <c:pt idx="8">
                  <c:v>144.56891666666669</c:v>
                </c:pt>
                <c:pt idx="9">
                  <c:v>88.960999999999999</c:v>
                </c:pt>
                <c:pt idx="10">
                  <c:v>54.915249999999993</c:v>
                </c:pt>
                <c:pt idx="11">
                  <c:v>55.18333333333333</c:v>
                </c:pt>
                <c:pt idx="12">
                  <c:v>125.45720000000001</c:v>
                </c:pt>
                <c:pt idx="13">
                  <c:v>104.43733333333334</c:v>
                </c:pt>
                <c:pt idx="14">
                  <c:v>183.19619999999998</c:v>
                </c:pt>
                <c:pt idx="15">
                  <c:v>197.91993333333329</c:v>
                </c:pt>
                <c:pt idx="16">
                  <c:v>250.5033333333333</c:v>
                </c:pt>
                <c:pt idx="17">
                  <c:v>244.75519999999997</c:v>
                </c:pt>
                <c:pt idx="18">
                  <c:v>243.4622</c:v>
                </c:pt>
                <c:pt idx="19">
                  <c:v>270.67125000000004</c:v>
                </c:pt>
                <c:pt idx="20">
                  <c:v>680.84646666666663</c:v>
                </c:pt>
                <c:pt idx="21">
                  <c:v>824.54899999999998</c:v>
                </c:pt>
                <c:pt idx="22">
                  <c:v>777.9774666666666</c:v>
                </c:pt>
                <c:pt idx="23">
                  <c:v>950.61091666666653</c:v>
                </c:pt>
                <c:pt idx="24">
                  <c:v>830.25808333333327</c:v>
                </c:pt>
                <c:pt idx="25">
                  <c:v>750.76591666666661</c:v>
                </c:pt>
                <c:pt idx="26">
                  <c:v>1111.4732222222221</c:v>
                </c:pt>
                <c:pt idx="27">
                  <c:v>706.05277777777769</c:v>
                </c:pt>
                <c:pt idx="28">
                  <c:v>684.71688888888889</c:v>
                </c:pt>
                <c:pt idx="29">
                  <c:v>440.42588888888884</c:v>
                </c:pt>
                <c:pt idx="30">
                  <c:v>373.16211111111113</c:v>
                </c:pt>
                <c:pt idx="31">
                  <c:v>220.994</c:v>
                </c:pt>
                <c:pt idx="32">
                  <c:v>196.29111111111112</c:v>
                </c:pt>
                <c:pt idx="33">
                  <c:v>166.74288888888884</c:v>
                </c:pt>
                <c:pt idx="34">
                  <c:v>52.182666666666677</c:v>
                </c:pt>
                <c:pt idx="35">
                  <c:v>28.222888888888885</c:v>
                </c:pt>
                <c:pt idx="36">
                  <c:v>19.529777777777774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AE-4002-9A15-FC5D64ACE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982943"/>
        <c:axId val="470550543"/>
      </c:lineChart>
      <c:catAx>
        <c:axId val="45598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50543"/>
        <c:crossesAt val="0.1"/>
        <c:auto val="1"/>
        <c:lblAlgn val="ctr"/>
        <c:lblOffset val="100"/>
        <c:noMultiLvlLbl val="0"/>
      </c:catAx>
      <c:valAx>
        <c:axId val="470550543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98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Spacer Only (2g Vancomycin &amp; 2g Tobramycin) Log Scale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'Spacerv+t'!$P$5</c:f>
              <c:strCache>
                <c:ptCount val="1"/>
                <c:pt idx="0">
                  <c:v>Tob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'Spacerv+t'!$U$6:$U$42</c:f>
                <c:numCache>
                  <c:formatCode>General</c:formatCode>
                  <c:ptCount val="37"/>
                  <c:pt idx="0">
                    <c:v>0.55981425490960801</c:v>
                  </c:pt>
                  <c:pt idx="1">
                    <c:v>33.228256778157245</c:v>
                  </c:pt>
                  <c:pt idx="2">
                    <c:v>35.438707211333288</c:v>
                  </c:pt>
                  <c:pt idx="3">
                    <c:v>39.166437132564042</c:v>
                  </c:pt>
                  <c:pt idx="4">
                    <c:v>39.426692021011569</c:v>
                  </c:pt>
                  <c:pt idx="5">
                    <c:v>39.905523325839141</c:v>
                  </c:pt>
                  <c:pt idx="6">
                    <c:v>6.8979969292805361</c:v>
                  </c:pt>
                  <c:pt idx="7">
                    <c:v>9.9552701468603875</c:v>
                  </c:pt>
                  <c:pt idx="8">
                    <c:v>9.367352681796044</c:v>
                  </c:pt>
                  <c:pt idx="9">
                    <c:v>7.318218289434812</c:v>
                  </c:pt>
                  <c:pt idx="10">
                    <c:v>6.8633012878775634</c:v>
                  </c:pt>
                  <c:pt idx="11">
                    <c:v>5.6749745607492841</c:v>
                  </c:pt>
                  <c:pt idx="12">
                    <c:v>9.3311173593649759</c:v>
                  </c:pt>
                  <c:pt idx="13">
                    <c:v>2.5351797437920127</c:v>
                  </c:pt>
                  <c:pt idx="14">
                    <c:v>2.069813803659204</c:v>
                  </c:pt>
                  <c:pt idx="15">
                    <c:v>3.9821036573498167</c:v>
                  </c:pt>
                  <c:pt idx="16">
                    <c:v>3.6252624596731113</c:v>
                  </c:pt>
                  <c:pt idx="17">
                    <c:v>4.6965760029531252</c:v>
                  </c:pt>
                  <c:pt idx="18">
                    <c:v>4.2839975835024182</c:v>
                  </c:pt>
                  <c:pt idx="19">
                    <c:v>3.0760208784149103</c:v>
                  </c:pt>
                  <c:pt idx="20">
                    <c:v>1.677279769222302</c:v>
                  </c:pt>
                  <c:pt idx="21">
                    <c:v>5.1267053260354256</c:v>
                  </c:pt>
                  <c:pt idx="22">
                    <c:v>8.404636416612826</c:v>
                  </c:pt>
                  <c:pt idx="23">
                    <c:v>5.2660389921331436</c:v>
                  </c:pt>
                  <c:pt idx="24">
                    <c:v>7.4349173330979283</c:v>
                  </c:pt>
                  <c:pt idx="25">
                    <c:v>5.4777781535947589</c:v>
                  </c:pt>
                  <c:pt idx="26">
                    <c:v>8.0839533645364376</c:v>
                  </c:pt>
                  <c:pt idx="27">
                    <c:v>6.9600726840074527</c:v>
                  </c:pt>
                  <c:pt idx="28">
                    <c:v>4.5146119545316408</c:v>
                  </c:pt>
                  <c:pt idx="29">
                    <c:v>2.115870096831717</c:v>
                  </c:pt>
                  <c:pt idx="30">
                    <c:v>2.260548399540844</c:v>
                  </c:pt>
                  <c:pt idx="31">
                    <c:v>2.0078702564325885</c:v>
                  </c:pt>
                  <c:pt idx="32">
                    <c:v>1.3880851078614256</c:v>
                  </c:pt>
                  <c:pt idx="33">
                    <c:v>1.4740935406773443</c:v>
                  </c:pt>
                  <c:pt idx="34">
                    <c:v>1.8678332902055252</c:v>
                  </c:pt>
                  <c:pt idx="35">
                    <c:v>2.1484771040592139</c:v>
                  </c:pt>
                  <c:pt idx="36">
                    <c:v>1.7725243862920479</c:v>
                  </c:pt>
                </c:numCache>
              </c:numRef>
            </c:plus>
            <c:minus>
              <c:numRef>
                <c:f>'Spacerv+t'!$U$6:$U$42</c:f>
                <c:numCache>
                  <c:formatCode>General</c:formatCode>
                  <c:ptCount val="37"/>
                  <c:pt idx="0">
                    <c:v>0.55981425490960801</c:v>
                  </c:pt>
                  <c:pt idx="1">
                    <c:v>33.228256778157245</c:v>
                  </c:pt>
                  <c:pt idx="2">
                    <c:v>35.438707211333288</c:v>
                  </c:pt>
                  <c:pt idx="3">
                    <c:v>39.166437132564042</c:v>
                  </c:pt>
                  <c:pt idx="4">
                    <c:v>39.426692021011569</c:v>
                  </c:pt>
                  <c:pt idx="5">
                    <c:v>39.905523325839141</c:v>
                  </c:pt>
                  <c:pt idx="6">
                    <c:v>6.8979969292805361</c:v>
                  </c:pt>
                  <c:pt idx="7">
                    <c:v>9.9552701468603875</c:v>
                  </c:pt>
                  <c:pt idx="8">
                    <c:v>9.367352681796044</c:v>
                  </c:pt>
                  <c:pt idx="9">
                    <c:v>7.318218289434812</c:v>
                  </c:pt>
                  <c:pt idx="10">
                    <c:v>6.8633012878775634</c:v>
                  </c:pt>
                  <c:pt idx="11">
                    <c:v>5.6749745607492841</c:v>
                  </c:pt>
                  <c:pt idx="12">
                    <c:v>9.3311173593649759</c:v>
                  </c:pt>
                  <c:pt idx="13">
                    <c:v>2.5351797437920127</c:v>
                  </c:pt>
                  <c:pt idx="14">
                    <c:v>2.069813803659204</c:v>
                  </c:pt>
                  <c:pt idx="15">
                    <c:v>3.9821036573498167</c:v>
                  </c:pt>
                  <c:pt idx="16">
                    <c:v>3.6252624596731113</c:v>
                  </c:pt>
                  <c:pt idx="17">
                    <c:v>4.6965760029531252</c:v>
                  </c:pt>
                  <c:pt idx="18">
                    <c:v>4.2839975835024182</c:v>
                  </c:pt>
                  <c:pt idx="19">
                    <c:v>3.0760208784149103</c:v>
                  </c:pt>
                  <c:pt idx="20">
                    <c:v>1.677279769222302</c:v>
                  </c:pt>
                  <c:pt idx="21">
                    <c:v>5.1267053260354256</c:v>
                  </c:pt>
                  <c:pt idx="22">
                    <c:v>8.404636416612826</c:v>
                  </c:pt>
                  <c:pt idx="23">
                    <c:v>5.2660389921331436</c:v>
                  </c:pt>
                  <c:pt idx="24">
                    <c:v>7.4349173330979283</c:v>
                  </c:pt>
                  <c:pt idx="25">
                    <c:v>5.4777781535947589</c:v>
                  </c:pt>
                  <c:pt idx="26">
                    <c:v>8.0839533645364376</c:v>
                  </c:pt>
                  <c:pt idx="27">
                    <c:v>6.9600726840074527</c:v>
                  </c:pt>
                  <c:pt idx="28">
                    <c:v>4.5146119545316408</c:v>
                  </c:pt>
                  <c:pt idx="29">
                    <c:v>2.115870096831717</c:v>
                  </c:pt>
                  <c:pt idx="30">
                    <c:v>2.260548399540844</c:v>
                  </c:pt>
                  <c:pt idx="31">
                    <c:v>2.0078702564325885</c:v>
                  </c:pt>
                  <c:pt idx="32">
                    <c:v>1.3880851078614256</c:v>
                  </c:pt>
                  <c:pt idx="33">
                    <c:v>1.4740935406773443</c:v>
                  </c:pt>
                  <c:pt idx="34">
                    <c:v>1.8678332902055252</c:v>
                  </c:pt>
                  <c:pt idx="35">
                    <c:v>2.1484771040592139</c:v>
                  </c:pt>
                  <c:pt idx="36">
                    <c:v>1.7725243862920479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'Spacerv+t'!$O$6:$O$42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18</c:v>
                </c:pt>
                <c:pt idx="22">
                  <c:v>24</c:v>
                </c:pt>
                <c:pt idx="23">
                  <c:v>48</c:v>
                </c:pt>
                <c:pt idx="24">
                  <c:v>120</c:v>
                </c:pt>
                <c:pt idx="25">
                  <c:v>192</c:v>
                </c:pt>
                <c:pt idx="26">
                  <c:v>264</c:v>
                </c:pt>
                <c:pt idx="27">
                  <c:v>336</c:v>
                </c:pt>
                <c:pt idx="28">
                  <c:v>408</c:v>
                </c:pt>
                <c:pt idx="29">
                  <c:v>480</c:v>
                </c:pt>
                <c:pt idx="30">
                  <c:v>552</c:v>
                </c:pt>
                <c:pt idx="31">
                  <c:v>624</c:v>
                </c:pt>
                <c:pt idx="32">
                  <c:v>696</c:v>
                </c:pt>
                <c:pt idx="33">
                  <c:v>768</c:v>
                </c:pt>
                <c:pt idx="34">
                  <c:v>840</c:v>
                </c:pt>
                <c:pt idx="35">
                  <c:v>912</c:v>
                </c:pt>
                <c:pt idx="36">
                  <c:v>984</c:v>
                </c:pt>
              </c:numCache>
            </c:numRef>
          </c:cat>
          <c:val>
            <c:numRef>
              <c:f>'Spacerv+t'!$P$6:$P$42</c:f>
              <c:numCache>
                <c:formatCode>0.00</c:formatCode>
                <c:ptCount val="37"/>
                <c:pt idx="0">
                  <c:v>115.117</c:v>
                </c:pt>
                <c:pt idx="1">
                  <c:v>72.012166666666658</c:v>
                </c:pt>
                <c:pt idx="2">
                  <c:v>64.006416666666667</c:v>
                </c:pt>
                <c:pt idx="3">
                  <c:v>58.669249999999998</c:v>
                </c:pt>
                <c:pt idx="4">
                  <c:v>52.521083333333337</c:v>
                </c:pt>
                <c:pt idx="5">
                  <c:v>45.960499999999996</c:v>
                </c:pt>
                <c:pt idx="6">
                  <c:v>16.898</c:v>
                </c:pt>
                <c:pt idx="7">
                  <c:v>16.218666666666667</c:v>
                </c:pt>
                <c:pt idx="8">
                  <c:v>13.785416666666668</c:v>
                </c:pt>
                <c:pt idx="9">
                  <c:v>11.96025</c:v>
                </c:pt>
                <c:pt idx="10">
                  <c:v>10.39625</c:v>
                </c:pt>
                <c:pt idx="11">
                  <c:v>9.5254166666666666</c:v>
                </c:pt>
                <c:pt idx="12">
                  <c:v>10.776416666666668</c:v>
                </c:pt>
                <c:pt idx="13">
                  <c:v>4.7741666666666669</c:v>
                </c:pt>
                <c:pt idx="14">
                  <c:v>4.0885000000000007</c:v>
                </c:pt>
                <c:pt idx="15">
                  <c:v>5.385416666666667</c:v>
                </c:pt>
                <c:pt idx="16">
                  <c:v>5.8425833333333337</c:v>
                </c:pt>
                <c:pt idx="17">
                  <c:v>5.9011666666666658</c:v>
                </c:pt>
                <c:pt idx="18">
                  <c:v>6.9637500000000001</c:v>
                </c:pt>
                <c:pt idx="19">
                  <c:v>6.9622222222222225</c:v>
                </c:pt>
                <c:pt idx="20">
                  <c:v>5.0438333333333336</c:v>
                </c:pt>
                <c:pt idx="21">
                  <c:v>8.2193333333333332</c:v>
                </c:pt>
                <c:pt idx="22">
                  <c:v>11.395250000000003</c:v>
                </c:pt>
                <c:pt idx="23">
                  <c:v>7.6106666666666669</c:v>
                </c:pt>
                <c:pt idx="24">
                  <c:v>9.0333333333333332</c:v>
                </c:pt>
                <c:pt idx="25">
                  <c:v>9.1263333333333332</c:v>
                </c:pt>
                <c:pt idx="26">
                  <c:v>8.8320000000000007</c:v>
                </c:pt>
                <c:pt idx="27">
                  <c:v>8.7781666666666656</c:v>
                </c:pt>
                <c:pt idx="28">
                  <c:v>5.4264999999999999</c:v>
                </c:pt>
                <c:pt idx="29">
                  <c:v>3.9516666666666667</c:v>
                </c:pt>
                <c:pt idx="30">
                  <c:v>4.1606666666666667</c:v>
                </c:pt>
                <c:pt idx="31">
                  <c:v>3.3811666666666667</c:v>
                </c:pt>
                <c:pt idx="32">
                  <c:v>3.1986666666666665</c:v>
                </c:pt>
                <c:pt idx="33">
                  <c:v>3.1788333333333334</c:v>
                </c:pt>
                <c:pt idx="34">
                  <c:v>3.6940000000000004</c:v>
                </c:pt>
                <c:pt idx="35">
                  <c:v>3.4356666666666666</c:v>
                </c:pt>
                <c:pt idx="36">
                  <c:v>3.5754999999999999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74-46A3-AEC6-E77B95330AEF}"/>
            </c:ext>
          </c:extLst>
        </c:ser>
        <c:ser>
          <c:idx val="1"/>
          <c:order val="1"/>
          <c:tx>
            <c:strRef>
              <c:f>'Spacerv+t'!$Q$5</c:f>
              <c:strCache>
                <c:ptCount val="1"/>
                <c:pt idx="0">
                  <c:v>Vanc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'Spacerv+t'!$V$6:$V$42</c:f>
                <c:numCache>
                  <c:formatCode>General</c:formatCode>
                  <c:ptCount val="37"/>
                  <c:pt idx="0">
                    <c:v>0.13363507523600759</c:v>
                  </c:pt>
                  <c:pt idx="1">
                    <c:v>22.352323512028089</c:v>
                  </c:pt>
                  <c:pt idx="2">
                    <c:v>15.743246098555939</c:v>
                  </c:pt>
                  <c:pt idx="3">
                    <c:v>19.674767850465159</c:v>
                  </c:pt>
                  <c:pt idx="4">
                    <c:v>11.022317570673952</c:v>
                  </c:pt>
                  <c:pt idx="5">
                    <c:v>12.17568864457764</c:v>
                  </c:pt>
                  <c:pt idx="6">
                    <c:v>7.8794396792596144</c:v>
                  </c:pt>
                  <c:pt idx="7">
                    <c:v>6.0144796117369967</c:v>
                  </c:pt>
                  <c:pt idx="8">
                    <c:v>8.5361231708474552</c:v>
                  </c:pt>
                  <c:pt idx="9">
                    <c:v>4.0386611192774842</c:v>
                  </c:pt>
                  <c:pt idx="10">
                    <c:v>5.8100460509049618</c:v>
                  </c:pt>
                  <c:pt idx="11">
                    <c:v>4.9299214604353097</c:v>
                  </c:pt>
                  <c:pt idx="12">
                    <c:v>5.8875644209304481</c:v>
                  </c:pt>
                  <c:pt idx="13">
                    <c:v>1.4162265778105456</c:v>
                  </c:pt>
                  <c:pt idx="14">
                    <c:v>0.95603189927127508</c:v>
                  </c:pt>
                  <c:pt idx="15">
                    <c:v>2.0951366828197555</c:v>
                  </c:pt>
                  <c:pt idx="16">
                    <c:v>1.8586217013657946</c:v>
                  </c:pt>
                  <c:pt idx="17">
                    <c:v>2.6448511214330113</c:v>
                  </c:pt>
                  <c:pt idx="18">
                    <c:v>2.2319314301946891</c:v>
                  </c:pt>
                  <c:pt idx="19">
                    <c:v>8.7394649006675476</c:v>
                  </c:pt>
                  <c:pt idx="20">
                    <c:v>2.2766288607713312</c:v>
                  </c:pt>
                  <c:pt idx="21">
                    <c:v>0.61394444193084585</c:v>
                  </c:pt>
                  <c:pt idx="22">
                    <c:v>10.362400242602039</c:v>
                  </c:pt>
                  <c:pt idx="23">
                    <c:v>5.2481662607047808</c:v>
                  </c:pt>
                  <c:pt idx="24">
                    <c:v>5.0404273986549102</c:v>
                  </c:pt>
                  <c:pt idx="25">
                    <c:v>4.3480050246572208</c:v>
                  </c:pt>
                  <c:pt idx="26">
                    <c:v>4.6763579275614324</c:v>
                  </c:pt>
                  <c:pt idx="27">
                    <c:v>1.6688962420314415</c:v>
                  </c:pt>
                  <c:pt idx="28">
                    <c:v>2.8709623938092026</c:v>
                  </c:pt>
                  <c:pt idx="29">
                    <c:v>2.0817479194177189</c:v>
                  </c:pt>
                  <c:pt idx="30">
                    <c:v>1.533355764328683</c:v>
                  </c:pt>
                  <c:pt idx="31">
                    <c:v>1.0333315860200285</c:v>
                  </c:pt>
                  <c:pt idx="32">
                    <c:v>0.96927574336030231</c:v>
                  </c:pt>
                  <c:pt idx="33">
                    <c:v>1.1246223810684188</c:v>
                  </c:pt>
                  <c:pt idx="34">
                    <c:v>2.8135002162194098</c:v>
                  </c:pt>
                  <c:pt idx="35">
                    <c:v>2.5393392053839525</c:v>
                  </c:pt>
                  <c:pt idx="36">
                    <c:v>3.4154225360853956</c:v>
                  </c:pt>
                </c:numCache>
              </c:numRef>
            </c:plus>
            <c:minus>
              <c:numRef>
                <c:f>'Spacerv+t'!$V$6:$V$42</c:f>
                <c:numCache>
                  <c:formatCode>General</c:formatCode>
                  <c:ptCount val="37"/>
                  <c:pt idx="0">
                    <c:v>0.13363507523600759</c:v>
                  </c:pt>
                  <c:pt idx="1">
                    <c:v>22.352323512028089</c:v>
                  </c:pt>
                  <c:pt idx="2">
                    <c:v>15.743246098555939</c:v>
                  </c:pt>
                  <c:pt idx="3">
                    <c:v>19.674767850465159</c:v>
                  </c:pt>
                  <c:pt idx="4">
                    <c:v>11.022317570673952</c:v>
                  </c:pt>
                  <c:pt idx="5">
                    <c:v>12.17568864457764</c:v>
                  </c:pt>
                  <c:pt idx="6">
                    <c:v>7.8794396792596144</c:v>
                  </c:pt>
                  <c:pt idx="7">
                    <c:v>6.0144796117369967</c:v>
                  </c:pt>
                  <c:pt idx="8">
                    <c:v>8.5361231708474552</c:v>
                  </c:pt>
                  <c:pt idx="9">
                    <c:v>4.0386611192774842</c:v>
                  </c:pt>
                  <c:pt idx="10">
                    <c:v>5.8100460509049618</c:v>
                  </c:pt>
                  <c:pt idx="11">
                    <c:v>4.9299214604353097</c:v>
                  </c:pt>
                  <c:pt idx="12">
                    <c:v>5.8875644209304481</c:v>
                  </c:pt>
                  <c:pt idx="13">
                    <c:v>1.4162265778105456</c:v>
                  </c:pt>
                  <c:pt idx="14">
                    <c:v>0.95603189927127508</c:v>
                  </c:pt>
                  <c:pt idx="15">
                    <c:v>2.0951366828197555</c:v>
                  </c:pt>
                  <c:pt idx="16">
                    <c:v>1.8586217013657946</c:v>
                  </c:pt>
                  <c:pt idx="17">
                    <c:v>2.6448511214330113</c:v>
                  </c:pt>
                  <c:pt idx="18">
                    <c:v>2.2319314301946891</c:v>
                  </c:pt>
                  <c:pt idx="19">
                    <c:v>8.7394649006675476</c:v>
                  </c:pt>
                  <c:pt idx="20">
                    <c:v>2.2766288607713312</c:v>
                  </c:pt>
                  <c:pt idx="21">
                    <c:v>0.61394444193084585</c:v>
                  </c:pt>
                  <c:pt idx="22">
                    <c:v>10.362400242602039</c:v>
                  </c:pt>
                  <c:pt idx="23">
                    <c:v>5.2481662607047808</c:v>
                  </c:pt>
                  <c:pt idx="24">
                    <c:v>5.0404273986549102</c:v>
                  </c:pt>
                  <c:pt idx="25">
                    <c:v>4.3480050246572208</c:v>
                  </c:pt>
                  <c:pt idx="26">
                    <c:v>4.6763579275614324</c:v>
                  </c:pt>
                  <c:pt idx="27">
                    <c:v>1.6688962420314415</c:v>
                  </c:pt>
                  <c:pt idx="28">
                    <c:v>2.8709623938092026</c:v>
                  </c:pt>
                  <c:pt idx="29">
                    <c:v>2.0817479194177189</c:v>
                  </c:pt>
                  <c:pt idx="30">
                    <c:v>1.533355764328683</c:v>
                  </c:pt>
                  <c:pt idx="31">
                    <c:v>1.0333315860200285</c:v>
                  </c:pt>
                  <c:pt idx="32">
                    <c:v>0.96927574336030231</c:v>
                  </c:pt>
                  <c:pt idx="33">
                    <c:v>1.1246223810684188</c:v>
                  </c:pt>
                  <c:pt idx="34">
                    <c:v>2.8135002162194098</c:v>
                  </c:pt>
                  <c:pt idx="35">
                    <c:v>2.5393392053839525</c:v>
                  </c:pt>
                  <c:pt idx="36">
                    <c:v>3.4154225360853956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'Spacerv+t'!$O$6:$O$42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18</c:v>
                </c:pt>
                <c:pt idx="22">
                  <c:v>24</c:v>
                </c:pt>
                <c:pt idx="23">
                  <c:v>48</c:v>
                </c:pt>
                <c:pt idx="24">
                  <c:v>120</c:v>
                </c:pt>
                <c:pt idx="25">
                  <c:v>192</c:v>
                </c:pt>
                <c:pt idx="26">
                  <c:v>264</c:v>
                </c:pt>
                <c:pt idx="27">
                  <c:v>336</c:v>
                </c:pt>
                <c:pt idx="28">
                  <c:v>408</c:v>
                </c:pt>
                <c:pt idx="29">
                  <c:v>480</c:v>
                </c:pt>
                <c:pt idx="30">
                  <c:v>552</c:v>
                </c:pt>
                <c:pt idx="31">
                  <c:v>624</c:v>
                </c:pt>
                <c:pt idx="32">
                  <c:v>696</c:v>
                </c:pt>
                <c:pt idx="33">
                  <c:v>768</c:v>
                </c:pt>
                <c:pt idx="34">
                  <c:v>840</c:v>
                </c:pt>
                <c:pt idx="35">
                  <c:v>912</c:v>
                </c:pt>
                <c:pt idx="36">
                  <c:v>984</c:v>
                </c:pt>
              </c:numCache>
            </c:numRef>
          </c:cat>
          <c:val>
            <c:numRef>
              <c:f>'Spacerv+t'!$Q$6:$Q$42</c:f>
              <c:numCache>
                <c:formatCode>0.00</c:formatCode>
                <c:ptCount val="37"/>
                <c:pt idx="0">
                  <c:v>14.157333333333334</c:v>
                </c:pt>
                <c:pt idx="1">
                  <c:v>41.121249999999996</c:v>
                </c:pt>
                <c:pt idx="2">
                  <c:v>32.918916666666668</c:v>
                </c:pt>
                <c:pt idx="3">
                  <c:v>34.662833333333332</c:v>
                </c:pt>
                <c:pt idx="4">
                  <c:v>22.57641666666667</c:v>
                </c:pt>
                <c:pt idx="5">
                  <c:v>21.514833333333332</c:v>
                </c:pt>
                <c:pt idx="6">
                  <c:v>14.779250000000003</c:v>
                </c:pt>
                <c:pt idx="7">
                  <c:v>12.762500000000001</c:v>
                </c:pt>
                <c:pt idx="8">
                  <c:v>11.877666666666665</c:v>
                </c:pt>
                <c:pt idx="9">
                  <c:v>8.972999999999999</c:v>
                </c:pt>
                <c:pt idx="10">
                  <c:v>9.0452500000000011</c:v>
                </c:pt>
                <c:pt idx="11">
                  <c:v>7.5371666666666668</c:v>
                </c:pt>
                <c:pt idx="12">
                  <c:v>7.1704166666666653</c:v>
                </c:pt>
                <c:pt idx="13">
                  <c:v>1.4570833333333333</c:v>
                </c:pt>
                <c:pt idx="14">
                  <c:v>1.3989166666666668</c:v>
                </c:pt>
                <c:pt idx="15">
                  <c:v>2.6094166666666667</c:v>
                </c:pt>
                <c:pt idx="16">
                  <c:v>1.8400833333333331</c:v>
                </c:pt>
                <c:pt idx="17">
                  <c:v>1.718</c:v>
                </c:pt>
                <c:pt idx="18">
                  <c:v>1.5175000000000001</c:v>
                </c:pt>
                <c:pt idx="19">
                  <c:v>7.641333333333332</c:v>
                </c:pt>
                <c:pt idx="20">
                  <c:v>2.3763333333333332</c:v>
                </c:pt>
                <c:pt idx="21">
                  <c:v>0.69644444444444453</c:v>
                </c:pt>
                <c:pt idx="22">
                  <c:v>6.0206666666666671</c:v>
                </c:pt>
                <c:pt idx="23">
                  <c:v>4.7905000000000006</c:v>
                </c:pt>
                <c:pt idx="24">
                  <c:v>4.3838888888888885</c:v>
                </c:pt>
                <c:pt idx="25">
                  <c:v>6.2632222222222227</c:v>
                </c:pt>
                <c:pt idx="26">
                  <c:v>4.5796666666666672</c:v>
                </c:pt>
                <c:pt idx="27">
                  <c:v>1.6566666666666665</c:v>
                </c:pt>
                <c:pt idx="28">
                  <c:v>2.2293333333333334</c:v>
                </c:pt>
                <c:pt idx="29">
                  <c:v>2.6739999999999999</c:v>
                </c:pt>
                <c:pt idx="30">
                  <c:v>2.4535</c:v>
                </c:pt>
                <c:pt idx="31">
                  <c:v>2.5401666666666665</c:v>
                </c:pt>
                <c:pt idx="32">
                  <c:v>1.2153333333333334</c:v>
                </c:pt>
                <c:pt idx="33">
                  <c:v>1.0265</c:v>
                </c:pt>
                <c:pt idx="34">
                  <c:v>2.5683333333333334</c:v>
                </c:pt>
                <c:pt idx="35">
                  <c:v>3.044</c:v>
                </c:pt>
                <c:pt idx="36">
                  <c:v>3.6795000000000004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74-46A3-AEC6-E77B95330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3605871"/>
        <c:axId val="716033439"/>
      </c:lineChart>
      <c:catAx>
        <c:axId val="703605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033439"/>
        <c:crossesAt val="-40"/>
        <c:auto val="1"/>
        <c:lblAlgn val="ctr"/>
        <c:lblOffset val="100"/>
        <c:noMultiLvlLbl val="0"/>
      </c:catAx>
      <c:valAx>
        <c:axId val="716033439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605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2g Vancomycin Dump with an Unloaded Spacer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VP!$M$5</c:f>
              <c:strCache>
                <c:ptCount val="1"/>
                <c:pt idx="0">
                  <c:v>Tob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VP!$R$6:$R$42</c:f>
                <c:numCache>
                  <c:formatCode>General</c:formatCode>
                  <c:ptCount val="3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</c:numCache>
              </c:numRef>
            </c:plus>
            <c:minus>
              <c:numRef>
                <c:f>VP!$R$6:$R$42</c:f>
                <c:numCache>
                  <c:formatCode>General</c:formatCode>
                  <c:ptCount val="3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VP!$L$6:$L$42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18</c:v>
                </c:pt>
                <c:pt idx="22">
                  <c:v>24</c:v>
                </c:pt>
                <c:pt idx="23">
                  <c:v>48</c:v>
                </c:pt>
                <c:pt idx="24">
                  <c:v>120</c:v>
                </c:pt>
                <c:pt idx="25">
                  <c:v>192</c:v>
                </c:pt>
                <c:pt idx="26">
                  <c:v>264</c:v>
                </c:pt>
                <c:pt idx="27">
                  <c:v>336</c:v>
                </c:pt>
                <c:pt idx="28">
                  <c:v>408</c:v>
                </c:pt>
                <c:pt idx="29">
                  <c:v>480</c:v>
                </c:pt>
                <c:pt idx="30">
                  <c:v>552</c:v>
                </c:pt>
                <c:pt idx="31">
                  <c:v>624</c:v>
                </c:pt>
                <c:pt idx="32">
                  <c:v>696</c:v>
                </c:pt>
                <c:pt idx="33">
                  <c:v>768</c:v>
                </c:pt>
                <c:pt idx="34">
                  <c:v>840</c:v>
                </c:pt>
                <c:pt idx="35">
                  <c:v>912</c:v>
                </c:pt>
                <c:pt idx="36">
                  <c:v>984</c:v>
                </c:pt>
              </c:numCache>
            </c:numRef>
          </c:cat>
          <c:val>
            <c:numRef>
              <c:f>VP!$M$6:$M$42</c:f>
              <c:numCache>
                <c:formatCode>0.00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2F-4132-850E-80DF52D3F785}"/>
            </c:ext>
          </c:extLst>
        </c:ser>
        <c:ser>
          <c:idx val="1"/>
          <c:order val="1"/>
          <c:tx>
            <c:strRef>
              <c:f>VP!$N$5</c:f>
              <c:strCache>
                <c:ptCount val="1"/>
                <c:pt idx="0">
                  <c:v>Vanc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VP!$S$6:$S$42</c:f>
                <c:numCache>
                  <c:formatCode>General</c:formatCode>
                  <c:ptCount val="37"/>
                  <c:pt idx="0">
                    <c:v>4489.3771718453963</c:v>
                  </c:pt>
                  <c:pt idx="1">
                    <c:v>3808.6855921891688</c:v>
                  </c:pt>
                  <c:pt idx="2">
                    <c:v>2428.5745642754673</c:v>
                  </c:pt>
                  <c:pt idx="3">
                    <c:v>1568.4431848584582</c:v>
                  </c:pt>
                  <c:pt idx="4">
                    <c:v>944.22929330856959</c:v>
                  </c:pt>
                  <c:pt idx="5">
                    <c:v>577.68378259823066</c:v>
                  </c:pt>
                  <c:pt idx="6">
                    <c:v>323.77164504970852</c:v>
                  </c:pt>
                  <c:pt idx="7">
                    <c:v>200.12656940615801</c:v>
                  </c:pt>
                  <c:pt idx="8">
                    <c:v>32.492519887916764</c:v>
                  </c:pt>
                  <c:pt idx="9">
                    <c:v>66.477229843717481</c:v>
                  </c:pt>
                  <c:pt idx="10">
                    <c:v>37.908322483694491</c:v>
                  </c:pt>
                  <c:pt idx="11">
                    <c:v>27.62501892809809</c:v>
                  </c:pt>
                  <c:pt idx="12">
                    <c:v>16.693361648005805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</c:numCache>
              </c:numRef>
            </c:plus>
            <c:minus>
              <c:numRef>
                <c:f>VP!$S$6:$S$42</c:f>
                <c:numCache>
                  <c:formatCode>General</c:formatCode>
                  <c:ptCount val="37"/>
                  <c:pt idx="0">
                    <c:v>4489.3771718453963</c:v>
                  </c:pt>
                  <c:pt idx="1">
                    <c:v>3808.6855921891688</c:v>
                  </c:pt>
                  <c:pt idx="2">
                    <c:v>2428.5745642754673</c:v>
                  </c:pt>
                  <c:pt idx="3">
                    <c:v>1568.4431848584582</c:v>
                  </c:pt>
                  <c:pt idx="4">
                    <c:v>944.22929330856959</c:v>
                  </c:pt>
                  <c:pt idx="5">
                    <c:v>577.68378259823066</c:v>
                  </c:pt>
                  <c:pt idx="6">
                    <c:v>323.77164504970852</c:v>
                  </c:pt>
                  <c:pt idx="7">
                    <c:v>200.12656940615801</c:v>
                  </c:pt>
                  <c:pt idx="8">
                    <c:v>32.492519887916764</c:v>
                  </c:pt>
                  <c:pt idx="9">
                    <c:v>66.477229843717481</c:v>
                  </c:pt>
                  <c:pt idx="10">
                    <c:v>37.908322483694491</c:v>
                  </c:pt>
                  <c:pt idx="11">
                    <c:v>27.62501892809809</c:v>
                  </c:pt>
                  <c:pt idx="12">
                    <c:v>16.693361648005805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VP!$L$6:$L$42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18</c:v>
                </c:pt>
                <c:pt idx="22">
                  <c:v>24</c:v>
                </c:pt>
                <c:pt idx="23">
                  <c:v>48</c:v>
                </c:pt>
                <c:pt idx="24">
                  <c:v>120</c:v>
                </c:pt>
                <c:pt idx="25">
                  <c:v>192</c:v>
                </c:pt>
                <c:pt idx="26">
                  <c:v>264</c:v>
                </c:pt>
                <c:pt idx="27">
                  <c:v>336</c:v>
                </c:pt>
                <c:pt idx="28">
                  <c:v>408</c:v>
                </c:pt>
                <c:pt idx="29">
                  <c:v>480</c:v>
                </c:pt>
                <c:pt idx="30">
                  <c:v>552</c:v>
                </c:pt>
                <c:pt idx="31">
                  <c:v>624</c:v>
                </c:pt>
                <c:pt idx="32">
                  <c:v>696</c:v>
                </c:pt>
                <c:pt idx="33">
                  <c:v>768</c:v>
                </c:pt>
                <c:pt idx="34">
                  <c:v>840</c:v>
                </c:pt>
                <c:pt idx="35">
                  <c:v>912</c:v>
                </c:pt>
                <c:pt idx="36">
                  <c:v>984</c:v>
                </c:pt>
              </c:numCache>
            </c:numRef>
          </c:cat>
          <c:val>
            <c:numRef>
              <c:f>VP!$N$6:$N$42</c:f>
              <c:numCache>
                <c:formatCode>0.00</c:formatCode>
                <c:ptCount val="37"/>
                <c:pt idx="0">
                  <c:v>4097.3978333333334</c:v>
                </c:pt>
                <c:pt idx="1">
                  <c:v>5075.346111111111</c:v>
                </c:pt>
                <c:pt idx="2">
                  <c:v>3210.4465555555557</c:v>
                </c:pt>
                <c:pt idx="3">
                  <c:v>2068.0557777777776</c:v>
                </c:pt>
                <c:pt idx="4">
                  <c:v>1457.0153333333333</c:v>
                </c:pt>
                <c:pt idx="5">
                  <c:v>769.42433333333338</c:v>
                </c:pt>
                <c:pt idx="6">
                  <c:v>384.03977777777777</c:v>
                </c:pt>
                <c:pt idx="7">
                  <c:v>142.71955555555556</c:v>
                </c:pt>
                <c:pt idx="8">
                  <c:v>166.12733333333333</c:v>
                </c:pt>
                <c:pt idx="9">
                  <c:v>87.486777777777775</c:v>
                </c:pt>
                <c:pt idx="10">
                  <c:v>49.474555555555554</c:v>
                </c:pt>
                <c:pt idx="11">
                  <c:v>18.412444444444443</c:v>
                </c:pt>
                <c:pt idx="12">
                  <c:v>12.368888888888888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2F-4132-850E-80DF52D3F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492463"/>
        <c:axId val="469491311"/>
      </c:lineChart>
      <c:catAx>
        <c:axId val="547492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491311"/>
        <c:crosses val="autoZero"/>
        <c:auto val="1"/>
        <c:lblAlgn val="ctr"/>
        <c:lblOffset val="100"/>
        <c:noMultiLvlLbl val="0"/>
      </c:catAx>
      <c:valAx>
        <c:axId val="469491311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492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</a:rPr>
              <a:t>Vancomycin Concentration v. Time</a:t>
            </a:r>
          </a:p>
        </c:rich>
      </c:tx>
      <c:layout>
        <c:manualLayout>
          <c:xMode val="edge"/>
          <c:yMode val="edge"/>
          <c:x val="0.34881929531535832"/>
          <c:y val="4.1860337220393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155710649805128E-2"/>
          <c:y val="0.13072472972418572"/>
          <c:w val="0.81586067366579174"/>
          <c:h val="0.72523348601588067"/>
        </c:manualLayout>
      </c:layout>
      <c:scatterChart>
        <c:scatterStyle val="lineMarker"/>
        <c:varyColors val="0"/>
        <c:ser>
          <c:idx val="1"/>
          <c:order val="0"/>
          <c:tx>
            <c:strRef>
              <c:f>Tobramycin!$AJ$4</c:f>
              <c:strCache>
                <c:ptCount val="1"/>
                <c:pt idx="0">
                  <c:v>CSBv+tplusSpacerv+t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Vancomycin!$AR$5:$AR$27</c:f>
                <c:numCache>
                  <c:formatCode>General</c:formatCode>
                  <c:ptCount val="23"/>
                  <c:pt idx="0">
                    <c:v>0.2812102252531164</c:v>
                  </c:pt>
                  <c:pt idx="1">
                    <c:v>0.42919090367534074</c:v>
                  </c:pt>
                  <c:pt idx="2">
                    <c:v>0.33487211676313239</c:v>
                  </c:pt>
                  <c:pt idx="3">
                    <c:v>0.44430322962511742</c:v>
                  </c:pt>
                  <c:pt idx="4">
                    <c:v>0.54806108338207415</c:v>
                  </c:pt>
                  <c:pt idx="5">
                    <c:v>0.6560116262703154</c:v>
                  </c:pt>
                  <c:pt idx="6">
                    <c:v>0.61457380641470272</c:v>
                  </c:pt>
                  <c:pt idx="7">
                    <c:v>0.56826524407680945</c:v>
                  </c:pt>
                  <c:pt idx="8">
                    <c:v>0.51710601000667389</c:v>
                  </c:pt>
                  <c:pt idx="9">
                    <c:v>0.47218146189380084</c:v>
                  </c:pt>
                  <c:pt idx="10">
                    <c:v>0.44512733915307284</c:v>
                  </c:pt>
                  <c:pt idx="11">
                    <c:v>0.42307144808269159</c:v>
                  </c:pt>
                  <c:pt idx="12">
                    <c:v>0.44970948752277107</c:v>
                  </c:pt>
                  <c:pt idx="13">
                    <c:v>0.51657526396231035</c:v>
                  </c:pt>
                  <c:pt idx="14">
                    <c:v>0.36932173525235346</c:v>
                  </c:pt>
                  <c:pt idx="15">
                    <c:v>0.25801577388004993</c:v>
                  </c:pt>
                  <c:pt idx="16">
                    <c:v>0.3010575421565907</c:v>
                  </c:pt>
                  <c:pt idx="17">
                    <c:v>0.1102327621676065</c:v>
                  </c:pt>
                  <c:pt idx="18">
                    <c:v>0.31337440411763362</c:v>
                  </c:pt>
                  <c:pt idx="19">
                    <c:v>0.26979193096866161</c:v>
                  </c:pt>
                  <c:pt idx="20">
                    <c:v>0.34583837931635741</c:v>
                  </c:pt>
                  <c:pt idx="21">
                    <c:v>0.33738372505773523</c:v>
                  </c:pt>
                  <c:pt idx="22">
                    <c:v>0.25572967746846803</c:v>
                  </c:pt>
                </c:numCache>
              </c:numRef>
            </c:plus>
            <c:minus>
              <c:numRef>
                <c:f>Vancomycin!$AR$5:$AR$27</c:f>
                <c:numCache>
                  <c:formatCode>General</c:formatCode>
                  <c:ptCount val="23"/>
                  <c:pt idx="0">
                    <c:v>0.2812102252531164</c:v>
                  </c:pt>
                  <c:pt idx="1">
                    <c:v>0.42919090367534074</c:v>
                  </c:pt>
                  <c:pt idx="2">
                    <c:v>0.33487211676313239</c:v>
                  </c:pt>
                  <c:pt idx="3">
                    <c:v>0.44430322962511742</c:v>
                  </c:pt>
                  <c:pt idx="4">
                    <c:v>0.54806108338207415</c:v>
                  </c:pt>
                  <c:pt idx="5">
                    <c:v>0.6560116262703154</c:v>
                  </c:pt>
                  <c:pt idx="6">
                    <c:v>0.61457380641470272</c:v>
                  </c:pt>
                  <c:pt idx="7">
                    <c:v>0.56826524407680945</c:v>
                  </c:pt>
                  <c:pt idx="8">
                    <c:v>0.51710601000667389</c:v>
                  </c:pt>
                  <c:pt idx="9">
                    <c:v>0.47218146189380084</c:v>
                  </c:pt>
                  <c:pt idx="10">
                    <c:v>0.44512733915307284</c:v>
                  </c:pt>
                  <c:pt idx="11">
                    <c:v>0.42307144808269159</c:v>
                  </c:pt>
                  <c:pt idx="12">
                    <c:v>0.44970948752277107</c:v>
                  </c:pt>
                  <c:pt idx="13">
                    <c:v>0.51657526396231035</c:v>
                  </c:pt>
                  <c:pt idx="14">
                    <c:v>0.36932173525235346</c:v>
                  </c:pt>
                  <c:pt idx="15">
                    <c:v>0.25801577388004993</c:v>
                  </c:pt>
                  <c:pt idx="16">
                    <c:v>0.3010575421565907</c:v>
                  </c:pt>
                  <c:pt idx="17">
                    <c:v>0.1102327621676065</c:v>
                  </c:pt>
                  <c:pt idx="18">
                    <c:v>0.31337440411763362</c:v>
                  </c:pt>
                  <c:pt idx="19">
                    <c:v>0.26979193096866161</c:v>
                  </c:pt>
                  <c:pt idx="20">
                    <c:v>0.34583837931635741</c:v>
                  </c:pt>
                  <c:pt idx="21">
                    <c:v>0.33738372505773523</c:v>
                  </c:pt>
                  <c:pt idx="22">
                    <c:v>0.25572967746846803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Vancomycin!$AJ$5:$AJ$27</c:f>
              <c:numCache>
                <c:formatCode>0.00</c:formatCode>
                <c:ptCount val="23"/>
                <c:pt idx="0" formatCode="0.0000">
                  <c:v>6.25E-2</c:v>
                </c:pt>
                <c:pt idx="1">
                  <c:v>0.16700000000000001</c:v>
                </c:pt>
                <c:pt idx="2">
                  <c:v>0.25</c:v>
                </c:pt>
                <c:pt idx="3">
                  <c:v>0.33300000000000002</c:v>
                </c:pt>
                <c:pt idx="4">
                  <c:v>0.41699999999999998</c:v>
                </c:pt>
                <c:pt idx="5">
                  <c:v>0.5</c:v>
                </c:pt>
                <c:pt idx="6">
                  <c:v>0.58299999999999996</c:v>
                </c:pt>
                <c:pt idx="7">
                  <c:v>0.66700000000000004</c:v>
                </c:pt>
                <c:pt idx="8">
                  <c:v>0.75</c:v>
                </c:pt>
                <c:pt idx="9">
                  <c:v>0.83299999999999996</c:v>
                </c:pt>
                <c:pt idx="10">
                  <c:v>0.91700000000000004</c:v>
                </c:pt>
                <c:pt idx="11" formatCode="General">
                  <c:v>1</c:v>
                </c:pt>
                <c:pt idx="12" formatCode="General">
                  <c:v>2</c:v>
                </c:pt>
                <c:pt idx="13" formatCode="General">
                  <c:v>3</c:v>
                </c:pt>
                <c:pt idx="14" formatCode="General">
                  <c:v>4</c:v>
                </c:pt>
                <c:pt idx="15" formatCode="General">
                  <c:v>5</c:v>
                </c:pt>
                <c:pt idx="16" formatCode="General">
                  <c:v>6</c:v>
                </c:pt>
                <c:pt idx="17" formatCode="General">
                  <c:v>7</c:v>
                </c:pt>
                <c:pt idx="18" formatCode="General">
                  <c:v>8</c:v>
                </c:pt>
                <c:pt idx="19" formatCode="General">
                  <c:v>12</c:v>
                </c:pt>
                <c:pt idx="20" formatCode="General">
                  <c:v>18</c:v>
                </c:pt>
                <c:pt idx="21" formatCode="General">
                  <c:v>24</c:v>
                </c:pt>
                <c:pt idx="22" formatCode="General">
                  <c:v>48</c:v>
                </c:pt>
              </c:numCache>
            </c:numRef>
          </c:xVal>
          <c:yVal>
            <c:numRef>
              <c:f>Vancomycin!$AP$5:$AP$27</c:f>
              <c:numCache>
                <c:formatCode>0.00</c:formatCode>
                <c:ptCount val="23"/>
                <c:pt idx="0">
                  <c:v>2.5360085246334054</c:v>
                </c:pt>
                <c:pt idx="1">
                  <c:v>2.3340041277757302</c:v>
                </c:pt>
                <c:pt idx="2">
                  <c:v>2.4693983550177809</c:v>
                </c:pt>
                <c:pt idx="3">
                  <c:v>2.2784022377491637</c:v>
                </c:pt>
                <c:pt idx="4">
                  <c:v>2.0561157239097909</c:v>
                </c:pt>
                <c:pt idx="5">
                  <c:v>1.8571392584747368</c:v>
                </c:pt>
                <c:pt idx="6">
                  <c:v>1.7566832983326024</c:v>
                </c:pt>
                <c:pt idx="7">
                  <c:v>1.6535259602459964</c:v>
                </c:pt>
                <c:pt idx="8">
                  <c:v>1.4992267304404137</c:v>
                </c:pt>
                <c:pt idx="9">
                  <c:v>1.3138769506217072</c:v>
                </c:pt>
                <c:pt idx="10">
                  <c:v>1.2712756950659532</c:v>
                </c:pt>
                <c:pt idx="11">
                  <c:v>0.71741753100928185</c:v>
                </c:pt>
                <c:pt idx="12">
                  <c:v>0.99829198434415733</c:v>
                </c:pt>
                <c:pt idx="13">
                  <c:v>1.5314077340925272</c:v>
                </c:pt>
                <c:pt idx="14">
                  <c:v>1.691885088281355</c:v>
                </c:pt>
                <c:pt idx="15">
                  <c:v>1.9766777301030811</c:v>
                </c:pt>
                <c:pt idx="16">
                  <c:v>1.7705548722789377</c:v>
                </c:pt>
                <c:pt idx="17">
                  <c:v>2.0977193252183826</c:v>
                </c:pt>
                <c:pt idx="18">
                  <c:v>1.8990034332786843</c:v>
                </c:pt>
                <c:pt idx="19">
                  <c:v>1.9202522632937558</c:v>
                </c:pt>
                <c:pt idx="20">
                  <c:v>1.8420840294488452</c:v>
                </c:pt>
                <c:pt idx="21">
                  <c:v>2.053904128425287</c:v>
                </c:pt>
                <c:pt idx="22">
                  <c:v>2.2842673476844322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DF-A747-A5AC-D5EEE96D1F34}"/>
            </c:ext>
          </c:extLst>
        </c:ser>
        <c:ser>
          <c:idx val="2"/>
          <c:order val="1"/>
          <c:tx>
            <c:strRef>
              <c:f>Tobramycin!$AO$4</c:f>
              <c:strCache>
                <c:ptCount val="1"/>
                <c:pt idx="0">
                  <c:v>Spacerv+t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Vancomycin!$AW$5:$AW$27</c:f>
                <c:numCache>
                  <c:formatCode>General</c:formatCode>
                  <c:ptCount val="23"/>
                  <c:pt idx="0">
                    <c:v>0.18440766121487406</c:v>
                  </c:pt>
                  <c:pt idx="1">
                    <c:v>0.1890097273963314</c:v>
                  </c:pt>
                  <c:pt idx="2">
                    <c:v>0.19789309882578027</c:v>
                  </c:pt>
                  <c:pt idx="3">
                    <c:v>0.17407817805410231</c:v>
                  </c:pt>
                  <c:pt idx="4">
                    <c:v>0.19085874335947706</c:v>
                  </c:pt>
                  <c:pt idx="5">
                    <c:v>0.1429209022556899</c:v>
                  </c:pt>
                  <c:pt idx="6">
                    <c:v>0.18581229038724054</c:v>
                  </c:pt>
                  <c:pt idx="7">
                    <c:v>0.28347935603069202</c:v>
                  </c:pt>
                  <c:pt idx="8">
                    <c:v>0.15285697356376249</c:v>
                  </c:pt>
                  <c:pt idx="9">
                    <c:v>0.27293207023472921</c:v>
                  </c:pt>
                  <c:pt idx="10">
                    <c:v>0.25547461894372991</c:v>
                  </c:pt>
                  <c:pt idx="11">
                    <c:v>0.26145502594935449</c:v>
                  </c:pt>
                  <c:pt idx="12">
                    <c:v>0.13313174042715684</c:v>
                  </c:pt>
                  <c:pt idx="13">
                    <c:v>0.11149499353482283</c:v>
                  </c:pt>
                  <c:pt idx="14">
                    <c:v>0.19206892674053111</c:v>
                  </c:pt>
                  <c:pt idx="15">
                    <c:v>0.16350968569465055</c:v>
                  </c:pt>
                  <c:pt idx="16">
                    <c:v>0.19789562982890316</c:v>
                  </c:pt>
                  <c:pt idx="17">
                    <c:v>0.18033434056268074</c:v>
                  </c:pt>
                  <c:pt idx="18">
                    <c:v>0.37259931117579487</c:v>
                  </c:pt>
                  <c:pt idx="19">
                    <c:v>0.16668815189579109</c:v>
                  </c:pt>
                  <c:pt idx="20">
                    <c:v>5.2835740594687777E-2</c:v>
                  </c:pt>
                  <c:pt idx="21">
                    <c:v>0.34353158376195864</c:v>
                  </c:pt>
                  <c:pt idx="22">
                    <c:v>0.24754167672731034</c:v>
                  </c:pt>
                </c:numCache>
              </c:numRef>
            </c:plus>
            <c:minus>
              <c:numRef>
                <c:f>Vancomycin!$AW$5:$AW$27</c:f>
                <c:numCache>
                  <c:formatCode>General</c:formatCode>
                  <c:ptCount val="23"/>
                  <c:pt idx="0">
                    <c:v>0.18440766121487406</c:v>
                  </c:pt>
                  <c:pt idx="1">
                    <c:v>0.1890097273963314</c:v>
                  </c:pt>
                  <c:pt idx="2">
                    <c:v>0.19789309882578027</c:v>
                  </c:pt>
                  <c:pt idx="3">
                    <c:v>0.17407817805410231</c:v>
                  </c:pt>
                  <c:pt idx="4">
                    <c:v>0.19085874335947706</c:v>
                  </c:pt>
                  <c:pt idx="5">
                    <c:v>0.1429209022556899</c:v>
                  </c:pt>
                  <c:pt idx="6">
                    <c:v>0.18581229038724054</c:v>
                  </c:pt>
                  <c:pt idx="7">
                    <c:v>0.28347935603069202</c:v>
                  </c:pt>
                  <c:pt idx="8">
                    <c:v>0.15285697356376249</c:v>
                  </c:pt>
                  <c:pt idx="9">
                    <c:v>0.27293207023472921</c:v>
                  </c:pt>
                  <c:pt idx="10">
                    <c:v>0.25547461894372991</c:v>
                  </c:pt>
                  <c:pt idx="11">
                    <c:v>0.26145502594935449</c:v>
                  </c:pt>
                  <c:pt idx="12">
                    <c:v>0.13313174042715684</c:v>
                  </c:pt>
                  <c:pt idx="13">
                    <c:v>0.11149499353482283</c:v>
                  </c:pt>
                  <c:pt idx="14">
                    <c:v>0.19206892674053111</c:v>
                  </c:pt>
                  <c:pt idx="15">
                    <c:v>0.16350968569465055</c:v>
                  </c:pt>
                  <c:pt idx="16">
                    <c:v>0.19789562982890316</c:v>
                  </c:pt>
                  <c:pt idx="17">
                    <c:v>0.18033434056268074</c:v>
                  </c:pt>
                  <c:pt idx="18">
                    <c:v>0.37259931117579487</c:v>
                  </c:pt>
                  <c:pt idx="19">
                    <c:v>0.16668815189579109</c:v>
                  </c:pt>
                  <c:pt idx="20">
                    <c:v>5.2835740594687777E-2</c:v>
                  </c:pt>
                  <c:pt idx="21">
                    <c:v>0.34353158376195864</c:v>
                  </c:pt>
                  <c:pt idx="22">
                    <c:v>0.24754167672731034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Vancomycin!$AJ$5:$AJ$27</c:f>
              <c:numCache>
                <c:formatCode>0.00</c:formatCode>
                <c:ptCount val="23"/>
                <c:pt idx="0" formatCode="0.0000">
                  <c:v>6.25E-2</c:v>
                </c:pt>
                <c:pt idx="1">
                  <c:v>0.16700000000000001</c:v>
                </c:pt>
                <c:pt idx="2">
                  <c:v>0.25</c:v>
                </c:pt>
                <c:pt idx="3">
                  <c:v>0.33300000000000002</c:v>
                </c:pt>
                <c:pt idx="4">
                  <c:v>0.41699999999999998</c:v>
                </c:pt>
                <c:pt idx="5">
                  <c:v>0.5</c:v>
                </c:pt>
                <c:pt idx="6">
                  <c:v>0.58299999999999996</c:v>
                </c:pt>
                <c:pt idx="7">
                  <c:v>0.66700000000000004</c:v>
                </c:pt>
                <c:pt idx="8">
                  <c:v>0.75</c:v>
                </c:pt>
                <c:pt idx="9">
                  <c:v>0.83299999999999996</c:v>
                </c:pt>
                <c:pt idx="10">
                  <c:v>0.91700000000000004</c:v>
                </c:pt>
                <c:pt idx="11" formatCode="General">
                  <c:v>1</c:v>
                </c:pt>
                <c:pt idx="12" formatCode="General">
                  <c:v>2</c:v>
                </c:pt>
                <c:pt idx="13" formatCode="General">
                  <c:v>3</c:v>
                </c:pt>
                <c:pt idx="14" formatCode="General">
                  <c:v>4</c:v>
                </c:pt>
                <c:pt idx="15" formatCode="General">
                  <c:v>5</c:v>
                </c:pt>
                <c:pt idx="16" formatCode="General">
                  <c:v>6</c:v>
                </c:pt>
                <c:pt idx="17" formatCode="General">
                  <c:v>7</c:v>
                </c:pt>
                <c:pt idx="18" formatCode="General">
                  <c:v>8</c:v>
                </c:pt>
                <c:pt idx="19" formatCode="General">
                  <c:v>12</c:v>
                </c:pt>
                <c:pt idx="20" formatCode="General">
                  <c:v>18</c:v>
                </c:pt>
                <c:pt idx="21" formatCode="General">
                  <c:v>24</c:v>
                </c:pt>
                <c:pt idx="22" formatCode="General">
                  <c:v>48</c:v>
                </c:pt>
              </c:numCache>
            </c:numRef>
          </c:xVal>
          <c:yVal>
            <c:numRef>
              <c:f>Vancomycin!$AU$5:$AU$27</c:f>
              <c:numCache>
                <c:formatCode>0.00</c:formatCode>
                <c:ptCount val="23"/>
                <c:pt idx="0">
                  <c:v>1.5217142352474025</c:v>
                </c:pt>
                <c:pt idx="1">
                  <c:v>1.4279751728658157</c:v>
                </c:pt>
                <c:pt idx="2">
                  <c:v>1.4353573925255683</c:v>
                </c:pt>
                <c:pt idx="3">
                  <c:v>1.2731248121384611</c:v>
                </c:pt>
                <c:pt idx="4">
                  <c:v>1.2334564173923888</c:v>
                </c:pt>
                <c:pt idx="5">
                  <c:v>1.1051333860175097</c:v>
                </c:pt>
                <c:pt idx="6">
                  <c:v>1.0192182117403543</c:v>
                </c:pt>
                <c:pt idx="7">
                  <c:v>0.88378977588886065</c:v>
                </c:pt>
                <c:pt idx="8">
                  <c:v>0.88889254987654476</c:v>
                </c:pt>
                <c:pt idx="9">
                  <c:v>0.79789877256725095</c:v>
                </c:pt>
                <c:pt idx="10">
                  <c:v>0.72400172344349878</c:v>
                </c:pt>
                <c:pt idx="11">
                  <c:v>0.68317344325503304</c:v>
                </c:pt>
                <c:pt idx="12">
                  <c:v>0.18329887942765302</c:v>
                </c:pt>
                <c:pt idx="13">
                  <c:v>0.14100619109726442</c:v>
                </c:pt>
                <c:pt idx="14">
                  <c:v>0.31774524972733842</c:v>
                </c:pt>
                <c:pt idx="15">
                  <c:v>0.27369839709408611</c:v>
                </c:pt>
                <c:pt idx="16">
                  <c:v>0.18912170552139801</c:v>
                </c:pt>
                <c:pt idx="17">
                  <c:v>0.1715604162551756</c:v>
                </c:pt>
                <c:pt idx="18">
                  <c:v>0.61883889153940019</c:v>
                </c:pt>
                <c:pt idx="19">
                  <c:v>0.31473031223052161</c:v>
                </c:pt>
                <c:pt idx="20">
                  <c:v>4.4061816287182622E-2</c:v>
                </c:pt>
                <c:pt idx="21">
                  <c:v>0.33475765945445357</c:v>
                </c:pt>
                <c:pt idx="22">
                  <c:v>0.23876775241980519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DF-A747-A5AC-D5EEE96D1F34}"/>
            </c:ext>
          </c:extLst>
        </c:ser>
        <c:ser>
          <c:idx val="0"/>
          <c:order val="2"/>
          <c:tx>
            <c:strRef>
              <c:f>Vancomycin!$AZ$4</c:f>
              <c:strCache>
                <c:ptCount val="1"/>
                <c:pt idx="0">
                  <c:v>VP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Vancomycin!$BB$5:$BB$27</c:f>
                <c:numCache>
                  <c:formatCode>General</c:formatCode>
                  <c:ptCount val="23"/>
                  <c:pt idx="0">
                    <c:v>2.2587154848896507E-3</c:v>
                  </c:pt>
                  <c:pt idx="1">
                    <c:v>3.3004871394217698E-2</c:v>
                  </c:pt>
                  <c:pt idx="2">
                    <c:v>3.7474313003070581E-2</c:v>
                  </c:pt>
                  <c:pt idx="3">
                    <c:v>0.31307876004572532</c:v>
                  </c:pt>
                  <c:pt idx="4">
                    <c:v>0.49325438136552047</c:v>
                  </c:pt>
                  <c:pt idx="5">
                    <c:v>0.68639414838660984</c:v>
                  </c:pt>
                  <c:pt idx="6">
                    <c:v>0.75660757725363947</c:v>
                  </c:pt>
                  <c:pt idx="7">
                    <c:v>7.8249048027706491E-2</c:v>
                  </c:pt>
                  <c:pt idx="8">
                    <c:v>0.70868096989253304</c:v>
                  </c:pt>
                  <c:pt idx="9">
                    <c:v>0.62606762604436161</c:v>
                  </c:pt>
                  <c:pt idx="10">
                    <c:v>0.58364684584469118</c:v>
                  </c:pt>
                  <c:pt idx="11">
                    <c:v>0.46278046613658225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</c:numCache>
              </c:numRef>
            </c:plus>
            <c:minus>
              <c:numRef>
                <c:f>Vancomycin!$BB$5:$BB$27</c:f>
                <c:numCache>
                  <c:formatCode>General</c:formatCode>
                  <c:ptCount val="23"/>
                  <c:pt idx="0">
                    <c:v>2.2587154848896507E-3</c:v>
                  </c:pt>
                  <c:pt idx="1">
                    <c:v>3.3004871394217698E-2</c:v>
                  </c:pt>
                  <c:pt idx="2">
                    <c:v>3.7474313003070581E-2</c:v>
                  </c:pt>
                  <c:pt idx="3">
                    <c:v>0.31307876004572532</c:v>
                  </c:pt>
                  <c:pt idx="4">
                    <c:v>0.49325438136552047</c:v>
                  </c:pt>
                  <c:pt idx="5">
                    <c:v>0.68639414838660984</c:v>
                  </c:pt>
                  <c:pt idx="6">
                    <c:v>0.75660757725363947</c:v>
                  </c:pt>
                  <c:pt idx="7">
                    <c:v>7.8249048027706491E-2</c:v>
                  </c:pt>
                  <c:pt idx="8">
                    <c:v>0.70868096989253304</c:v>
                  </c:pt>
                  <c:pt idx="9">
                    <c:v>0.62606762604436161</c:v>
                  </c:pt>
                  <c:pt idx="10">
                    <c:v>0.58364684584469118</c:v>
                  </c:pt>
                  <c:pt idx="11">
                    <c:v>0.46278046613658225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Vancomycin!$AJ$5:$AJ$27</c:f>
              <c:numCache>
                <c:formatCode>0.00</c:formatCode>
                <c:ptCount val="23"/>
                <c:pt idx="0" formatCode="0.0000">
                  <c:v>6.25E-2</c:v>
                </c:pt>
                <c:pt idx="1">
                  <c:v>0.16700000000000001</c:v>
                </c:pt>
                <c:pt idx="2">
                  <c:v>0.25</c:v>
                </c:pt>
                <c:pt idx="3">
                  <c:v>0.33300000000000002</c:v>
                </c:pt>
                <c:pt idx="4">
                  <c:v>0.41699999999999998</c:v>
                </c:pt>
                <c:pt idx="5">
                  <c:v>0.5</c:v>
                </c:pt>
                <c:pt idx="6">
                  <c:v>0.58299999999999996</c:v>
                </c:pt>
                <c:pt idx="7">
                  <c:v>0.66700000000000004</c:v>
                </c:pt>
                <c:pt idx="8">
                  <c:v>0.75</c:v>
                </c:pt>
                <c:pt idx="9">
                  <c:v>0.83299999999999996</c:v>
                </c:pt>
                <c:pt idx="10">
                  <c:v>0.91700000000000004</c:v>
                </c:pt>
                <c:pt idx="11" formatCode="General">
                  <c:v>1</c:v>
                </c:pt>
                <c:pt idx="12" formatCode="General">
                  <c:v>2</c:v>
                </c:pt>
                <c:pt idx="13" formatCode="General">
                  <c:v>3</c:v>
                </c:pt>
                <c:pt idx="14" formatCode="General">
                  <c:v>4</c:v>
                </c:pt>
                <c:pt idx="15" formatCode="General">
                  <c:v>5</c:v>
                </c:pt>
                <c:pt idx="16" formatCode="General">
                  <c:v>6</c:v>
                </c:pt>
                <c:pt idx="17" formatCode="General">
                  <c:v>7</c:v>
                </c:pt>
                <c:pt idx="18" formatCode="General">
                  <c:v>8</c:v>
                </c:pt>
                <c:pt idx="19" formatCode="General">
                  <c:v>12</c:v>
                </c:pt>
                <c:pt idx="20" formatCode="General">
                  <c:v>18</c:v>
                </c:pt>
                <c:pt idx="21" formatCode="General">
                  <c:v>24</c:v>
                </c:pt>
                <c:pt idx="22" formatCode="General">
                  <c:v>48</c:v>
                </c:pt>
              </c:numCache>
            </c:numRef>
          </c:xVal>
          <c:yVal>
            <c:numRef>
              <c:f>Vancomycin!$AZ$5:$AZ$27</c:f>
              <c:numCache>
                <c:formatCode>0.00</c:formatCode>
                <c:ptCount val="23"/>
                <c:pt idx="0">
                  <c:v>3.8814744795309482</c:v>
                </c:pt>
                <c:pt idx="1">
                  <c:v>3.6814011359690069</c:v>
                </c:pt>
                <c:pt idx="2">
                  <c:v>3.4900130050459319</c:v>
                </c:pt>
                <c:pt idx="3">
                  <c:v>3.0000193868269798</c:v>
                </c:pt>
                <c:pt idx="4">
                  <c:v>2.5566588179928154</c:v>
                </c:pt>
                <c:pt idx="5">
                  <c:v>2.054781976195752</c:v>
                </c:pt>
                <c:pt idx="6">
                  <c:v>1.2923961711639012</c:v>
                </c:pt>
                <c:pt idx="7">
                  <c:v>2.2134074511999309</c:v>
                </c:pt>
                <c:pt idx="8">
                  <c:v>1.4078137392866834</c:v>
                </c:pt>
                <c:pt idx="9">
                  <c:v>1.241925026035791</c:v>
                </c:pt>
                <c:pt idx="10">
                  <c:v>0.57487292153718605</c:v>
                </c:pt>
                <c:pt idx="11">
                  <c:v>0.6442488603392581</c:v>
                </c:pt>
                <c:pt idx="12">
                  <c:v>-8.7739243075051505E-3</c:v>
                </c:pt>
                <c:pt idx="13">
                  <c:v>-8.7739243075051505E-3</c:v>
                </c:pt>
                <c:pt idx="14">
                  <c:v>-8.7739243075051505E-3</c:v>
                </c:pt>
                <c:pt idx="15">
                  <c:v>-8.7739243075051505E-3</c:v>
                </c:pt>
                <c:pt idx="16">
                  <c:v>-8.7739243075051505E-3</c:v>
                </c:pt>
                <c:pt idx="17">
                  <c:v>-8.7739243075051505E-3</c:v>
                </c:pt>
                <c:pt idx="18">
                  <c:v>-8.7739243075051505E-3</c:v>
                </c:pt>
                <c:pt idx="19">
                  <c:v>-8.7739243075051505E-3</c:v>
                </c:pt>
                <c:pt idx="20">
                  <c:v>-8.7739243075051505E-3</c:v>
                </c:pt>
                <c:pt idx="21">
                  <c:v>-8.7739243075051505E-3</c:v>
                </c:pt>
                <c:pt idx="22">
                  <c:v>-8.7739243075051505E-3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DF-A747-A5AC-D5EEE96D1F34}"/>
            </c:ext>
          </c:extLst>
        </c:ser>
        <c:ser>
          <c:idx val="4"/>
          <c:order val="4"/>
          <c:tx>
            <c:v>Minimum Detection Limit</c:v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Vancomycin!$AJ$5:$AJ$27</c:f>
              <c:numCache>
                <c:formatCode>0.00</c:formatCode>
                <c:ptCount val="23"/>
                <c:pt idx="0" formatCode="0.0000">
                  <c:v>6.25E-2</c:v>
                </c:pt>
                <c:pt idx="1">
                  <c:v>0.16700000000000001</c:v>
                </c:pt>
                <c:pt idx="2">
                  <c:v>0.25</c:v>
                </c:pt>
                <c:pt idx="3">
                  <c:v>0.33300000000000002</c:v>
                </c:pt>
                <c:pt idx="4">
                  <c:v>0.41699999999999998</c:v>
                </c:pt>
                <c:pt idx="5">
                  <c:v>0.5</c:v>
                </c:pt>
                <c:pt idx="6">
                  <c:v>0.58299999999999996</c:v>
                </c:pt>
                <c:pt idx="7">
                  <c:v>0.66700000000000004</c:v>
                </c:pt>
                <c:pt idx="8">
                  <c:v>0.75</c:v>
                </c:pt>
                <c:pt idx="9">
                  <c:v>0.83299999999999996</c:v>
                </c:pt>
                <c:pt idx="10">
                  <c:v>0.91700000000000004</c:v>
                </c:pt>
                <c:pt idx="11" formatCode="General">
                  <c:v>1</c:v>
                </c:pt>
                <c:pt idx="12" formatCode="General">
                  <c:v>2</c:v>
                </c:pt>
                <c:pt idx="13" formatCode="General">
                  <c:v>3</c:v>
                </c:pt>
                <c:pt idx="14" formatCode="General">
                  <c:v>4</c:v>
                </c:pt>
                <c:pt idx="15" formatCode="General">
                  <c:v>5</c:v>
                </c:pt>
                <c:pt idx="16" formatCode="General">
                  <c:v>6</c:v>
                </c:pt>
                <c:pt idx="17" formatCode="General">
                  <c:v>7</c:v>
                </c:pt>
                <c:pt idx="18" formatCode="General">
                  <c:v>8</c:v>
                </c:pt>
                <c:pt idx="19" formatCode="General">
                  <c:v>12</c:v>
                </c:pt>
                <c:pt idx="20" formatCode="General">
                  <c:v>18</c:v>
                </c:pt>
                <c:pt idx="21" formatCode="General">
                  <c:v>24</c:v>
                </c:pt>
                <c:pt idx="22" formatCode="General">
                  <c:v>48</c:v>
                </c:pt>
              </c:numCache>
            </c:numRef>
          </c:xVal>
          <c:yVal>
            <c:numRef>
              <c:f>Vancomycin!$BE$5:$BE$27</c:f>
              <c:numCache>
                <c:formatCode>General</c:formatCode>
                <c:ptCount val="23"/>
                <c:pt idx="0">
                  <c:v>-0.01</c:v>
                </c:pt>
                <c:pt idx="1">
                  <c:v>-0.01</c:v>
                </c:pt>
                <c:pt idx="2">
                  <c:v>-0.01</c:v>
                </c:pt>
                <c:pt idx="3">
                  <c:v>-0.01</c:v>
                </c:pt>
                <c:pt idx="4">
                  <c:v>-0.01</c:v>
                </c:pt>
                <c:pt idx="5">
                  <c:v>-0.01</c:v>
                </c:pt>
                <c:pt idx="6">
                  <c:v>-0.01</c:v>
                </c:pt>
                <c:pt idx="7">
                  <c:v>-0.01</c:v>
                </c:pt>
                <c:pt idx="8">
                  <c:v>-0.01</c:v>
                </c:pt>
                <c:pt idx="9">
                  <c:v>-0.01</c:v>
                </c:pt>
                <c:pt idx="10">
                  <c:v>-0.01</c:v>
                </c:pt>
                <c:pt idx="11">
                  <c:v>-0.01</c:v>
                </c:pt>
                <c:pt idx="12">
                  <c:v>-0.01</c:v>
                </c:pt>
                <c:pt idx="13">
                  <c:v>-0.01</c:v>
                </c:pt>
                <c:pt idx="14">
                  <c:v>-0.01</c:v>
                </c:pt>
                <c:pt idx="15">
                  <c:v>-0.01</c:v>
                </c:pt>
                <c:pt idx="16">
                  <c:v>-0.01</c:v>
                </c:pt>
                <c:pt idx="17">
                  <c:v>-0.01</c:v>
                </c:pt>
                <c:pt idx="18">
                  <c:v>-0.01</c:v>
                </c:pt>
                <c:pt idx="19">
                  <c:v>-0.01</c:v>
                </c:pt>
                <c:pt idx="20">
                  <c:v>-0.01</c:v>
                </c:pt>
                <c:pt idx="21">
                  <c:v>-0.01</c:v>
                </c:pt>
                <c:pt idx="22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DF-A747-A5AC-D5EEE96D1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114816"/>
        <c:axId val="459168912"/>
      </c:scatterChart>
      <c:scatterChart>
        <c:scatterStyle val="lineMarker"/>
        <c:varyColors val="0"/>
        <c:ser>
          <c:idx val="3"/>
          <c:order val="3"/>
          <c:tx>
            <c:strRef>
              <c:f>Vancomycin!$BF$3</c:f>
              <c:strCache>
                <c:ptCount val="1"/>
                <c:pt idx="0">
                  <c:v>Flow Rate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Vancomycin!$BF$5:$BF$29</c:f>
              <c:numCache>
                <c:formatCode>General</c:formatCode>
                <c:ptCount val="25"/>
                <c:pt idx="0">
                  <c:v>6.25E-2</c:v>
                </c:pt>
                <c:pt idx="1">
                  <c:v>0.99999899999999997</c:v>
                </c:pt>
                <c:pt idx="2">
                  <c:v>1</c:v>
                </c:pt>
                <c:pt idx="3">
                  <c:v>1.9999</c:v>
                </c:pt>
                <c:pt idx="4">
                  <c:v>2</c:v>
                </c:pt>
                <c:pt idx="5">
                  <c:v>2.9999899999999999</c:v>
                </c:pt>
                <c:pt idx="6">
                  <c:v>3</c:v>
                </c:pt>
                <c:pt idx="7">
                  <c:v>3.9999989999999999</c:v>
                </c:pt>
                <c:pt idx="8">
                  <c:v>4</c:v>
                </c:pt>
                <c:pt idx="9">
                  <c:v>4.9999900000000004</c:v>
                </c:pt>
                <c:pt idx="10">
                  <c:v>5</c:v>
                </c:pt>
                <c:pt idx="11">
                  <c:v>5.9999900000000004</c:v>
                </c:pt>
                <c:pt idx="12">
                  <c:v>6</c:v>
                </c:pt>
                <c:pt idx="13">
                  <c:v>6.9999900000000004</c:v>
                </c:pt>
                <c:pt idx="14">
                  <c:v>7</c:v>
                </c:pt>
                <c:pt idx="15">
                  <c:v>7.9999900000000004</c:v>
                </c:pt>
                <c:pt idx="16">
                  <c:v>8</c:v>
                </c:pt>
                <c:pt idx="17">
                  <c:v>11.99999</c:v>
                </c:pt>
                <c:pt idx="18">
                  <c:v>12</c:v>
                </c:pt>
                <c:pt idx="19">
                  <c:v>17.99999</c:v>
                </c:pt>
                <c:pt idx="20">
                  <c:v>18</c:v>
                </c:pt>
                <c:pt idx="21">
                  <c:v>23.99999</c:v>
                </c:pt>
                <c:pt idx="22">
                  <c:v>24</c:v>
                </c:pt>
                <c:pt idx="23">
                  <c:v>47.999999000000003</c:v>
                </c:pt>
                <c:pt idx="24">
                  <c:v>48</c:v>
                </c:pt>
              </c:numCache>
            </c:numRef>
          </c:xVal>
          <c:yVal>
            <c:numRef>
              <c:f>Vancomycin!$BG$5:$BG$28</c:f>
              <c:numCache>
                <c:formatCode>General</c:formatCode>
                <c:ptCount val="24"/>
                <c:pt idx="0">
                  <c:v>3.5</c:v>
                </c:pt>
                <c:pt idx="1">
                  <c:v>3.5</c:v>
                </c:pt>
                <c:pt idx="2">
                  <c:v>3.13</c:v>
                </c:pt>
                <c:pt idx="3">
                  <c:v>3.13</c:v>
                </c:pt>
                <c:pt idx="4">
                  <c:v>1.54</c:v>
                </c:pt>
                <c:pt idx="5">
                  <c:v>1.54</c:v>
                </c:pt>
                <c:pt idx="6">
                  <c:v>1.02</c:v>
                </c:pt>
                <c:pt idx="7">
                  <c:v>1.02</c:v>
                </c:pt>
                <c:pt idx="8">
                  <c:v>0.76</c:v>
                </c:pt>
                <c:pt idx="9">
                  <c:v>0.76</c:v>
                </c:pt>
                <c:pt idx="10">
                  <c:v>0.61</c:v>
                </c:pt>
                <c:pt idx="11">
                  <c:v>0.61</c:v>
                </c:pt>
                <c:pt idx="12">
                  <c:v>0.5</c:v>
                </c:pt>
                <c:pt idx="13">
                  <c:v>0.5</c:v>
                </c:pt>
                <c:pt idx="14">
                  <c:v>0.43</c:v>
                </c:pt>
                <c:pt idx="15">
                  <c:v>0.43</c:v>
                </c:pt>
                <c:pt idx="16">
                  <c:v>0.38</c:v>
                </c:pt>
                <c:pt idx="17">
                  <c:v>0.38</c:v>
                </c:pt>
                <c:pt idx="18">
                  <c:v>0.25</c:v>
                </c:pt>
                <c:pt idx="19">
                  <c:v>0.25</c:v>
                </c:pt>
                <c:pt idx="20">
                  <c:v>0.16</c:v>
                </c:pt>
                <c:pt idx="21">
                  <c:v>0.16</c:v>
                </c:pt>
                <c:pt idx="22">
                  <c:v>0.12</c:v>
                </c:pt>
                <c:pt idx="23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FDF-A747-A5AC-D5EEE96D1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09280"/>
        <c:axId val="92582352"/>
      </c:scatterChart>
      <c:valAx>
        <c:axId val="560114816"/>
        <c:scaling>
          <c:logBase val="10"/>
          <c:orientation val="minMax"/>
          <c:max val="64"/>
          <c:min val="6.2500000000000014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Time</a:t>
                </a:r>
                <a:r>
                  <a:rPr lang="en-US" sz="1400" b="1" baseline="0">
                    <a:solidFill>
                      <a:schemeClr val="tx1"/>
                    </a:solidFill>
                  </a:rPr>
                  <a:t> (hours)</a:t>
                </a:r>
                <a:endParaRPr lang="en-US" sz="1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6721605821999523"/>
              <c:y val="0.92496757572853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168912"/>
        <c:crossesAt val="-0.5"/>
        <c:crossBetween val="midCat"/>
        <c:majorUnit val="2"/>
        <c:minorUnit val="1"/>
      </c:valAx>
      <c:valAx>
        <c:axId val="459168912"/>
        <c:scaling>
          <c:orientation val="minMax"/>
          <c:max val="4"/>
          <c:min val="-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Log10 Concentration (µg/mL)</a:t>
                </a:r>
              </a:p>
            </c:rich>
          </c:tx>
          <c:layout>
            <c:manualLayout>
              <c:xMode val="edge"/>
              <c:yMode val="edge"/>
              <c:x val="1.5438139561278177E-2"/>
              <c:y val="0.271203950105886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114816"/>
        <c:crossesAt val="6.2500000000000014E-2"/>
        <c:crossBetween val="midCat"/>
        <c:majorUnit val="0.5"/>
      </c:valAx>
      <c:valAx>
        <c:axId val="925823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Flow Rate (mL/min)</a:t>
                </a:r>
              </a:p>
            </c:rich>
          </c:tx>
          <c:layout>
            <c:manualLayout>
              <c:xMode val="edge"/>
              <c:yMode val="edge"/>
              <c:x val="0.9624083353217211"/>
              <c:y val="0.33276358805623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9280"/>
        <c:crosses val="max"/>
        <c:crossBetween val="midCat"/>
      </c:valAx>
      <c:valAx>
        <c:axId val="100409280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2582352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6691256518887162"/>
          <c:y val="0.16437258183715167"/>
          <c:w val="0.22194265251195996"/>
          <c:h val="0.223704653408348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</a:rPr>
              <a:t>Log Difference </a:t>
            </a:r>
            <a:r>
              <a:rPr lang="en-US" sz="1600" b="1" baseline="0">
                <a:solidFill>
                  <a:schemeClr val="tx1"/>
                </a:solidFill>
              </a:rPr>
              <a:t>in Vancomycin Concentrations: </a:t>
            </a:r>
            <a:r>
              <a:rPr lang="en-US" sz="1600" b="1" i="0" u="none" strike="noStrike" baseline="0">
                <a:effectLst/>
              </a:rPr>
              <a:t>CSB</a:t>
            </a:r>
            <a:r>
              <a:rPr lang="en-US" sz="1100" b="1" i="0" u="none" strike="noStrike" baseline="0">
                <a:effectLst/>
              </a:rPr>
              <a:t>v+t</a:t>
            </a:r>
            <a:r>
              <a:rPr lang="en-US" sz="1600" b="1" i="0" u="none" strike="noStrike" baseline="0">
                <a:effectLst/>
              </a:rPr>
              <a:t>plusSpacer</a:t>
            </a:r>
            <a:r>
              <a:rPr lang="en-US" sz="1100" b="1" i="0" u="none" strike="noStrike" baseline="0">
                <a:effectLst/>
              </a:rPr>
              <a:t>v+t</a:t>
            </a:r>
            <a:r>
              <a:rPr lang="en-US" sz="1600" b="1" i="0" u="none" strike="noStrike" baseline="0">
                <a:effectLst/>
              </a:rPr>
              <a:t> against Spacer</a:t>
            </a:r>
            <a:r>
              <a:rPr lang="en-US" sz="1100" b="1" i="0" u="none" strike="noStrike" baseline="0">
                <a:effectLst/>
              </a:rPr>
              <a:t>v+t  </a:t>
            </a:r>
            <a:r>
              <a:rPr lang="en-US" sz="1100" b="1" i="0" u="none" strike="noStrike" baseline="0"/>
              <a:t> </a:t>
            </a:r>
            <a:endParaRPr lang="en-US" sz="1600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7056874124648305"/>
          <c:y val="3.74120456337993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687326016066178E-2"/>
          <c:y val="0.12185896721643547"/>
          <c:w val="0.81717460033404909"/>
          <c:h val="0.72826525732668423"/>
        </c:manualLayout>
      </c:layout>
      <c:scatterChart>
        <c:scatterStyle val="lineMarker"/>
        <c:varyColors val="0"/>
        <c:ser>
          <c:idx val="2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Vancomycin!$AK$33:$AK$55</c:f>
              <c:numCache>
                <c:formatCode>0.00</c:formatCode>
                <c:ptCount val="23"/>
                <c:pt idx="0" formatCode="0.0000">
                  <c:v>6.25E-2</c:v>
                </c:pt>
                <c:pt idx="1">
                  <c:v>0.16700000000000001</c:v>
                </c:pt>
                <c:pt idx="2">
                  <c:v>0.25</c:v>
                </c:pt>
                <c:pt idx="3">
                  <c:v>0.33300000000000002</c:v>
                </c:pt>
                <c:pt idx="4">
                  <c:v>0.41699999999999998</c:v>
                </c:pt>
                <c:pt idx="5">
                  <c:v>0.5</c:v>
                </c:pt>
                <c:pt idx="6">
                  <c:v>0.58299999999999996</c:v>
                </c:pt>
                <c:pt idx="7">
                  <c:v>0.66700000000000004</c:v>
                </c:pt>
                <c:pt idx="8">
                  <c:v>0.75</c:v>
                </c:pt>
                <c:pt idx="9">
                  <c:v>0.83299999999999996</c:v>
                </c:pt>
                <c:pt idx="10">
                  <c:v>0.91700000000000004</c:v>
                </c:pt>
                <c:pt idx="11" formatCode="General">
                  <c:v>1</c:v>
                </c:pt>
                <c:pt idx="12" formatCode="General">
                  <c:v>2</c:v>
                </c:pt>
                <c:pt idx="13" formatCode="General">
                  <c:v>3</c:v>
                </c:pt>
                <c:pt idx="14" formatCode="General">
                  <c:v>4</c:v>
                </c:pt>
                <c:pt idx="15" formatCode="General">
                  <c:v>5</c:v>
                </c:pt>
                <c:pt idx="16" formatCode="General">
                  <c:v>6</c:v>
                </c:pt>
                <c:pt idx="17" formatCode="General">
                  <c:v>7</c:v>
                </c:pt>
                <c:pt idx="18" formatCode="General">
                  <c:v>8</c:v>
                </c:pt>
                <c:pt idx="19" formatCode="General">
                  <c:v>12</c:v>
                </c:pt>
                <c:pt idx="20" formatCode="General">
                  <c:v>18</c:v>
                </c:pt>
                <c:pt idx="21" formatCode="General">
                  <c:v>24</c:v>
                </c:pt>
                <c:pt idx="22" formatCode="General">
                  <c:v>48</c:v>
                </c:pt>
              </c:numCache>
            </c:numRef>
          </c:xVal>
          <c:yVal>
            <c:numRef>
              <c:f>Vancomycin!$AN$33:$AN$55</c:f>
              <c:numCache>
                <c:formatCode>0.00</c:formatCode>
                <c:ptCount val="23"/>
                <c:pt idx="0">
                  <c:v>1.014294289386003</c:v>
                </c:pt>
                <c:pt idx="1">
                  <c:v>0.90602895490991453</c:v>
                </c:pt>
                <c:pt idx="2">
                  <c:v>1.0340409624922127</c:v>
                </c:pt>
                <c:pt idx="3">
                  <c:v>1.0052774256107027</c:v>
                </c:pt>
                <c:pt idx="4">
                  <c:v>0.82265930651740216</c:v>
                </c:pt>
                <c:pt idx="5">
                  <c:v>0.75200587245722716</c:v>
                </c:pt>
                <c:pt idx="6">
                  <c:v>0.73746508659224808</c:v>
                </c:pt>
                <c:pt idx="7">
                  <c:v>0.76973618435713576</c:v>
                </c:pt>
                <c:pt idx="8">
                  <c:v>0.6103341805638689</c:v>
                </c:pt>
                <c:pt idx="9">
                  <c:v>0.51597817805445623</c:v>
                </c:pt>
                <c:pt idx="10">
                  <c:v>0.54727397162245439</c:v>
                </c:pt>
                <c:pt idx="11">
                  <c:v>3.4244087754248809E-2</c:v>
                </c:pt>
                <c:pt idx="12">
                  <c:v>0.81499310491650434</c:v>
                </c:pt>
                <c:pt idx="13">
                  <c:v>1.3904015429952628</c:v>
                </c:pt>
                <c:pt idx="14">
                  <c:v>1.3741398385540164</c:v>
                </c:pt>
                <c:pt idx="15">
                  <c:v>1.7029793330089951</c:v>
                </c:pt>
                <c:pt idx="16">
                  <c:v>1.5814331667575396</c:v>
                </c:pt>
                <c:pt idx="17">
                  <c:v>1.926158908963207</c:v>
                </c:pt>
                <c:pt idx="18">
                  <c:v>1.2801645417392842</c:v>
                </c:pt>
                <c:pt idx="19">
                  <c:v>1.6055219510632341</c:v>
                </c:pt>
                <c:pt idx="20">
                  <c:v>1.7980222131616626</c:v>
                </c:pt>
                <c:pt idx="21">
                  <c:v>1.7191464689708336</c:v>
                </c:pt>
                <c:pt idx="22">
                  <c:v>2.0454995952646269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46-D64A-A116-33EB9C665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114816"/>
        <c:axId val="459168912"/>
      </c:scatterChart>
      <c:valAx>
        <c:axId val="560114816"/>
        <c:scaling>
          <c:logBase val="10"/>
          <c:orientation val="minMax"/>
          <c:max val="64"/>
          <c:min val="6.2500000000000014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Time</a:t>
                </a:r>
                <a:r>
                  <a:rPr lang="en-US" sz="1400" b="1" baseline="0">
                    <a:solidFill>
                      <a:schemeClr val="tx1"/>
                    </a:solidFill>
                  </a:rPr>
                  <a:t> (hours)</a:t>
                </a:r>
                <a:endParaRPr lang="en-US" sz="1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6495347172512519"/>
              <c:y val="0.919908612273062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168912"/>
        <c:crossesAt val="-0.5"/>
        <c:crossBetween val="midCat"/>
        <c:majorUnit val="2"/>
        <c:minorUnit val="1"/>
      </c:valAx>
      <c:valAx>
        <c:axId val="459168912"/>
        <c:scaling>
          <c:orientation val="minMax"/>
          <c:max val="2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Log10 Difference</a:t>
                </a:r>
              </a:p>
            </c:rich>
          </c:tx>
          <c:layout>
            <c:manualLayout>
              <c:xMode val="edge"/>
              <c:yMode val="edge"/>
              <c:x val="1.4136652566393633E-2"/>
              <c:y val="0.360488305873146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114816"/>
        <c:crossesAt val="6.2500000000000014E-2"/>
        <c:crossBetween val="midCat"/>
        <c:majorUnit val="0.2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</a:rPr>
              <a:t>Tobramycin Concentration v. Time</a:t>
            </a:r>
          </a:p>
        </c:rich>
      </c:tx>
      <c:layout>
        <c:manualLayout>
          <c:xMode val="edge"/>
          <c:yMode val="edge"/>
          <c:x val="0.34836504811898511"/>
          <c:y val="3.24826540857770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687326016066178E-2"/>
          <c:y val="0.12185896721643547"/>
          <c:w val="0.81717460033404909"/>
          <c:h val="0.72826525732668423"/>
        </c:manualLayout>
      </c:layout>
      <c:scatterChart>
        <c:scatterStyle val="lineMarker"/>
        <c:varyColors val="0"/>
        <c:ser>
          <c:idx val="1"/>
          <c:order val="0"/>
          <c:tx>
            <c:strRef>
              <c:f>Tobramycin!$AJ$4</c:f>
              <c:strCache>
                <c:ptCount val="1"/>
                <c:pt idx="0">
                  <c:v>CSBv+tplusSpacerv+t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Tobramycin!$AL$5:$AL$27</c:f>
                <c:numCache>
                  <c:formatCode>General</c:formatCode>
                  <c:ptCount val="23"/>
                  <c:pt idx="0">
                    <c:v>0.33799501914432678</c:v>
                  </c:pt>
                  <c:pt idx="1">
                    <c:v>0.40440854150883804</c:v>
                  </c:pt>
                  <c:pt idx="2">
                    <c:v>0.4090214834185934</c:v>
                  </c:pt>
                  <c:pt idx="3">
                    <c:v>0.41034540403896103</c:v>
                  </c:pt>
                  <c:pt idx="4">
                    <c:v>0.40884134732180766</c:v>
                  </c:pt>
                  <c:pt idx="5">
                    <c:v>0.38857478090565423</c:v>
                  </c:pt>
                  <c:pt idx="6">
                    <c:v>0.3494034992042796</c:v>
                  </c:pt>
                  <c:pt idx="7">
                    <c:v>0.32414376842019699</c:v>
                  </c:pt>
                  <c:pt idx="8">
                    <c:v>0.29454037933586757</c:v>
                  </c:pt>
                  <c:pt idx="9">
                    <c:v>0.28568533149615893</c:v>
                  </c:pt>
                  <c:pt idx="10">
                    <c:v>0.23055402400227462</c:v>
                  </c:pt>
                  <c:pt idx="11">
                    <c:v>0.21570966798807059</c:v>
                  </c:pt>
                  <c:pt idx="12">
                    <c:v>7.0932723572899273E-2</c:v>
                  </c:pt>
                  <c:pt idx="13">
                    <c:v>0.15035431800249152</c:v>
                  </c:pt>
                  <c:pt idx="14">
                    <c:v>7.8735724898568379E-2</c:v>
                  </c:pt>
                  <c:pt idx="15">
                    <c:v>0.18024549400018033</c:v>
                  </c:pt>
                  <c:pt idx="16">
                    <c:v>0.20256003111775533</c:v>
                  </c:pt>
                  <c:pt idx="17">
                    <c:v>0.19773985112670753</c:v>
                  </c:pt>
                  <c:pt idx="18">
                    <c:v>0.22768636496873565</c:v>
                  </c:pt>
                  <c:pt idx="19">
                    <c:v>0.36294309306192468</c:v>
                  </c:pt>
                  <c:pt idx="20">
                    <c:v>0.57335282675183818</c:v>
                  </c:pt>
                  <c:pt idx="21">
                    <c:v>0.3447648665672981</c:v>
                  </c:pt>
                  <c:pt idx="22">
                    <c:v>6.0014275809017283E-2</c:v>
                  </c:pt>
                </c:numCache>
              </c:numRef>
            </c:plus>
            <c:minus>
              <c:numRef>
                <c:f>Tobramycin!$AL$5:$AL$27</c:f>
                <c:numCache>
                  <c:formatCode>General</c:formatCode>
                  <c:ptCount val="23"/>
                  <c:pt idx="0">
                    <c:v>0.33799501914432678</c:v>
                  </c:pt>
                  <c:pt idx="1">
                    <c:v>0.40440854150883804</c:v>
                  </c:pt>
                  <c:pt idx="2">
                    <c:v>0.4090214834185934</c:v>
                  </c:pt>
                  <c:pt idx="3">
                    <c:v>0.41034540403896103</c:v>
                  </c:pt>
                  <c:pt idx="4">
                    <c:v>0.40884134732180766</c:v>
                  </c:pt>
                  <c:pt idx="5">
                    <c:v>0.38857478090565423</c:v>
                  </c:pt>
                  <c:pt idx="6">
                    <c:v>0.3494034992042796</c:v>
                  </c:pt>
                  <c:pt idx="7">
                    <c:v>0.32414376842019699</c:v>
                  </c:pt>
                  <c:pt idx="8">
                    <c:v>0.29454037933586757</c:v>
                  </c:pt>
                  <c:pt idx="9">
                    <c:v>0.28568533149615893</c:v>
                  </c:pt>
                  <c:pt idx="10">
                    <c:v>0.23055402400227462</c:v>
                  </c:pt>
                  <c:pt idx="11">
                    <c:v>0.21570966798807059</c:v>
                  </c:pt>
                  <c:pt idx="12">
                    <c:v>7.0932723572899273E-2</c:v>
                  </c:pt>
                  <c:pt idx="13">
                    <c:v>0.15035431800249152</c:v>
                  </c:pt>
                  <c:pt idx="14">
                    <c:v>7.8735724898568379E-2</c:v>
                  </c:pt>
                  <c:pt idx="15">
                    <c:v>0.18024549400018033</c:v>
                  </c:pt>
                  <c:pt idx="16">
                    <c:v>0.20256003111775533</c:v>
                  </c:pt>
                  <c:pt idx="17">
                    <c:v>0.19773985112670753</c:v>
                  </c:pt>
                  <c:pt idx="18">
                    <c:v>0.22768636496873565</c:v>
                  </c:pt>
                  <c:pt idx="19">
                    <c:v>0.36294309306192468</c:v>
                  </c:pt>
                  <c:pt idx="20">
                    <c:v>0.57335282675183818</c:v>
                  </c:pt>
                  <c:pt idx="21">
                    <c:v>0.3447648665672981</c:v>
                  </c:pt>
                  <c:pt idx="22">
                    <c:v>6.0014275809017283E-2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Tobramycin!$AE$5:$AE$27</c:f>
              <c:numCache>
                <c:formatCode>0.00</c:formatCode>
                <c:ptCount val="23"/>
                <c:pt idx="0" formatCode="0.0000">
                  <c:v>6.25E-2</c:v>
                </c:pt>
                <c:pt idx="1">
                  <c:v>0.16700000000000001</c:v>
                </c:pt>
                <c:pt idx="2">
                  <c:v>0.25</c:v>
                </c:pt>
                <c:pt idx="3">
                  <c:v>0.33300000000000002</c:v>
                </c:pt>
                <c:pt idx="4">
                  <c:v>0.41699999999999998</c:v>
                </c:pt>
                <c:pt idx="5">
                  <c:v>0.5</c:v>
                </c:pt>
                <c:pt idx="6">
                  <c:v>0.58299999999999996</c:v>
                </c:pt>
                <c:pt idx="7">
                  <c:v>0.66700000000000004</c:v>
                </c:pt>
                <c:pt idx="8">
                  <c:v>0.75</c:v>
                </c:pt>
                <c:pt idx="9">
                  <c:v>0.83299999999999996</c:v>
                </c:pt>
                <c:pt idx="10">
                  <c:v>0.91700000000000004</c:v>
                </c:pt>
                <c:pt idx="11" formatCode="General">
                  <c:v>1</c:v>
                </c:pt>
                <c:pt idx="12" formatCode="General">
                  <c:v>2</c:v>
                </c:pt>
                <c:pt idx="13" formatCode="General">
                  <c:v>3</c:v>
                </c:pt>
                <c:pt idx="14" formatCode="General">
                  <c:v>4</c:v>
                </c:pt>
                <c:pt idx="15" formatCode="General">
                  <c:v>5</c:v>
                </c:pt>
                <c:pt idx="16" formatCode="General">
                  <c:v>6</c:v>
                </c:pt>
                <c:pt idx="17" formatCode="General">
                  <c:v>7</c:v>
                </c:pt>
                <c:pt idx="18" formatCode="General">
                  <c:v>8</c:v>
                </c:pt>
                <c:pt idx="19" formatCode="General">
                  <c:v>12</c:v>
                </c:pt>
                <c:pt idx="20" formatCode="General">
                  <c:v>18</c:v>
                </c:pt>
                <c:pt idx="21" formatCode="General">
                  <c:v>24</c:v>
                </c:pt>
                <c:pt idx="22" formatCode="General">
                  <c:v>48</c:v>
                </c:pt>
              </c:numCache>
            </c:numRef>
          </c:xVal>
          <c:yVal>
            <c:numRef>
              <c:f>Tobramycin!$AJ$5:$AJ$27</c:f>
              <c:numCache>
                <c:formatCode>0.00</c:formatCode>
                <c:ptCount val="23"/>
                <c:pt idx="0">
                  <c:v>2.4252667472068477</c:v>
                </c:pt>
                <c:pt idx="1">
                  <c:v>2.1821240061243605</c:v>
                </c:pt>
                <c:pt idx="2">
                  <c:v>2.0685826495636825</c:v>
                </c:pt>
                <c:pt idx="3">
                  <c:v>1.9715412970152366</c:v>
                </c:pt>
                <c:pt idx="4">
                  <c:v>1.8618828245132386</c:v>
                </c:pt>
                <c:pt idx="5">
                  <c:v>1.7902814035962549</c:v>
                </c:pt>
                <c:pt idx="6">
                  <c:v>1.7323013890749437</c:v>
                </c:pt>
                <c:pt idx="7">
                  <c:v>1.6725173666057356</c:v>
                </c:pt>
                <c:pt idx="8">
                  <c:v>1.5974988197174427</c:v>
                </c:pt>
                <c:pt idx="9">
                  <c:v>1.5341588624312124</c:v>
                </c:pt>
                <c:pt idx="10">
                  <c:v>1.4291474326930187</c:v>
                </c:pt>
                <c:pt idx="11">
                  <c:v>1.3869429151593415</c:v>
                </c:pt>
                <c:pt idx="12">
                  <c:v>1.026875918390894</c:v>
                </c:pt>
                <c:pt idx="13">
                  <c:v>1.1702334270520569</c:v>
                </c:pt>
                <c:pt idx="14">
                  <c:v>1.2453965390360187</c:v>
                </c:pt>
                <c:pt idx="15">
                  <c:v>1.4677205143689898</c:v>
                </c:pt>
                <c:pt idx="16">
                  <c:v>1.4393636218558774</c:v>
                </c:pt>
                <c:pt idx="17">
                  <c:v>1.4375105799226746</c:v>
                </c:pt>
                <c:pt idx="18">
                  <c:v>1.4952999296622858</c:v>
                </c:pt>
                <c:pt idx="19">
                  <c:v>1.1938619655370071</c:v>
                </c:pt>
                <c:pt idx="20">
                  <c:v>1.2702091527737529</c:v>
                </c:pt>
                <c:pt idx="21">
                  <c:v>1.2119924593363314</c:v>
                </c:pt>
                <c:pt idx="22">
                  <c:v>1.2402962167292984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6D-7D47-84E5-141D1234FFDB}"/>
            </c:ext>
          </c:extLst>
        </c:ser>
        <c:ser>
          <c:idx val="2"/>
          <c:order val="1"/>
          <c:tx>
            <c:strRef>
              <c:f>Tobramycin!$AO$4</c:f>
              <c:strCache>
                <c:ptCount val="1"/>
                <c:pt idx="0">
                  <c:v>Spacerv+t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Tobramycin!$AQ$5:$AQ$27</c:f>
                <c:numCache>
                  <c:formatCode>General</c:formatCode>
                  <c:ptCount val="23"/>
                  <c:pt idx="0">
                    <c:v>0.10508750387007082</c:v>
                  </c:pt>
                  <c:pt idx="1">
                    <c:v>0.12770315051740119</c:v>
                  </c:pt>
                  <c:pt idx="2">
                    <c:v>0.17748758625090341</c:v>
                  </c:pt>
                  <c:pt idx="3">
                    <c:v>0.18643937303173169</c:v>
                  </c:pt>
                  <c:pt idx="4">
                    <c:v>0.21532412891553965</c:v>
                  </c:pt>
                  <c:pt idx="5">
                    <c:v>8.6837420269159971E-2</c:v>
                  </c:pt>
                  <c:pt idx="6">
                    <c:v>0.12563850055219863</c:v>
                  </c:pt>
                  <c:pt idx="7">
                    <c:v>0.13973833552432968</c:v>
                  </c:pt>
                  <c:pt idx="8">
                    <c:v>0.12736380305702608</c:v>
                  </c:pt>
                  <c:pt idx="9">
                    <c:v>0.15282806786172534</c:v>
                  </c:pt>
                  <c:pt idx="10">
                    <c:v>0.15129598388184443</c:v>
                  </c:pt>
                  <c:pt idx="11">
                    <c:v>0.19275169399027162</c:v>
                  </c:pt>
                  <c:pt idx="12">
                    <c:v>0.1079780251629205</c:v>
                  </c:pt>
                  <c:pt idx="13">
                    <c:v>0.12336939954865143</c:v>
                  </c:pt>
                  <c:pt idx="14">
                    <c:v>0.16503706970016924</c:v>
                  </c:pt>
                  <c:pt idx="15">
                    <c:v>0.13228561999024643</c:v>
                  </c:pt>
                  <c:pt idx="16">
                    <c:v>0.16281168863614745</c:v>
                  </c:pt>
                  <c:pt idx="17">
                    <c:v>0.17180104881517932</c:v>
                  </c:pt>
                  <c:pt idx="18">
                    <c:v>0.11767007491691386</c:v>
                  </c:pt>
                  <c:pt idx="19">
                    <c:v>7.6516130819360664E-2</c:v>
                  </c:pt>
                  <c:pt idx="20">
                    <c:v>0.17784279712554477</c:v>
                  </c:pt>
                  <c:pt idx="21">
                    <c:v>0.18432807944796339</c:v>
                  </c:pt>
                  <c:pt idx="22">
                    <c:v>0.32304652396868722</c:v>
                  </c:pt>
                </c:numCache>
              </c:numRef>
            </c:plus>
            <c:minus>
              <c:numRef>
                <c:f>Tobramycin!$AQ$5:$AQ$27</c:f>
                <c:numCache>
                  <c:formatCode>General</c:formatCode>
                  <c:ptCount val="23"/>
                  <c:pt idx="0">
                    <c:v>0.10508750387007082</c:v>
                  </c:pt>
                  <c:pt idx="1">
                    <c:v>0.12770315051740119</c:v>
                  </c:pt>
                  <c:pt idx="2">
                    <c:v>0.17748758625090341</c:v>
                  </c:pt>
                  <c:pt idx="3">
                    <c:v>0.18643937303173169</c:v>
                  </c:pt>
                  <c:pt idx="4">
                    <c:v>0.21532412891553965</c:v>
                  </c:pt>
                  <c:pt idx="5">
                    <c:v>8.6837420269159971E-2</c:v>
                  </c:pt>
                  <c:pt idx="6">
                    <c:v>0.12563850055219863</c:v>
                  </c:pt>
                  <c:pt idx="7">
                    <c:v>0.13973833552432968</c:v>
                  </c:pt>
                  <c:pt idx="8">
                    <c:v>0.12736380305702608</c:v>
                  </c:pt>
                  <c:pt idx="9">
                    <c:v>0.15282806786172534</c:v>
                  </c:pt>
                  <c:pt idx="10">
                    <c:v>0.15129598388184443</c:v>
                  </c:pt>
                  <c:pt idx="11">
                    <c:v>0.19275169399027162</c:v>
                  </c:pt>
                  <c:pt idx="12">
                    <c:v>0.1079780251629205</c:v>
                  </c:pt>
                  <c:pt idx="13">
                    <c:v>0.12336939954865143</c:v>
                  </c:pt>
                  <c:pt idx="14">
                    <c:v>0.16503706970016924</c:v>
                  </c:pt>
                  <c:pt idx="15">
                    <c:v>0.13228561999024643</c:v>
                  </c:pt>
                  <c:pt idx="16">
                    <c:v>0.16281168863614745</c:v>
                  </c:pt>
                  <c:pt idx="17">
                    <c:v>0.17180104881517932</c:v>
                  </c:pt>
                  <c:pt idx="18">
                    <c:v>0.11767007491691386</c:v>
                  </c:pt>
                  <c:pt idx="19">
                    <c:v>7.6516130819360664E-2</c:v>
                  </c:pt>
                  <c:pt idx="20">
                    <c:v>0.17784279712554477</c:v>
                  </c:pt>
                  <c:pt idx="21">
                    <c:v>0.18432807944796339</c:v>
                  </c:pt>
                  <c:pt idx="22">
                    <c:v>0.32304652396868722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Tobramycin!$AE$5:$AE$27</c:f>
              <c:numCache>
                <c:formatCode>0.00</c:formatCode>
                <c:ptCount val="23"/>
                <c:pt idx="0" formatCode="0.0000">
                  <c:v>6.25E-2</c:v>
                </c:pt>
                <c:pt idx="1">
                  <c:v>0.16700000000000001</c:v>
                </c:pt>
                <c:pt idx="2">
                  <c:v>0.25</c:v>
                </c:pt>
                <c:pt idx="3">
                  <c:v>0.33300000000000002</c:v>
                </c:pt>
                <c:pt idx="4">
                  <c:v>0.41699999999999998</c:v>
                </c:pt>
                <c:pt idx="5">
                  <c:v>0.5</c:v>
                </c:pt>
                <c:pt idx="6">
                  <c:v>0.58299999999999996</c:v>
                </c:pt>
                <c:pt idx="7">
                  <c:v>0.66700000000000004</c:v>
                </c:pt>
                <c:pt idx="8">
                  <c:v>0.75</c:v>
                </c:pt>
                <c:pt idx="9">
                  <c:v>0.83299999999999996</c:v>
                </c:pt>
                <c:pt idx="10">
                  <c:v>0.91700000000000004</c:v>
                </c:pt>
                <c:pt idx="11" formatCode="General">
                  <c:v>1</c:v>
                </c:pt>
                <c:pt idx="12" formatCode="General">
                  <c:v>2</c:v>
                </c:pt>
                <c:pt idx="13" formatCode="General">
                  <c:v>3</c:v>
                </c:pt>
                <c:pt idx="14" formatCode="General">
                  <c:v>4</c:v>
                </c:pt>
                <c:pt idx="15" formatCode="General">
                  <c:v>5</c:v>
                </c:pt>
                <c:pt idx="16" formatCode="General">
                  <c:v>6</c:v>
                </c:pt>
                <c:pt idx="17" formatCode="General">
                  <c:v>7</c:v>
                </c:pt>
                <c:pt idx="18" formatCode="General">
                  <c:v>8</c:v>
                </c:pt>
                <c:pt idx="19" formatCode="General">
                  <c:v>12</c:v>
                </c:pt>
                <c:pt idx="20" formatCode="General">
                  <c:v>18</c:v>
                </c:pt>
                <c:pt idx="21" formatCode="General">
                  <c:v>24</c:v>
                </c:pt>
                <c:pt idx="22" formatCode="General">
                  <c:v>48</c:v>
                </c:pt>
              </c:numCache>
            </c:numRef>
          </c:xVal>
          <c:yVal>
            <c:numRef>
              <c:f>Tobramycin!$AO$5:$AO$27</c:f>
              <c:numCache>
                <c:formatCode>0.00</c:formatCode>
                <c:ptCount val="23"/>
                <c:pt idx="0">
                  <c:v>1.8180343341583711</c:v>
                </c:pt>
                <c:pt idx="1">
                  <c:v>1.7482995609542986</c:v>
                </c:pt>
                <c:pt idx="2">
                  <c:v>1.6672244723999585</c:v>
                </c:pt>
                <c:pt idx="3">
                  <c:v>1.6022747616038291</c:v>
                </c:pt>
                <c:pt idx="4">
                  <c:v>1.5048502338846104</c:v>
                </c:pt>
                <c:pt idx="5">
                  <c:v>1.1994780248312247</c:v>
                </c:pt>
                <c:pt idx="6">
                  <c:v>1.1487749061104466</c:v>
                </c:pt>
                <c:pt idx="7">
                  <c:v>1.0638438832179933</c:v>
                </c:pt>
                <c:pt idx="8">
                  <c:v>1.015577832841926</c:v>
                </c:pt>
                <c:pt idx="9">
                  <c:v>0.93413369081994146</c:v>
                </c:pt>
                <c:pt idx="10">
                  <c:v>0.90208610625105345</c:v>
                </c:pt>
                <c:pt idx="11">
                  <c:v>0.89584460088977014</c:v>
                </c:pt>
                <c:pt idx="12">
                  <c:v>0.63343622171938851</c:v>
                </c:pt>
                <c:pt idx="13">
                  <c:v>0.56002050531144021</c:v>
                </c:pt>
                <c:pt idx="14">
                  <c:v>0.63256708736298339</c:v>
                </c:pt>
                <c:pt idx="15">
                  <c:v>0.70096181395609536</c:v>
                </c:pt>
                <c:pt idx="16">
                  <c:v>0.66745348237773505</c:v>
                </c:pt>
                <c:pt idx="17">
                  <c:v>0.74900161825171629</c:v>
                </c:pt>
                <c:pt idx="18">
                  <c:v>0.80872735949207353</c:v>
                </c:pt>
                <c:pt idx="19">
                  <c:v>0.6813525808219405</c:v>
                </c:pt>
                <c:pt idx="20">
                  <c:v>0.84071278127286908</c:v>
                </c:pt>
                <c:pt idx="21">
                  <c:v>0.94216920130650683</c:v>
                </c:pt>
                <c:pt idx="22">
                  <c:v>0.77092585438547712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6D-7D47-84E5-141D1234FFDB}"/>
            </c:ext>
          </c:extLst>
        </c:ser>
        <c:ser>
          <c:idx val="3"/>
          <c:order val="3"/>
          <c:tx>
            <c:v>Minimum Detection Limit</c:v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Tobramycin!$AE$5:$AE$27</c:f>
              <c:numCache>
                <c:formatCode>0.00</c:formatCode>
                <c:ptCount val="23"/>
                <c:pt idx="0" formatCode="0.0000">
                  <c:v>6.25E-2</c:v>
                </c:pt>
                <c:pt idx="1">
                  <c:v>0.16700000000000001</c:v>
                </c:pt>
                <c:pt idx="2">
                  <c:v>0.25</c:v>
                </c:pt>
                <c:pt idx="3">
                  <c:v>0.33300000000000002</c:v>
                </c:pt>
                <c:pt idx="4">
                  <c:v>0.41699999999999998</c:v>
                </c:pt>
                <c:pt idx="5">
                  <c:v>0.5</c:v>
                </c:pt>
                <c:pt idx="6">
                  <c:v>0.58299999999999996</c:v>
                </c:pt>
                <c:pt idx="7">
                  <c:v>0.66700000000000004</c:v>
                </c:pt>
                <c:pt idx="8">
                  <c:v>0.75</c:v>
                </c:pt>
                <c:pt idx="9">
                  <c:v>0.83299999999999996</c:v>
                </c:pt>
                <c:pt idx="10">
                  <c:v>0.91700000000000004</c:v>
                </c:pt>
                <c:pt idx="11" formatCode="General">
                  <c:v>1</c:v>
                </c:pt>
                <c:pt idx="12" formatCode="General">
                  <c:v>2</c:v>
                </c:pt>
                <c:pt idx="13" formatCode="General">
                  <c:v>3</c:v>
                </c:pt>
                <c:pt idx="14" formatCode="General">
                  <c:v>4</c:v>
                </c:pt>
                <c:pt idx="15" formatCode="General">
                  <c:v>5</c:v>
                </c:pt>
                <c:pt idx="16" formatCode="General">
                  <c:v>6</c:v>
                </c:pt>
                <c:pt idx="17" formatCode="General">
                  <c:v>7</c:v>
                </c:pt>
                <c:pt idx="18" formatCode="General">
                  <c:v>8</c:v>
                </c:pt>
                <c:pt idx="19" formatCode="General">
                  <c:v>12</c:v>
                </c:pt>
                <c:pt idx="20" formatCode="General">
                  <c:v>18</c:v>
                </c:pt>
                <c:pt idx="21" formatCode="General">
                  <c:v>24</c:v>
                </c:pt>
                <c:pt idx="22" formatCode="General">
                  <c:v>48</c:v>
                </c:pt>
              </c:numCache>
            </c:numRef>
          </c:xVal>
          <c:yVal>
            <c:numRef>
              <c:f>Tobramycin!$AT$5:$AT$27</c:f>
              <c:numCache>
                <c:formatCode>0.00</c:formatCode>
                <c:ptCount val="23"/>
                <c:pt idx="0">
                  <c:v>-8.7739243075051505E-3</c:v>
                </c:pt>
                <c:pt idx="1">
                  <c:v>-8.7739243075051505E-3</c:v>
                </c:pt>
                <c:pt idx="2">
                  <c:v>-8.7739243075051505E-3</c:v>
                </c:pt>
                <c:pt idx="3">
                  <c:v>-8.7739243075051505E-3</c:v>
                </c:pt>
                <c:pt idx="4">
                  <c:v>-8.7739243075051505E-3</c:v>
                </c:pt>
                <c:pt idx="5">
                  <c:v>-8.7739243075051505E-3</c:v>
                </c:pt>
                <c:pt idx="6">
                  <c:v>-8.7739243075051505E-3</c:v>
                </c:pt>
                <c:pt idx="7">
                  <c:v>-8.7739243075051505E-3</c:v>
                </c:pt>
                <c:pt idx="8">
                  <c:v>-8.7739243075051505E-3</c:v>
                </c:pt>
                <c:pt idx="9">
                  <c:v>-8.7739243075051505E-3</c:v>
                </c:pt>
                <c:pt idx="10">
                  <c:v>-8.7739243075051505E-3</c:v>
                </c:pt>
                <c:pt idx="11">
                  <c:v>-8.7739243075051505E-3</c:v>
                </c:pt>
                <c:pt idx="12">
                  <c:v>-8.7739243075051505E-3</c:v>
                </c:pt>
                <c:pt idx="13">
                  <c:v>-8.7739243075051505E-3</c:v>
                </c:pt>
                <c:pt idx="14">
                  <c:v>-8.7739243075051505E-3</c:v>
                </c:pt>
                <c:pt idx="15">
                  <c:v>-8.7739243075051505E-3</c:v>
                </c:pt>
                <c:pt idx="16">
                  <c:v>-8.7739243075051505E-3</c:v>
                </c:pt>
                <c:pt idx="17">
                  <c:v>-8.7739243075051505E-3</c:v>
                </c:pt>
                <c:pt idx="18">
                  <c:v>-8.7739243075051505E-3</c:v>
                </c:pt>
                <c:pt idx="19">
                  <c:v>-8.7739243075051505E-3</c:v>
                </c:pt>
                <c:pt idx="20">
                  <c:v>-8.7739243075051505E-3</c:v>
                </c:pt>
                <c:pt idx="21">
                  <c:v>-8.7739243075051505E-3</c:v>
                </c:pt>
                <c:pt idx="22">
                  <c:v>-8.7739243075051505E-3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6D-7D47-84E5-141D1234F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114816"/>
        <c:axId val="459168912"/>
      </c:scatterChart>
      <c:scatterChart>
        <c:scatterStyle val="lineMarker"/>
        <c:varyColors val="0"/>
        <c:ser>
          <c:idx val="0"/>
          <c:order val="2"/>
          <c:tx>
            <c:strRef>
              <c:f>Tobramycin!$AV$3</c:f>
              <c:strCache>
                <c:ptCount val="1"/>
                <c:pt idx="0">
                  <c:v>Flow Rate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Tobramycin!$AV$5:$AV$29</c:f>
              <c:numCache>
                <c:formatCode>General</c:formatCode>
                <c:ptCount val="25"/>
                <c:pt idx="0">
                  <c:v>6.25E-2</c:v>
                </c:pt>
                <c:pt idx="1">
                  <c:v>0.99999899999999997</c:v>
                </c:pt>
                <c:pt idx="2">
                  <c:v>1</c:v>
                </c:pt>
                <c:pt idx="3">
                  <c:v>1.9999</c:v>
                </c:pt>
                <c:pt idx="4">
                  <c:v>2</c:v>
                </c:pt>
                <c:pt idx="5">
                  <c:v>2.9999899999999999</c:v>
                </c:pt>
                <c:pt idx="6">
                  <c:v>3</c:v>
                </c:pt>
                <c:pt idx="7">
                  <c:v>3.9999989999999999</c:v>
                </c:pt>
                <c:pt idx="8">
                  <c:v>4</c:v>
                </c:pt>
                <c:pt idx="9">
                  <c:v>4.9999900000000004</c:v>
                </c:pt>
                <c:pt idx="10">
                  <c:v>5</c:v>
                </c:pt>
                <c:pt idx="11">
                  <c:v>5.9999900000000004</c:v>
                </c:pt>
                <c:pt idx="12">
                  <c:v>6</c:v>
                </c:pt>
                <c:pt idx="13">
                  <c:v>6.9999900000000004</c:v>
                </c:pt>
                <c:pt idx="14">
                  <c:v>7</c:v>
                </c:pt>
                <c:pt idx="15">
                  <c:v>7.9999900000000004</c:v>
                </c:pt>
                <c:pt idx="16">
                  <c:v>8</c:v>
                </c:pt>
                <c:pt idx="17">
                  <c:v>11.99999</c:v>
                </c:pt>
                <c:pt idx="18">
                  <c:v>12</c:v>
                </c:pt>
                <c:pt idx="19">
                  <c:v>17.99999</c:v>
                </c:pt>
                <c:pt idx="20">
                  <c:v>18</c:v>
                </c:pt>
                <c:pt idx="21">
                  <c:v>23.99999</c:v>
                </c:pt>
                <c:pt idx="22">
                  <c:v>24</c:v>
                </c:pt>
                <c:pt idx="23">
                  <c:v>47.999999000000003</c:v>
                </c:pt>
                <c:pt idx="24">
                  <c:v>48</c:v>
                </c:pt>
              </c:numCache>
            </c:numRef>
          </c:xVal>
          <c:yVal>
            <c:numRef>
              <c:f>Tobramycin!$AW$5:$AW$28</c:f>
              <c:numCache>
                <c:formatCode>General</c:formatCode>
                <c:ptCount val="24"/>
                <c:pt idx="0">
                  <c:v>3.5</c:v>
                </c:pt>
                <c:pt idx="1">
                  <c:v>3.5</c:v>
                </c:pt>
                <c:pt idx="2">
                  <c:v>3.13</c:v>
                </c:pt>
                <c:pt idx="3">
                  <c:v>3.13</c:v>
                </c:pt>
                <c:pt idx="4">
                  <c:v>1.54</c:v>
                </c:pt>
                <c:pt idx="5">
                  <c:v>1.54</c:v>
                </c:pt>
                <c:pt idx="6">
                  <c:v>1.02</c:v>
                </c:pt>
                <c:pt idx="7">
                  <c:v>1.02</c:v>
                </c:pt>
                <c:pt idx="8">
                  <c:v>0.76</c:v>
                </c:pt>
                <c:pt idx="9">
                  <c:v>0.76</c:v>
                </c:pt>
                <c:pt idx="10">
                  <c:v>0.61</c:v>
                </c:pt>
                <c:pt idx="11">
                  <c:v>0.61</c:v>
                </c:pt>
                <c:pt idx="12">
                  <c:v>0.5</c:v>
                </c:pt>
                <c:pt idx="13">
                  <c:v>0.5</c:v>
                </c:pt>
                <c:pt idx="14">
                  <c:v>0.43</c:v>
                </c:pt>
                <c:pt idx="15">
                  <c:v>0.43</c:v>
                </c:pt>
                <c:pt idx="16">
                  <c:v>0.38</c:v>
                </c:pt>
                <c:pt idx="17">
                  <c:v>0.38</c:v>
                </c:pt>
                <c:pt idx="18">
                  <c:v>0.25</c:v>
                </c:pt>
                <c:pt idx="19">
                  <c:v>0.25</c:v>
                </c:pt>
                <c:pt idx="20">
                  <c:v>0.16</c:v>
                </c:pt>
                <c:pt idx="21">
                  <c:v>0.16</c:v>
                </c:pt>
                <c:pt idx="22">
                  <c:v>0.12</c:v>
                </c:pt>
                <c:pt idx="23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D6D-7D47-84E5-141D1234F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13312"/>
        <c:axId val="81704800"/>
      </c:scatterChart>
      <c:valAx>
        <c:axId val="560114816"/>
        <c:scaling>
          <c:logBase val="10"/>
          <c:orientation val="minMax"/>
          <c:max val="64"/>
          <c:min val="6.2500000000000014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Time</a:t>
                </a:r>
                <a:r>
                  <a:rPr lang="en-US" sz="1400" b="1" baseline="0">
                    <a:solidFill>
                      <a:schemeClr val="tx1"/>
                    </a:solidFill>
                  </a:rPr>
                  <a:t> (hours)</a:t>
                </a:r>
                <a:endParaRPr lang="en-US" sz="1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6495347172512519"/>
              <c:y val="0.919908612273062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168912"/>
        <c:crossesAt val="-0.5"/>
        <c:crossBetween val="midCat"/>
        <c:majorUnit val="2"/>
        <c:minorUnit val="1"/>
      </c:valAx>
      <c:valAx>
        <c:axId val="459168912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Log10 Concentration (µg/mL)</a:t>
                </a:r>
              </a:p>
            </c:rich>
          </c:tx>
          <c:layout>
            <c:manualLayout>
              <c:xMode val="edge"/>
              <c:yMode val="edge"/>
              <c:x val="1.6640817625069592E-2"/>
              <c:y val="0.301334610710480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114816"/>
        <c:crossesAt val="6.2500000000000014E-2"/>
        <c:crossBetween val="midCat"/>
        <c:majorUnit val="0.5"/>
      </c:valAx>
      <c:valAx>
        <c:axId val="8170480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Flow Rate (mL/min)</a:t>
                </a:r>
              </a:p>
            </c:rich>
          </c:tx>
          <c:layout>
            <c:manualLayout>
              <c:xMode val="edge"/>
              <c:yMode val="edge"/>
              <c:x val="0.96120337230573449"/>
              <c:y val="0.321782275874010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813312"/>
        <c:crosses val="max"/>
        <c:crossBetween val="midCat"/>
      </c:valAx>
      <c:valAx>
        <c:axId val="94813312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704800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66505446528155632"/>
          <c:y val="0.15309610237174034"/>
          <c:w val="0.23208384603986151"/>
          <c:h val="0.173681744150853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 baseline="0">
                <a:solidFill>
                  <a:schemeClr val="tx1"/>
                </a:solidFill>
              </a:rPr>
              <a:t>Log Difference of Tobramycin Concentrations: </a:t>
            </a:r>
            <a:r>
              <a:rPr lang="en-US" sz="1600" b="1" i="0" u="none" strike="noStrike" baseline="0">
                <a:effectLst/>
              </a:rPr>
              <a:t>CSB</a:t>
            </a:r>
            <a:r>
              <a:rPr lang="en-US" sz="1100" b="1" i="0" u="none" strike="noStrike" baseline="0">
                <a:effectLst/>
              </a:rPr>
              <a:t>v+t</a:t>
            </a:r>
            <a:r>
              <a:rPr lang="en-US" sz="1600" b="1" i="0" u="none" strike="noStrike" baseline="0">
                <a:effectLst/>
              </a:rPr>
              <a:t>plusSpacer</a:t>
            </a:r>
            <a:r>
              <a:rPr lang="en-US" sz="1100" b="1" i="0" u="none" strike="noStrike" baseline="0">
                <a:effectLst/>
              </a:rPr>
              <a:t>v+t </a:t>
            </a:r>
            <a:r>
              <a:rPr lang="en-US" sz="1600" b="1" i="0" u="none" strike="noStrike" baseline="0">
                <a:effectLst/>
              </a:rPr>
              <a:t>against Spacer</a:t>
            </a:r>
            <a:r>
              <a:rPr lang="en-US" sz="1100" b="1" i="0" u="none" strike="noStrike" baseline="0">
                <a:effectLst/>
              </a:rPr>
              <a:t>v+t  </a:t>
            </a:r>
            <a:r>
              <a:rPr lang="en-US" sz="1100" b="1" i="0" u="none" strike="noStrike" baseline="0"/>
              <a:t> </a:t>
            </a:r>
            <a:r>
              <a:rPr lang="en-US" sz="1100" b="1" baseline="0">
                <a:solidFill>
                  <a:schemeClr val="tx1"/>
                </a:solidFill>
              </a:rPr>
              <a:t> </a:t>
            </a:r>
            <a:endParaRPr lang="en-US" sz="1600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8591816031887209"/>
          <c:y val="3.74120456337993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687326016066178E-2"/>
          <c:y val="0.12185896721643547"/>
          <c:w val="0.86585697757769697"/>
          <c:h val="0.72826525732668423"/>
        </c:manualLayout>
      </c:layout>
      <c:scatterChart>
        <c:scatterStyle val="lineMarker"/>
        <c:varyColors val="0"/>
        <c:ser>
          <c:idx val="2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Tobramycin!$AF$34:$AF$56</c:f>
              <c:numCache>
                <c:formatCode>0.00</c:formatCode>
                <c:ptCount val="23"/>
                <c:pt idx="0" formatCode="0.0000">
                  <c:v>6.25E-2</c:v>
                </c:pt>
                <c:pt idx="1">
                  <c:v>0.16700000000000001</c:v>
                </c:pt>
                <c:pt idx="2">
                  <c:v>0.25</c:v>
                </c:pt>
                <c:pt idx="3">
                  <c:v>0.33300000000000002</c:v>
                </c:pt>
                <c:pt idx="4">
                  <c:v>0.41699999999999998</c:v>
                </c:pt>
                <c:pt idx="5">
                  <c:v>0.5</c:v>
                </c:pt>
                <c:pt idx="6">
                  <c:v>0.58299999999999996</c:v>
                </c:pt>
                <c:pt idx="7">
                  <c:v>0.66700000000000004</c:v>
                </c:pt>
                <c:pt idx="8">
                  <c:v>0.75</c:v>
                </c:pt>
                <c:pt idx="9">
                  <c:v>0.83299999999999996</c:v>
                </c:pt>
                <c:pt idx="10">
                  <c:v>0.91700000000000004</c:v>
                </c:pt>
                <c:pt idx="11" formatCode="General">
                  <c:v>1</c:v>
                </c:pt>
                <c:pt idx="12" formatCode="General">
                  <c:v>2</c:v>
                </c:pt>
                <c:pt idx="13" formatCode="General">
                  <c:v>3</c:v>
                </c:pt>
                <c:pt idx="14" formatCode="General">
                  <c:v>4</c:v>
                </c:pt>
                <c:pt idx="15" formatCode="General">
                  <c:v>5</c:v>
                </c:pt>
                <c:pt idx="16" formatCode="General">
                  <c:v>6</c:v>
                </c:pt>
                <c:pt idx="17" formatCode="General">
                  <c:v>7</c:v>
                </c:pt>
                <c:pt idx="18" formatCode="General">
                  <c:v>8</c:v>
                </c:pt>
                <c:pt idx="19" formatCode="General">
                  <c:v>12</c:v>
                </c:pt>
                <c:pt idx="20" formatCode="General">
                  <c:v>18</c:v>
                </c:pt>
                <c:pt idx="21" formatCode="General">
                  <c:v>24</c:v>
                </c:pt>
                <c:pt idx="22" formatCode="General">
                  <c:v>48</c:v>
                </c:pt>
              </c:numCache>
            </c:numRef>
          </c:xVal>
          <c:yVal>
            <c:numRef>
              <c:f>Tobramycin!$AI$34:$AI$56</c:f>
              <c:numCache>
                <c:formatCode>0.00</c:formatCode>
                <c:ptCount val="23"/>
                <c:pt idx="0">
                  <c:v>0.60723241304847653</c:v>
                </c:pt>
                <c:pt idx="1">
                  <c:v>0.43382444517006191</c:v>
                </c:pt>
                <c:pt idx="2">
                  <c:v>0.40135817716372402</c:v>
                </c:pt>
                <c:pt idx="3">
                  <c:v>0.36926653541140753</c:v>
                </c:pt>
                <c:pt idx="4">
                  <c:v>0.35703259062862824</c:v>
                </c:pt>
                <c:pt idx="5">
                  <c:v>0.5908033787650302</c:v>
                </c:pt>
                <c:pt idx="6">
                  <c:v>0.58352648296449705</c:v>
                </c:pt>
                <c:pt idx="7">
                  <c:v>0.6086734833877423</c:v>
                </c:pt>
                <c:pt idx="8">
                  <c:v>0.58192098687551663</c:v>
                </c:pt>
                <c:pt idx="9">
                  <c:v>0.60002517161127089</c:v>
                </c:pt>
                <c:pt idx="10">
                  <c:v>0.52706132644196524</c:v>
                </c:pt>
                <c:pt idx="11">
                  <c:v>0.4910983142695714</c:v>
                </c:pt>
                <c:pt idx="12">
                  <c:v>0.39343969667150547</c:v>
                </c:pt>
                <c:pt idx="13">
                  <c:v>0.6102129217406167</c:v>
                </c:pt>
                <c:pt idx="14">
                  <c:v>0.61282945167303526</c:v>
                </c:pt>
                <c:pt idx="15">
                  <c:v>0.7667587004128944</c:v>
                </c:pt>
                <c:pt idx="16">
                  <c:v>0.77191013947814235</c:v>
                </c:pt>
                <c:pt idx="17">
                  <c:v>0.68850896167095832</c:v>
                </c:pt>
                <c:pt idx="18">
                  <c:v>0.68657257017021223</c:v>
                </c:pt>
                <c:pt idx="19">
                  <c:v>0.51250938471506657</c:v>
                </c:pt>
                <c:pt idx="20">
                  <c:v>0.42949637150088382</c:v>
                </c:pt>
                <c:pt idx="21">
                  <c:v>0.26982325802982454</c:v>
                </c:pt>
                <c:pt idx="22">
                  <c:v>0.46937036234382123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D4-B642-9FCC-57790251A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114816"/>
        <c:axId val="459168912"/>
      </c:scatterChart>
      <c:valAx>
        <c:axId val="560114816"/>
        <c:scaling>
          <c:logBase val="10"/>
          <c:orientation val="minMax"/>
          <c:max val="64"/>
          <c:min val="6.2500000000000014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Time</a:t>
                </a:r>
                <a:r>
                  <a:rPr lang="en-US" sz="1400" b="1" baseline="0">
                    <a:solidFill>
                      <a:schemeClr val="tx1"/>
                    </a:solidFill>
                  </a:rPr>
                  <a:t> (hours)</a:t>
                </a:r>
                <a:endParaRPr lang="en-US" sz="1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6495347172512519"/>
              <c:y val="0.919908612273062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168912"/>
        <c:crossesAt val="-0.5"/>
        <c:crossBetween val="midCat"/>
        <c:majorUnit val="2"/>
        <c:minorUnit val="1"/>
      </c:valAx>
      <c:valAx>
        <c:axId val="45916891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Log10 Difference</a:t>
                </a:r>
              </a:p>
            </c:rich>
          </c:tx>
          <c:layout>
            <c:manualLayout>
              <c:xMode val="edge"/>
              <c:yMode val="edge"/>
              <c:x val="1.6620027047080571E-2"/>
              <c:y val="0.399090801820880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114816"/>
        <c:crossesAt val="6.2500000000000014E-2"/>
        <c:crossBetween val="midCat"/>
        <c:majorUnit val="0.25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6801</xdr:colOff>
      <xdr:row>4</xdr:row>
      <xdr:rowOff>16328</xdr:rowOff>
    </xdr:from>
    <xdr:to>
      <xdr:col>41</xdr:col>
      <xdr:colOff>367391</xdr:colOff>
      <xdr:row>42</xdr:row>
      <xdr:rowOff>27214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417C4D-F47F-4CB1-B1EC-53EF61AEA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45</xdr:row>
      <xdr:rowOff>16328</xdr:rowOff>
    </xdr:from>
    <xdr:to>
      <xdr:col>15</xdr:col>
      <xdr:colOff>0</xdr:colOff>
      <xdr:row>83</xdr:row>
      <xdr:rowOff>27214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F65985F-E367-48B1-BD93-0838287A1B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501650</xdr:colOff>
      <xdr:row>2</xdr:row>
      <xdr:rowOff>6350</xdr:rowOff>
    </xdr:from>
    <xdr:to>
      <xdr:col>42</xdr:col>
      <xdr:colOff>292100</xdr:colOff>
      <xdr:row>40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88FBD1-23E1-4262-B7F5-6A5281A201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422563</xdr:colOff>
      <xdr:row>3</xdr:row>
      <xdr:rowOff>41563</xdr:rowOff>
    </xdr:from>
    <xdr:to>
      <xdr:col>42</xdr:col>
      <xdr:colOff>332508</xdr:colOff>
      <xdr:row>46</xdr:row>
      <xdr:rowOff>69272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808363-4F1A-476D-856C-952C942900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381000</xdr:colOff>
      <xdr:row>1</xdr:row>
      <xdr:rowOff>304800</xdr:rowOff>
    </xdr:from>
    <xdr:to>
      <xdr:col>38</xdr:col>
      <xdr:colOff>498764</xdr:colOff>
      <xdr:row>42</xdr:row>
      <xdr:rowOff>55417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4921B4-5B75-48DB-A69D-C726E9018C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290286</xdr:colOff>
      <xdr:row>2</xdr:row>
      <xdr:rowOff>84668</xdr:rowOff>
    </xdr:from>
    <xdr:to>
      <xdr:col>71</xdr:col>
      <xdr:colOff>449742</xdr:colOff>
      <xdr:row>28</xdr:row>
      <xdr:rowOff>38403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ED320D-CE8A-9A44-8BDA-E64417B50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41</xdr:col>
      <xdr:colOff>0</xdr:colOff>
      <xdr:row>29</xdr:row>
      <xdr:rowOff>18144</xdr:rowOff>
    </xdr:from>
    <xdr:to>
      <xdr:col>53</xdr:col>
      <xdr:colOff>152400</xdr:colOff>
      <xdr:row>55</xdr:row>
      <xdr:rowOff>70656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08BABFE-FFB8-494E-A2DA-7A80334A07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380999</xdr:colOff>
      <xdr:row>2</xdr:row>
      <xdr:rowOff>53620</xdr:rowOff>
    </xdr:from>
    <xdr:to>
      <xdr:col>62</xdr:col>
      <xdr:colOff>530576</xdr:colOff>
      <xdr:row>28</xdr:row>
      <xdr:rowOff>19048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ADD43B-09D6-1B40-BE2E-3912C99F2E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220134</xdr:colOff>
      <xdr:row>29</xdr:row>
      <xdr:rowOff>16934</xdr:rowOff>
    </xdr:from>
    <xdr:to>
      <xdr:col>46</xdr:col>
      <xdr:colOff>694267</xdr:colOff>
      <xdr:row>54</xdr:row>
      <xdr:rowOff>16227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E089AD1-91C6-DD44-9131-EC6249FF3F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99229</xdr:colOff>
      <xdr:row>41</xdr:row>
      <xdr:rowOff>135449</xdr:rowOff>
    </xdr:from>
    <xdr:to>
      <xdr:col>30</xdr:col>
      <xdr:colOff>240371</xdr:colOff>
      <xdr:row>67</xdr:row>
      <xdr:rowOff>144616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5AA077-78EF-714C-91B4-D3A6F79A3C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21257</xdr:colOff>
      <xdr:row>79</xdr:row>
      <xdr:rowOff>138869</xdr:rowOff>
    </xdr:from>
    <xdr:to>
      <xdr:col>36</xdr:col>
      <xdr:colOff>52717</xdr:colOff>
      <xdr:row>105</xdr:row>
      <xdr:rowOff>99938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468F30-260B-F34D-A2D1-FDADEABD62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CFF94-1E54-48A2-8066-264456F97FB6}">
  <dimension ref="A1:J56"/>
  <sheetViews>
    <sheetView zoomScaleNormal="70" workbookViewId="0">
      <selection activeCell="H10" sqref="H10:J11"/>
    </sheetView>
  </sheetViews>
  <sheetFormatPr baseColWidth="10" defaultColWidth="8.83203125" defaultRowHeight="15"/>
  <cols>
    <col min="1" max="1" width="23.33203125" bestFit="1" customWidth="1"/>
  </cols>
  <sheetData>
    <row r="1" spans="1:10">
      <c r="A1" s="7"/>
      <c r="B1" s="142" t="s">
        <v>42</v>
      </c>
      <c r="C1" s="143"/>
      <c r="D1" s="144"/>
    </row>
    <row r="2" spans="1:10">
      <c r="A2" s="11" t="s">
        <v>43</v>
      </c>
      <c r="B2" s="141" t="s">
        <v>44</v>
      </c>
      <c r="C2" s="141"/>
      <c r="D2" s="141"/>
      <c r="H2" t="s">
        <v>134</v>
      </c>
      <c r="I2" t="s">
        <v>135</v>
      </c>
    </row>
    <row r="3" spans="1:10">
      <c r="A3" s="11" t="s">
        <v>45</v>
      </c>
      <c r="B3" s="148" t="s">
        <v>46</v>
      </c>
      <c r="C3" s="149"/>
      <c r="D3" s="150"/>
      <c r="F3" s="136" t="s">
        <v>137</v>
      </c>
      <c r="G3" s="136"/>
      <c r="H3">
        <v>0.98</v>
      </c>
      <c r="I3">
        <v>250</v>
      </c>
      <c r="J3" t="s">
        <v>136</v>
      </c>
    </row>
    <row r="4" spans="1:10">
      <c r="A4" s="145" t="s">
        <v>47</v>
      </c>
      <c r="B4" s="7" t="s">
        <v>51</v>
      </c>
      <c r="C4" s="7" t="s">
        <v>52</v>
      </c>
      <c r="D4" s="7" t="s">
        <v>53</v>
      </c>
    </row>
    <row r="5" spans="1:10">
      <c r="A5" s="146"/>
      <c r="B5" s="7" t="s">
        <v>48</v>
      </c>
      <c r="C5" s="7" t="s">
        <v>49</v>
      </c>
      <c r="D5" s="7" t="s">
        <v>50</v>
      </c>
    </row>
    <row r="6" spans="1:10">
      <c r="A6" s="146"/>
      <c r="B6" s="7" t="s">
        <v>54</v>
      </c>
      <c r="C6" s="7" t="s">
        <v>49</v>
      </c>
      <c r="D6" s="7" t="s">
        <v>50</v>
      </c>
      <c r="G6" s="30"/>
      <c r="H6" t="s">
        <v>138</v>
      </c>
    </row>
    <row r="7" spans="1:10">
      <c r="A7" s="147"/>
      <c r="B7" s="7" t="s">
        <v>55</v>
      </c>
      <c r="C7" s="7" t="s">
        <v>56</v>
      </c>
      <c r="D7" s="7" t="s">
        <v>57</v>
      </c>
      <c r="G7" s="32"/>
      <c r="H7" t="s">
        <v>139</v>
      </c>
    </row>
    <row r="8" spans="1:10">
      <c r="A8" s="11" t="s">
        <v>58</v>
      </c>
      <c r="B8" s="141" t="s">
        <v>59</v>
      </c>
      <c r="C8" s="141"/>
      <c r="D8" s="141"/>
    </row>
    <row r="9" spans="1:10">
      <c r="A9" s="11" t="s">
        <v>60</v>
      </c>
      <c r="B9" s="141" t="s">
        <v>48</v>
      </c>
      <c r="C9" s="141"/>
      <c r="D9" s="141"/>
    </row>
    <row r="10" spans="1:10">
      <c r="H10" s="177" t="s">
        <v>255</v>
      </c>
      <c r="I10" s="177"/>
      <c r="J10" s="177"/>
    </row>
    <row r="11" spans="1:10">
      <c r="H11" s="177"/>
      <c r="I11" s="177"/>
      <c r="J11" s="177"/>
    </row>
    <row r="13" spans="1:10" ht="18">
      <c r="A13" s="63" t="s">
        <v>62</v>
      </c>
      <c r="B13" s="137" t="s">
        <v>63</v>
      </c>
      <c r="C13" s="137"/>
    </row>
    <row r="14" spans="1:10">
      <c r="A14" t="s">
        <v>64</v>
      </c>
      <c r="B14" s="136" t="s">
        <v>65</v>
      </c>
      <c r="C14" s="136"/>
    </row>
    <row r="15" spans="1:10">
      <c r="A15" t="s">
        <v>66</v>
      </c>
      <c r="B15" s="136" t="s">
        <v>65</v>
      </c>
      <c r="C15" s="136"/>
    </row>
    <row r="16" spans="1:10" ht="18">
      <c r="A16" s="25" t="s">
        <v>67</v>
      </c>
      <c r="B16" s="140" t="s">
        <v>68</v>
      </c>
      <c r="C16" s="140"/>
    </row>
    <row r="17" spans="1:3">
      <c r="A17" t="s">
        <v>43</v>
      </c>
      <c r="B17" s="136" t="s">
        <v>69</v>
      </c>
      <c r="C17" s="136"/>
    </row>
    <row r="18" spans="1:3">
      <c r="A18" t="s">
        <v>70</v>
      </c>
      <c r="B18" s="136" t="s">
        <v>71</v>
      </c>
      <c r="C18" s="136"/>
    </row>
    <row r="19" spans="1:3">
      <c r="A19" t="s">
        <v>72</v>
      </c>
      <c r="B19" s="136" t="s">
        <v>59</v>
      </c>
      <c r="C19" s="136"/>
    </row>
    <row r="20" spans="1:3">
      <c r="A20" t="s">
        <v>73</v>
      </c>
      <c r="B20" s="136" t="s">
        <v>48</v>
      </c>
      <c r="C20" s="136"/>
    </row>
    <row r="21" spans="1:3">
      <c r="A21" t="s">
        <v>74</v>
      </c>
      <c r="B21" s="136" t="s">
        <v>75</v>
      </c>
      <c r="C21" s="136"/>
    </row>
    <row r="22" spans="1:3">
      <c r="A22" t="s">
        <v>76</v>
      </c>
      <c r="B22" s="136" t="s">
        <v>77</v>
      </c>
      <c r="C22" s="136"/>
    </row>
    <row r="23" spans="1:3" ht="18">
      <c r="A23" s="25" t="s">
        <v>78</v>
      </c>
      <c r="B23" s="140" t="s">
        <v>79</v>
      </c>
      <c r="C23" s="140"/>
    </row>
    <row r="24" spans="1:3">
      <c r="A24" t="s">
        <v>80</v>
      </c>
      <c r="B24" s="136" t="s">
        <v>81</v>
      </c>
      <c r="C24" s="136"/>
    </row>
    <row r="25" spans="1:3">
      <c r="A25" t="s">
        <v>82</v>
      </c>
      <c r="B25" s="136" t="s">
        <v>83</v>
      </c>
      <c r="C25" s="136"/>
    </row>
    <row r="26" spans="1:3">
      <c r="A26" t="s">
        <v>84</v>
      </c>
      <c r="B26" s="136" t="s">
        <v>85</v>
      </c>
      <c r="C26" s="136"/>
    </row>
    <row r="27" spans="1:3">
      <c r="A27" t="s">
        <v>86</v>
      </c>
      <c r="B27" s="136" t="s">
        <v>87</v>
      </c>
      <c r="C27" s="136"/>
    </row>
    <row r="28" spans="1:3" ht="18">
      <c r="A28" s="26" t="s">
        <v>45</v>
      </c>
      <c r="B28" s="139" t="s">
        <v>88</v>
      </c>
      <c r="C28" s="139"/>
    </row>
    <row r="29" spans="1:3">
      <c r="A29" t="s">
        <v>89</v>
      </c>
      <c r="B29" s="136" t="s">
        <v>46</v>
      </c>
      <c r="C29" s="136"/>
    </row>
    <row r="30" spans="1:3">
      <c r="A30" t="s">
        <v>90</v>
      </c>
      <c r="B30" s="136" t="s">
        <v>91</v>
      </c>
      <c r="C30" s="136"/>
    </row>
    <row r="31" spans="1:3" ht="18">
      <c r="A31" s="139" t="s">
        <v>92</v>
      </c>
      <c r="B31" s="139"/>
      <c r="C31" s="139"/>
    </row>
    <row r="32" spans="1:3">
      <c r="A32" t="s">
        <v>93</v>
      </c>
      <c r="B32" s="136" t="s">
        <v>94</v>
      </c>
      <c r="C32" s="136"/>
    </row>
    <row r="33" spans="1:3">
      <c r="A33" t="s">
        <v>95</v>
      </c>
      <c r="B33" s="136" t="s">
        <v>96</v>
      </c>
      <c r="C33" s="136"/>
    </row>
    <row r="34" spans="1:3" ht="18">
      <c r="A34" s="139" t="s">
        <v>97</v>
      </c>
      <c r="B34" s="139"/>
      <c r="C34" s="139"/>
    </row>
    <row r="35" spans="1:3">
      <c r="A35" t="s">
        <v>98</v>
      </c>
      <c r="B35" s="138" t="s">
        <v>99</v>
      </c>
      <c r="C35" s="138"/>
    </row>
    <row r="36" spans="1:3">
      <c r="A36" t="s">
        <v>61</v>
      </c>
      <c r="B36" s="136">
        <v>130</v>
      </c>
      <c r="C36" s="136"/>
    </row>
    <row r="37" spans="1:3">
      <c r="A37" t="s">
        <v>100</v>
      </c>
      <c r="B37" s="136">
        <v>1</v>
      </c>
      <c r="C37" s="136"/>
    </row>
    <row r="38" spans="1:3" ht="28.75" customHeight="1">
      <c r="A38" t="s">
        <v>101</v>
      </c>
      <c r="B38" s="136">
        <v>294</v>
      </c>
      <c r="C38" s="136"/>
    </row>
    <row r="39" spans="1:3" ht="18">
      <c r="A39" s="139" t="s">
        <v>102</v>
      </c>
      <c r="B39" s="139"/>
      <c r="C39" s="139"/>
    </row>
    <row r="40" spans="1:3">
      <c r="A40" t="s">
        <v>103</v>
      </c>
      <c r="B40" s="136" t="s">
        <v>104</v>
      </c>
      <c r="C40" s="136"/>
    </row>
    <row r="41" spans="1:3">
      <c r="A41" t="s">
        <v>105</v>
      </c>
      <c r="B41" s="136" t="s">
        <v>106</v>
      </c>
      <c r="C41" s="136"/>
    </row>
    <row r="42" spans="1:3">
      <c r="A42" t="s">
        <v>107</v>
      </c>
      <c r="B42" s="136" t="s">
        <v>108</v>
      </c>
      <c r="C42" s="136"/>
    </row>
    <row r="43" spans="1:3">
      <c r="A43" t="s">
        <v>109</v>
      </c>
      <c r="B43" s="136" t="s">
        <v>110</v>
      </c>
      <c r="C43" s="136"/>
    </row>
    <row r="44" spans="1:3">
      <c r="A44" t="s">
        <v>111</v>
      </c>
      <c r="B44" s="136" t="s">
        <v>112</v>
      </c>
      <c r="C44" s="136"/>
    </row>
    <row r="45" spans="1:3" ht="18">
      <c r="A45" s="139" t="s">
        <v>113</v>
      </c>
      <c r="B45" s="139"/>
      <c r="C45" s="139"/>
    </row>
    <row r="46" spans="1:3">
      <c r="A46" t="s">
        <v>114</v>
      </c>
      <c r="B46" s="136" t="s">
        <v>115</v>
      </c>
      <c r="C46" s="136"/>
    </row>
    <row r="47" spans="1:3">
      <c r="A47" t="s">
        <v>116</v>
      </c>
      <c r="B47" s="136" t="s">
        <v>117</v>
      </c>
      <c r="C47" s="136"/>
    </row>
    <row r="48" spans="1:3">
      <c r="A48" t="s">
        <v>118</v>
      </c>
      <c r="B48" s="136" t="s">
        <v>119</v>
      </c>
      <c r="C48" s="136"/>
    </row>
    <row r="49" spans="1:3" ht="18">
      <c r="A49" s="139" t="s">
        <v>120</v>
      </c>
      <c r="B49" s="139"/>
      <c r="C49" s="139"/>
    </row>
    <row r="50" spans="1:3">
      <c r="A50" s="136" t="s">
        <v>121</v>
      </c>
      <c r="B50" s="136"/>
      <c r="C50" s="136"/>
    </row>
    <row r="51" spans="1:3" ht="18">
      <c r="A51" s="139" t="s">
        <v>122</v>
      </c>
      <c r="B51" s="139"/>
      <c r="C51" s="139"/>
    </row>
    <row r="52" spans="1:3">
      <c r="A52" s="136" t="s">
        <v>123</v>
      </c>
      <c r="B52" s="136"/>
      <c r="C52" s="136"/>
    </row>
    <row r="53" spans="1:3">
      <c r="A53" s="136" t="s">
        <v>124</v>
      </c>
      <c r="B53" s="136"/>
      <c r="C53" s="136"/>
    </row>
    <row r="54" spans="1:3">
      <c r="A54" t="s">
        <v>125</v>
      </c>
      <c r="B54" s="136" t="s">
        <v>126</v>
      </c>
      <c r="C54" s="136"/>
    </row>
    <row r="55" spans="1:3">
      <c r="A55" t="s">
        <v>127</v>
      </c>
      <c r="B55" s="136" t="s">
        <v>128</v>
      </c>
      <c r="C55" s="136"/>
    </row>
    <row r="56" spans="1:3">
      <c r="A56" t="s">
        <v>129</v>
      </c>
      <c r="B56" s="136" t="s">
        <v>130</v>
      </c>
      <c r="C56" s="136"/>
    </row>
  </sheetData>
  <mergeCells count="52">
    <mergeCell ref="H10:J11"/>
    <mergeCell ref="F3:G3"/>
    <mergeCell ref="B1:D1"/>
    <mergeCell ref="A4:A7"/>
    <mergeCell ref="B2:D2"/>
    <mergeCell ref="B3:D3"/>
    <mergeCell ref="B8:D8"/>
    <mergeCell ref="B16:C16"/>
    <mergeCell ref="B17:C17"/>
    <mergeCell ref="B18:C18"/>
    <mergeCell ref="B19:C19"/>
    <mergeCell ref="B9:D9"/>
    <mergeCell ref="B32:C32"/>
    <mergeCell ref="B20:C20"/>
    <mergeCell ref="B21:C21"/>
    <mergeCell ref="B22:C22"/>
    <mergeCell ref="B23:C23"/>
    <mergeCell ref="B24:C24"/>
    <mergeCell ref="B25:C25"/>
    <mergeCell ref="B26:C26"/>
    <mergeCell ref="B28:C28"/>
    <mergeCell ref="B29:C29"/>
    <mergeCell ref="B30:C30"/>
    <mergeCell ref="A31:C31"/>
    <mergeCell ref="B46:C46"/>
    <mergeCell ref="B33:C33"/>
    <mergeCell ref="A34:C34"/>
    <mergeCell ref="B36:C36"/>
    <mergeCell ref="B37:C37"/>
    <mergeCell ref="A39:C39"/>
    <mergeCell ref="B40:C40"/>
    <mergeCell ref="B41:C41"/>
    <mergeCell ref="B42:C42"/>
    <mergeCell ref="B43:C43"/>
    <mergeCell ref="B44:C44"/>
    <mergeCell ref="A45:C45"/>
    <mergeCell ref="A53:C53"/>
    <mergeCell ref="B54:C54"/>
    <mergeCell ref="B55:C55"/>
    <mergeCell ref="B56:C56"/>
    <mergeCell ref="B13:C13"/>
    <mergeCell ref="B15:C15"/>
    <mergeCell ref="B14:C14"/>
    <mergeCell ref="B27:C27"/>
    <mergeCell ref="B35:C35"/>
    <mergeCell ref="B38:C38"/>
    <mergeCell ref="B47:C47"/>
    <mergeCell ref="B48:C48"/>
    <mergeCell ref="A49:C49"/>
    <mergeCell ref="A50:C50"/>
    <mergeCell ref="A51:C51"/>
    <mergeCell ref="A52:C5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48159-F2E0-43FF-95AD-81F46DF50AB8}">
  <dimension ref="A1:X260"/>
  <sheetViews>
    <sheetView zoomScale="90" zoomScaleNormal="90" workbookViewId="0">
      <selection activeCell="N6" sqref="N6"/>
    </sheetView>
  </sheetViews>
  <sheetFormatPr baseColWidth="10" defaultColWidth="8.83203125" defaultRowHeight="15"/>
  <cols>
    <col min="1" max="1" width="11" style="18" customWidth="1"/>
    <col min="3" max="3" width="9.33203125" customWidth="1"/>
    <col min="8" max="8" width="8.83203125" style="18"/>
    <col min="17" max="17" width="11.5" customWidth="1"/>
  </cols>
  <sheetData>
    <row r="1" spans="1:24" ht="21">
      <c r="B1" s="175" t="s">
        <v>256</v>
      </c>
      <c r="C1" s="176"/>
      <c r="D1" s="176"/>
      <c r="E1" s="176"/>
      <c r="F1" s="176"/>
      <c r="G1" s="176"/>
      <c r="H1" s="176"/>
      <c r="I1" s="176"/>
      <c r="J1" s="176"/>
    </row>
    <row r="2" spans="1:24" s="2" customFormat="1" ht="26">
      <c r="A2" s="1"/>
      <c r="B2" s="151" t="s">
        <v>131</v>
      </c>
      <c r="C2" s="151"/>
      <c r="D2" s="151"/>
      <c r="E2" s="151"/>
      <c r="F2" s="151"/>
      <c r="G2"/>
      <c r="H2" s="152" t="s">
        <v>132</v>
      </c>
      <c r="I2" s="152"/>
      <c r="J2" s="152"/>
      <c r="K2" s="152"/>
      <c r="L2" s="152"/>
      <c r="M2" s="152"/>
      <c r="Q2" s="1" t="s">
        <v>0</v>
      </c>
    </row>
    <row r="3" spans="1:24" ht="15" customHeight="1">
      <c r="A3" s="1"/>
      <c r="B3" s="27" t="s">
        <v>3</v>
      </c>
      <c r="C3" s="41" t="s">
        <v>21</v>
      </c>
      <c r="D3" s="42" t="s">
        <v>22</v>
      </c>
      <c r="E3" s="42" t="s">
        <v>23</v>
      </c>
      <c r="F3" s="42" t="s">
        <v>24</v>
      </c>
      <c r="I3" s="28" t="s">
        <v>3</v>
      </c>
      <c r="J3" s="28" t="s">
        <v>21</v>
      </c>
      <c r="K3" s="28" t="s">
        <v>22</v>
      </c>
      <c r="L3" s="28" t="s">
        <v>23</v>
      </c>
      <c r="M3" s="28" t="s">
        <v>24</v>
      </c>
      <c r="N3" s="9"/>
      <c r="Q3" s="5" t="s">
        <v>20</v>
      </c>
      <c r="U3" s="5" t="s">
        <v>26</v>
      </c>
    </row>
    <row r="4" spans="1:24">
      <c r="A4" s="3" t="s">
        <v>4</v>
      </c>
      <c r="B4" s="4">
        <v>2.2410000000000001</v>
      </c>
      <c r="C4" s="33"/>
      <c r="D4" s="43"/>
      <c r="E4" s="43"/>
      <c r="F4" s="43"/>
      <c r="H4" s="3" t="s">
        <v>4</v>
      </c>
      <c r="I4" s="34">
        <v>0</v>
      </c>
      <c r="J4" s="43"/>
      <c r="K4" s="43"/>
      <c r="L4" s="43"/>
      <c r="M4" s="43"/>
    </row>
    <row r="5" spans="1:24">
      <c r="A5" s="3">
        <v>0</v>
      </c>
      <c r="B5" s="4">
        <v>602.08299999999997</v>
      </c>
      <c r="C5" s="33"/>
      <c r="D5" s="43"/>
      <c r="E5" s="43"/>
      <c r="F5" s="43"/>
      <c r="H5" s="3">
        <v>0</v>
      </c>
      <c r="I5" s="4">
        <v>364.565</v>
      </c>
      <c r="J5" s="43"/>
      <c r="K5" s="43"/>
      <c r="L5" s="43"/>
      <c r="M5" s="43"/>
      <c r="Q5" s="7" t="s">
        <v>2</v>
      </c>
      <c r="R5" s="7" t="s">
        <v>1</v>
      </c>
      <c r="S5" s="7" t="s">
        <v>25</v>
      </c>
      <c r="V5" s="7" t="s">
        <v>2</v>
      </c>
      <c r="W5" s="7" t="s">
        <v>1</v>
      </c>
      <c r="X5" s="7" t="s">
        <v>25</v>
      </c>
    </row>
    <row r="6" spans="1:24">
      <c r="A6" s="3">
        <v>0</v>
      </c>
      <c r="B6" s="4">
        <v>603.30899999999997</v>
      </c>
      <c r="C6" s="33"/>
      <c r="D6" s="43"/>
      <c r="E6" s="43"/>
      <c r="F6" s="43"/>
      <c r="H6" s="3">
        <v>0</v>
      </c>
      <c r="I6" s="4">
        <v>356.00700000000001</v>
      </c>
      <c r="J6" s="43"/>
      <c r="K6" s="43"/>
      <c r="L6" s="43"/>
      <c r="M6" s="43"/>
      <c r="Q6" s="12">
        <v>0</v>
      </c>
      <c r="R6" s="14">
        <f>AVERAGE(B5:F7)</f>
        <v>601.2443333333332</v>
      </c>
      <c r="S6" s="14">
        <f>AVERAGE(I5:M7)</f>
        <v>358.44966666666664</v>
      </c>
      <c r="T6" s="13"/>
      <c r="V6" s="12">
        <v>0</v>
      </c>
      <c r="W6" s="14">
        <f>STDEV(B5:F7)</f>
        <v>2.5880064399713576</v>
      </c>
      <c r="X6" s="14">
        <f>STDEV(I5:M7)</f>
        <v>5.3316227673507957</v>
      </c>
    </row>
    <row r="7" spans="1:24">
      <c r="A7" s="3">
        <v>0</v>
      </c>
      <c r="B7" s="4">
        <v>598.34100000000001</v>
      </c>
      <c r="C7" s="33"/>
      <c r="D7" s="43"/>
      <c r="E7" s="43"/>
      <c r="F7" s="43"/>
      <c r="H7" s="3">
        <v>0</v>
      </c>
      <c r="I7" s="4">
        <v>354.77699999999999</v>
      </c>
      <c r="J7" s="43"/>
      <c r="K7" s="43"/>
      <c r="L7" s="43"/>
      <c r="M7" s="43"/>
      <c r="Q7" s="11">
        <v>0.05</v>
      </c>
      <c r="R7" s="14">
        <f>AVERAGE(B9:F11)</f>
        <v>472.94249999999994</v>
      </c>
      <c r="S7" s="14">
        <f>AVERAGE(I9:M11)</f>
        <v>610.97783333333336</v>
      </c>
      <c r="T7" s="13"/>
      <c r="V7" s="11">
        <v>0.05</v>
      </c>
      <c r="W7" s="14">
        <f>STDEV(B9:F11)</f>
        <v>656.15429505823067</v>
      </c>
      <c r="X7" s="14">
        <f>STDEV(I9:M11)</f>
        <v>679.61262883469578</v>
      </c>
    </row>
    <row r="8" spans="1:24">
      <c r="A8" s="3" t="s">
        <v>4</v>
      </c>
      <c r="B8" s="31">
        <v>0</v>
      </c>
      <c r="C8" s="34">
        <v>0.69299999999999995</v>
      </c>
      <c r="D8" s="43"/>
      <c r="E8" s="43"/>
      <c r="F8" s="43"/>
      <c r="H8" s="3" t="s">
        <v>4</v>
      </c>
      <c r="I8" s="34">
        <v>0</v>
      </c>
      <c r="J8" s="34">
        <v>0</v>
      </c>
      <c r="K8" s="43"/>
      <c r="L8" s="43"/>
      <c r="M8" s="43"/>
      <c r="Q8" s="11">
        <v>0.1</v>
      </c>
      <c r="R8" s="14">
        <f>AVERAGE(B13:F15)</f>
        <v>418.85466666666662</v>
      </c>
      <c r="S8" s="14">
        <f>AVERAGE(I13:M15)</f>
        <v>770.43783333333329</v>
      </c>
      <c r="T8" s="13"/>
      <c r="V8" s="11">
        <v>0.1</v>
      </c>
      <c r="W8" s="14">
        <f>STDEV(B13:F15)</f>
        <v>475.4606979674524</v>
      </c>
      <c r="X8" s="14">
        <f>STDEV(I13:M15)</f>
        <v>744.0746012375904</v>
      </c>
    </row>
    <row r="9" spans="1:24">
      <c r="A9" s="3">
        <v>5</v>
      </c>
      <c r="B9" s="33"/>
      <c r="C9" s="4">
        <v>53.276000000000003</v>
      </c>
      <c r="D9" s="4">
        <v>124.124</v>
      </c>
      <c r="E9" s="4">
        <v>171.34700000000001</v>
      </c>
      <c r="F9" s="4">
        <v>1554.9849999999999</v>
      </c>
      <c r="H9" s="3">
        <v>5</v>
      </c>
      <c r="I9" s="33"/>
      <c r="J9" s="36">
        <v>0</v>
      </c>
      <c r="K9" s="4">
        <v>209.32900000000001</v>
      </c>
      <c r="L9" s="4">
        <v>438.98200000000003</v>
      </c>
      <c r="M9" s="4">
        <v>1756.6279999999999</v>
      </c>
      <c r="Q9" s="11">
        <v>0.15</v>
      </c>
      <c r="R9" s="14">
        <f>AVERAGE(B17:F19)</f>
        <v>316.03113333333334</v>
      </c>
      <c r="S9" s="14">
        <f>AVERAGE(I17:M19)</f>
        <v>712.2166666666667</v>
      </c>
      <c r="T9" s="13"/>
      <c r="V9" s="11">
        <v>0.15</v>
      </c>
      <c r="W9" s="14">
        <f>STDEV(B17:F19)</f>
        <v>331.96766914562772</v>
      </c>
      <c r="X9" s="14">
        <f>STDEV(I17:M19)</f>
        <v>793.71213380640972</v>
      </c>
    </row>
    <row r="10" spans="1:24">
      <c r="A10" s="3">
        <v>5</v>
      </c>
      <c r="B10" s="33"/>
      <c r="C10" s="4">
        <v>53.642000000000003</v>
      </c>
      <c r="D10" s="4">
        <v>124.014</v>
      </c>
      <c r="E10" s="4">
        <v>150.53299999999999</v>
      </c>
      <c r="F10" s="4">
        <v>1567.8130000000001</v>
      </c>
      <c r="H10" s="3">
        <v>5</v>
      </c>
      <c r="I10" s="33"/>
      <c r="J10" s="36">
        <v>0</v>
      </c>
      <c r="K10" s="4">
        <v>206.65100000000001</v>
      </c>
      <c r="L10" s="4">
        <v>628.15099999999995</v>
      </c>
      <c r="M10" s="4">
        <v>1739.078</v>
      </c>
      <c r="Q10" s="11">
        <v>0.2</v>
      </c>
      <c r="R10" s="14">
        <f>AVERAGE(B21:F23)</f>
        <v>221.76350000000002</v>
      </c>
      <c r="S10" s="14">
        <f>AVERAGE(I21:M23)</f>
        <v>711.44066666666674</v>
      </c>
      <c r="T10" s="13"/>
      <c r="V10" s="11">
        <v>0.2</v>
      </c>
      <c r="W10" s="14">
        <f>STDEV(B21:F23)</f>
        <v>250.01971670013984</v>
      </c>
      <c r="X10" s="14">
        <f>STDEV(I21:M23)</f>
        <v>706.98794006948742</v>
      </c>
    </row>
    <row r="11" spans="1:24">
      <c r="A11" s="3">
        <v>5</v>
      </c>
      <c r="B11" s="33"/>
      <c r="C11" s="4">
        <v>53.640999999999998</v>
      </c>
      <c r="D11" s="4">
        <v>124.455</v>
      </c>
      <c r="E11" s="4">
        <v>142.90899999999999</v>
      </c>
      <c r="F11" s="4">
        <v>1554.5709999999999</v>
      </c>
      <c r="H11" s="3">
        <v>5</v>
      </c>
      <c r="I11" s="33"/>
      <c r="J11" s="36">
        <v>0</v>
      </c>
      <c r="K11" s="4">
        <v>197.53200000000001</v>
      </c>
      <c r="L11" s="4">
        <v>622.53200000000004</v>
      </c>
      <c r="M11" s="4">
        <v>1532.8510000000001</v>
      </c>
      <c r="Q11" s="11">
        <v>0.25</v>
      </c>
      <c r="R11" s="14">
        <f>AVERAGE(B25:F27)</f>
        <v>155.07566666666668</v>
      </c>
      <c r="S11" s="14">
        <f>AVERAGE(I25:M27)</f>
        <v>501.09724999999997</v>
      </c>
      <c r="T11" s="13"/>
      <c r="V11" s="11">
        <v>0.25</v>
      </c>
      <c r="W11" s="14">
        <f>STDEV(B25:F27)</f>
        <v>178.75301792968335</v>
      </c>
      <c r="X11" s="14">
        <f>STDEV(I25:M27)</f>
        <v>502.06183709273483</v>
      </c>
    </row>
    <row r="12" spans="1:24">
      <c r="A12" s="3" t="s">
        <v>5</v>
      </c>
      <c r="B12" s="33"/>
      <c r="C12" s="34">
        <v>0.71599999999999997</v>
      </c>
      <c r="D12" s="34">
        <v>0</v>
      </c>
      <c r="E12" s="34">
        <v>0</v>
      </c>
      <c r="F12" s="34">
        <v>0</v>
      </c>
      <c r="H12" s="3" t="s">
        <v>19</v>
      </c>
      <c r="I12" s="33"/>
      <c r="J12" s="34">
        <v>0</v>
      </c>
      <c r="K12" s="34">
        <v>0</v>
      </c>
      <c r="L12" s="34">
        <v>0</v>
      </c>
      <c r="M12" s="34">
        <v>0</v>
      </c>
      <c r="Q12" s="11">
        <v>0.3</v>
      </c>
      <c r="R12" s="14">
        <f>AVERAGE(B29:F31)</f>
        <v>103.35658333333333</v>
      </c>
      <c r="S12" s="14">
        <f>AVERAGE(I29:M31)</f>
        <v>396.97291666666661</v>
      </c>
      <c r="T12" s="13"/>
      <c r="V12" s="11">
        <v>0.3</v>
      </c>
      <c r="W12" s="14">
        <f>STDEV(B29:F31)</f>
        <v>139.96290981052371</v>
      </c>
      <c r="X12" s="14">
        <f>STDEV(I29:M31)</f>
        <v>340.25946791060892</v>
      </c>
    </row>
    <row r="13" spans="1:24">
      <c r="A13" s="3">
        <v>10</v>
      </c>
      <c r="B13" s="33"/>
      <c r="C13" s="4">
        <v>17.777999999999999</v>
      </c>
      <c r="D13" s="4">
        <v>118.83</v>
      </c>
      <c r="E13" s="4">
        <v>355.40300000000002</v>
      </c>
      <c r="F13" s="4">
        <v>1161.33</v>
      </c>
      <c r="H13" s="3">
        <v>10</v>
      </c>
      <c r="I13" s="33"/>
      <c r="J13" s="4">
        <v>160.774</v>
      </c>
      <c r="K13" s="4">
        <v>190.851</v>
      </c>
      <c r="L13" s="4">
        <v>1080.377</v>
      </c>
      <c r="M13" s="4">
        <v>1884.241</v>
      </c>
      <c r="Q13" s="11">
        <v>0.35</v>
      </c>
      <c r="R13" s="14">
        <f>AVERAGE(B33:F35)</f>
        <v>78.204166666666666</v>
      </c>
      <c r="S13" s="14">
        <f>AVERAGE(I33:M35)</f>
        <v>299.06766666666664</v>
      </c>
      <c r="T13" s="13"/>
      <c r="V13" s="11">
        <v>0.35</v>
      </c>
      <c r="W13" s="14">
        <f>STDEV(B33:F35)</f>
        <v>103.63759381950629</v>
      </c>
      <c r="X13" s="14">
        <f>STDEV(I33:M35)</f>
        <v>208.19492511382569</v>
      </c>
    </row>
    <row r="14" spans="1:24">
      <c r="A14" s="3">
        <v>10</v>
      </c>
      <c r="B14" s="33"/>
      <c r="C14" s="4">
        <v>17.597999999999999</v>
      </c>
      <c r="D14" s="4">
        <v>119.529</v>
      </c>
      <c r="E14" s="4">
        <v>355.78399999999999</v>
      </c>
      <c r="F14" s="4">
        <v>1167.4670000000001</v>
      </c>
      <c r="H14" s="3">
        <v>10</v>
      </c>
      <c r="I14" s="33"/>
      <c r="J14" s="4">
        <v>109.26</v>
      </c>
      <c r="K14" s="4">
        <v>181.41200000000001</v>
      </c>
      <c r="L14" s="4">
        <v>753.38300000000004</v>
      </c>
      <c r="M14" s="4">
        <v>1866.9690000000001</v>
      </c>
      <c r="Q14" s="11">
        <v>0.4</v>
      </c>
      <c r="R14" s="14">
        <f>AVERAGE(B37:F39)</f>
        <v>68.813499999999991</v>
      </c>
      <c r="S14" s="14">
        <f>AVERAGE(I37:M39)</f>
        <v>242.07816666666668</v>
      </c>
      <c r="T14" s="13"/>
      <c r="V14" s="11">
        <v>0.4</v>
      </c>
      <c r="W14" s="14">
        <f>STDEV(B37:F39)</f>
        <v>101.39424132966418</v>
      </c>
      <c r="X14" s="14">
        <f>STDEV(I37:M39)</f>
        <v>173.7031202791043</v>
      </c>
    </row>
    <row r="15" spans="1:24">
      <c r="A15" s="3">
        <v>10</v>
      </c>
      <c r="B15" s="33"/>
      <c r="C15" s="4">
        <v>18.016999999999999</v>
      </c>
      <c r="D15" s="4">
        <v>121.16200000000001</v>
      </c>
      <c r="E15" s="4">
        <v>370.96499999999997</v>
      </c>
      <c r="F15" s="4">
        <v>1202.393</v>
      </c>
      <c r="H15" s="3">
        <v>10</v>
      </c>
      <c r="I15" s="33"/>
      <c r="J15" s="4">
        <v>157.536</v>
      </c>
      <c r="K15" s="4">
        <v>167.375</v>
      </c>
      <c r="L15" s="4">
        <v>773.82899999999995</v>
      </c>
      <c r="M15" s="4">
        <v>1919.2470000000001</v>
      </c>
      <c r="Q15" s="11">
        <v>0.45</v>
      </c>
      <c r="R15" s="14">
        <f>AVERAGE(B41:F43)</f>
        <v>48.723083333333328</v>
      </c>
      <c r="S15" s="14">
        <f>AVERAGE(I41:M43)</f>
        <v>137.61916666666667</v>
      </c>
      <c r="T15" s="13"/>
      <c r="V15" s="11">
        <v>0.45</v>
      </c>
      <c r="W15" s="14">
        <f>STDEV(B41:F43)</f>
        <v>65.667371778267125</v>
      </c>
      <c r="X15" s="14">
        <f>STDEV(I41:M43)</f>
        <v>67.111332629016005</v>
      </c>
    </row>
    <row r="16" spans="1:24">
      <c r="A16" s="3" t="s">
        <v>5</v>
      </c>
      <c r="B16" s="33"/>
      <c r="C16" s="34">
        <v>0.67700000000000005</v>
      </c>
      <c r="D16" s="34">
        <v>0</v>
      </c>
      <c r="E16" s="34">
        <v>0</v>
      </c>
      <c r="F16" s="34">
        <v>0</v>
      </c>
      <c r="H16" s="3" t="s">
        <v>19</v>
      </c>
      <c r="I16" s="33"/>
      <c r="J16" s="34">
        <v>0</v>
      </c>
      <c r="K16" s="34">
        <v>0</v>
      </c>
      <c r="L16" s="34">
        <v>0</v>
      </c>
      <c r="M16" s="34">
        <v>0</v>
      </c>
      <c r="Q16" s="11">
        <v>0.5</v>
      </c>
      <c r="R16" s="14">
        <f>AVERAGE(B45:F47)</f>
        <v>41.694166666666668</v>
      </c>
      <c r="S16" s="14">
        <f>AVERAGE(I45:M47)</f>
        <v>106.82758333333334</v>
      </c>
      <c r="T16" s="13"/>
      <c r="V16" s="11">
        <v>0.5</v>
      </c>
      <c r="W16" s="14">
        <f>STDEV(B45:F47)</f>
        <v>53.318697983887141</v>
      </c>
      <c r="X16" s="14">
        <f>STDEV(I45:M47)</f>
        <v>29.287945868125373</v>
      </c>
    </row>
    <row r="17" spans="1:24">
      <c r="A17" s="15">
        <v>15</v>
      </c>
      <c r="B17" s="4">
        <v>190.91800000000001</v>
      </c>
      <c r="C17" s="4">
        <v>14.896000000000001</v>
      </c>
      <c r="D17" s="4">
        <v>26.640999999999998</v>
      </c>
      <c r="E17" s="4">
        <v>480.45100000000002</v>
      </c>
      <c r="F17" s="4">
        <v>857.01700000000005</v>
      </c>
      <c r="H17" s="15">
        <v>15</v>
      </c>
      <c r="I17" s="4">
        <v>140.98099999999999</v>
      </c>
      <c r="J17" s="4">
        <v>133.59299999999999</v>
      </c>
      <c r="K17" s="4">
        <v>220.48400000000001</v>
      </c>
      <c r="L17" s="4">
        <v>1173.443</v>
      </c>
      <c r="M17" s="4">
        <v>2064.8649999999998</v>
      </c>
      <c r="Q17" s="11">
        <v>0.55000000000000004</v>
      </c>
      <c r="R17" s="14">
        <f>AVERAGE(B49:F51)</f>
        <v>50.294000000000004</v>
      </c>
      <c r="S17" s="14">
        <f>AVERAGE(I49:M51)</f>
        <v>122.72183333333335</v>
      </c>
      <c r="T17" s="13"/>
      <c r="V17" s="11">
        <v>0.55000000000000004</v>
      </c>
      <c r="W17" s="14">
        <f>STDEV(B49:F51)</f>
        <v>45.640282546332806</v>
      </c>
      <c r="X17" s="14">
        <f>STDEV(I49:M51)</f>
        <v>49.149636617233021</v>
      </c>
    </row>
    <row r="18" spans="1:24">
      <c r="A18" s="15">
        <v>15</v>
      </c>
      <c r="B18" s="4">
        <v>187.30600000000001</v>
      </c>
      <c r="C18" s="4">
        <v>14.143000000000001</v>
      </c>
      <c r="D18" s="4">
        <v>26.768000000000001</v>
      </c>
      <c r="E18" s="4">
        <v>508.43099999999998</v>
      </c>
      <c r="F18" s="4">
        <v>854.02599999999995</v>
      </c>
      <c r="H18" s="15">
        <v>15</v>
      </c>
      <c r="I18" s="4">
        <v>140.38300000000001</v>
      </c>
      <c r="J18" s="4">
        <v>93.480999999999995</v>
      </c>
      <c r="K18" s="4">
        <v>221.83099999999999</v>
      </c>
      <c r="L18" s="4">
        <v>892.97500000000002</v>
      </c>
      <c r="M18" s="4">
        <v>2100.9479999999999</v>
      </c>
      <c r="Q18" s="11">
        <v>1</v>
      </c>
      <c r="R18" s="14">
        <f>AVERAGE(B53:F55)</f>
        <v>175.46293333333335</v>
      </c>
      <c r="S18" s="14">
        <f>AVERAGE(I53:M55)</f>
        <v>150.57920000000001</v>
      </c>
      <c r="T18" s="13"/>
      <c r="V18" s="11">
        <v>1</v>
      </c>
      <c r="W18" s="14">
        <f>STDEV(B53:F55)</f>
        <v>217.63118307995506</v>
      </c>
      <c r="X18" s="14">
        <f>STDEV(I53:M55)</f>
        <v>121.01685954692428</v>
      </c>
    </row>
    <row r="19" spans="1:24">
      <c r="A19" s="15">
        <v>15</v>
      </c>
      <c r="B19" s="4">
        <v>188.43799999999999</v>
      </c>
      <c r="C19" s="38">
        <v>13.938000000000001</v>
      </c>
      <c r="D19" s="4">
        <v>26.765000000000001</v>
      </c>
      <c r="E19" s="4">
        <v>494.03399999999999</v>
      </c>
      <c r="F19" s="4">
        <v>856.69500000000005</v>
      </c>
      <c r="H19" s="15">
        <v>15</v>
      </c>
      <c r="I19" s="4">
        <v>141.339</v>
      </c>
      <c r="J19" s="4">
        <v>134.887</v>
      </c>
      <c r="K19" s="4">
        <v>221.702</v>
      </c>
      <c r="L19" s="4">
        <v>861.58299999999997</v>
      </c>
      <c r="M19" s="4">
        <v>2140.7550000000001</v>
      </c>
      <c r="Q19" s="11">
        <v>2</v>
      </c>
      <c r="R19" s="14">
        <f>AVERAGE(B57:F59)</f>
        <v>91.971466666666686</v>
      </c>
      <c r="S19" s="14">
        <f>AVERAGE(I57:M59)</f>
        <v>151.46653333333333</v>
      </c>
      <c r="T19" s="13"/>
      <c r="V19" s="11">
        <v>2</v>
      </c>
      <c r="W19" s="14">
        <f>STDEV(B57:F59)</f>
        <v>136.43017484406059</v>
      </c>
      <c r="X19" s="14">
        <f>STDEV(I57:M59)</f>
        <v>73.997715343946922</v>
      </c>
    </row>
    <row r="20" spans="1:24">
      <c r="A20" s="15" t="s">
        <v>4</v>
      </c>
      <c r="B20" s="34">
        <v>0</v>
      </c>
      <c r="C20" s="34">
        <v>0.66</v>
      </c>
      <c r="D20" s="34">
        <v>0.67</v>
      </c>
      <c r="E20" s="34">
        <v>0</v>
      </c>
      <c r="F20" s="34">
        <v>0</v>
      </c>
      <c r="H20" s="15" t="s">
        <v>4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Q20" s="11">
        <v>3</v>
      </c>
      <c r="R20" s="14">
        <f>AVERAGE(B61:F63)</f>
        <v>106.95413333333335</v>
      </c>
      <c r="S20" s="14">
        <f>AVERAGE(I61:M63)</f>
        <v>203.52946666666665</v>
      </c>
      <c r="T20" s="13"/>
      <c r="V20" s="11">
        <v>3</v>
      </c>
      <c r="W20" s="14">
        <f>STDEV(B61:F63)</f>
        <v>158.43743459975732</v>
      </c>
      <c r="X20" s="14">
        <f>STDEV(I61:M63)</f>
        <v>116.24766380194288</v>
      </c>
    </row>
    <row r="21" spans="1:24">
      <c r="A21" s="15">
        <v>20</v>
      </c>
      <c r="B21" s="33"/>
      <c r="C21" s="4">
        <v>14.313000000000001</v>
      </c>
      <c r="D21" s="4">
        <v>19.07</v>
      </c>
      <c r="E21" s="4">
        <v>257.05700000000002</v>
      </c>
      <c r="F21" s="4">
        <v>589.11800000000005</v>
      </c>
      <c r="H21" s="15">
        <v>20</v>
      </c>
      <c r="I21" s="33"/>
      <c r="J21" s="4">
        <v>127.958</v>
      </c>
      <c r="K21" s="4">
        <v>155.82300000000001</v>
      </c>
      <c r="L21" s="4">
        <v>957.601</v>
      </c>
      <c r="M21" s="4">
        <v>1795.711</v>
      </c>
      <c r="Q21" s="11">
        <v>4</v>
      </c>
      <c r="R21" s="14">
        <f>AVERAGE(B65:F67)</f>
        <v>126.01559999999999</v>
      </c>
      <c r="S21" s="14">
        <f>AVERAGE(I65:M67)</f>
        <v>234.39546666666664</v>
      </c>
      <c r="T21" s="13"/>
      <c r="V21" s="11">
        <v>4</v>
      </c>
      <c r="W21" s="14">
        <f>STDEV(B65:F67)</f>
        <v>149.4500748911536</v>
      </c>
      <c r="X21" s="14">
        <f>STDEV(I65:M67)</f>
        <v>103.3520464403562</v>
      </c>
    </row>
    <row r="22" spans="1:24">
      <c r="A22" s="15">
        <v>20</v>
      </c>
      <c r="B22" s="33"/>
      <c r="C22" s="4">
        <v>14.19</v>
      </c>
      <c r="D22" s="4">
        <v>18.937000000000001</v>
      </c>
      <c r="E22" s="4">
        <v>251.92599999999999</v>
      </c>
      <c r="F22" s="4">
        <v>609.30600000000004</v>
      </c>
      <c r="H22" s="15">
        <v>20</v>
      </c>
      <c r="I22" s="33"/>
      <c r="J22" s="4">
        <v>129.80600000000001</v>
      </c>
      <c r="K22" s="4">
        <v>154.768</v>
      </c>
      <c r="L22" s="4">
        <v>678.53499999999997</v>
      </c>
      <c r="M22" s="4">
        <v>1774.7280000000001</v>
      </c>
      <c r="Q22" s="11">
        <v>5</v>
      </c>
      <c r="R22" s="14">
        <f>AVERAGE(B69:F71)</f>
        <v>146.91419999999999</v>
      </c>
      <c r="S22" s="14">
        <f>AVERAGE(I69:M71)</f>
        <v>328.0634</v>
      </c>
      <c r="T22" s="13"/>
      <c r="V22" s="11">
        <v>5</v>
      </c>
      <c r="W22" s="14">
        <f>STDEV(B69:F71)</f>
        <v>154.10586864054574</v>
      </c>
      <c r="X22" s="14">
        <f>STDEV(I69:M71)</f>
        <v>250.68726000930215</v>
      </c>
    </row>
    <row r="23" spans="1:24">
      <c r="A23" s="15">
        <v>20</v>
      </c>
      <c r="B23" s="33"/>
      <c r="C23" s="4">
        <v>14.269</v>
      </c>
      <c r="D23" s="4">
        <v>18.646999999999998</v>
      </c>
      <c r="E23" s="4">
        <v>249.28899999999999</v>
      </c>
      <c r="F23" s="4">
        <v>605.04</v>
      </c>
      <c r="H23" s="15">
        <v>20</v>
      </c>
      <c r="I23" s="33"/>
      <c r="J23" s="4">
        <v>128.49600000000001</v>
      </c>
      <c r="K23" s="4">
        <v>155.14400000000001</v>
      </c>
      <c r="L23" s="4">
        <v>679.79700000000003</v>
      </c>
      <c r="M23" s="4">
        <v>1798.921</v>
      </c>
      <c r="Q23" s="11">
        <v>6</v>
      </c>
      <c r="R23" s="14">
        <f>AVERAGE(B73:F75)</f>
        <v>163.15860000000001</v>
      </c>
      <c r="S23" s="14">
        <f>AVERAGE(I73:M75)</f>
        <v>369.54313333333334</v>
      </c>
      <c r="T23" s="13"/>
      <c r="V23" s="11">
        <v>6</v>
      </c>
      <c r="W23" s="14">
        <f>STDEV(B73:F75)</f>
        <v>153.46829094627802</v>
      </c>
      <c r="X23" s="14">
        <f>STDEV(I73:M75)</f>
        <v>246.83694768058268</v>
      </c>
    </row>
    <row r="24" spans="1:24">
      <c r="A24" s="15" t="s">
        <v>5</v>
      </c>
      <c r="B24" s="33"/>
      <c r="C24" s="34">
        <v>0.66400000000000003</v>
      </c>
      <c r="D24" s="34">
        <v>0</v>
      </c>
      <c r="E24" s="34">
        <v>0</v>
      </c>
      <c r="F24" s="34">
        <v>0</v>
      </c>
      <c r="H24" s="15" t="s">
        <v>4</v>
      </c>
      <c r="I24" s="33"/>
      <c r="J24" s="34">
        <v>0</v>
      </c>
      <c r="K24" s="34">
        <v>0</v>
      </c>
      <c r="L24" s="34">
        <v>0</v>
      </c>
      <c r="M24" s="34">
        <v>0</v>
      </c>
      <c r="Q24" s="11">
        <v>7</v>
      </c>
      <c r="R24" s="14">
        <f>AVERAGE(B77:F79)</f>
        <v>135.75306666666668</v>
      </c>
      <c r="S24" s="14">
        <f>AVERAGE(I77:M79)</f>
        <v>219.63200000000001</v>
      </c>
      <c r="T24" s="13"/>
      <c r="V24" s="11">
        <v>7</v>
      </c>
      <c r="W24" s="14">
        <f>STDEV(B77:F79)</f>
        <v>142.75705441837022</v>
      </c>
      <c r="X24" s="14">
        <f>STDEV(I77:M79)</f>
        <v>174.26624809427997</v>
      </c>
    </row>
    <row r="25" spans="1:24">
      <c r="A25" s="15">
        <v>25</v>
      </c>
      <c r="B25" s="33"/>
      <c r="C25" s="4">
        <v>12.54</v>
      </c>
      <c r="D25" s="4">
        <v>15.089</v>
      </c>
      <c r="E25" s="4">
        <v>161.32499999999999</v>
      </c>
      <c r="F25" s="4">
        <v>418.87900000000002</v>
      </c>
      <c r="H25" s="15">
        <v>25</v>
      </c>
      <c r="I25" s="33"/>
      <c r="J25" s="4">
        <v>83.831000000000003</v>
      </c>
      <c r="K25" s="4">
        <v>95.414000000000001</v>
      </c>
      <c r="L25" s="4">
        <v>560.32899999999995</v>
      </c>
      <c r="M25" s="4">
        <v>1224.865</v>
      </c>
      <c r="Q25" s="11">
        <v>8</v>
      </c>
      <c r="R25" s="14">
        <f>AVERAGE(B81:F83)</f>
        <v>272.88266666666669</v>
      </c>
      <c r="S25" s="14">
        <f>AVERAGE(I81:M83)</f>
        <v>427.17466666666661</v>
      </c>
      <c r="T25" s="13"/>
      <c r="V25" s="11">
        <v>8</v>
      </c>
      <c r="W25" s="14">
        <f>STDEV(B81:F83)</f>
        <v>272.74173068152146</v>
      </c>
      <c r="X25" s="14">
        <f>STDEV(I81:M83)</f>
        <v>208.12153803108495</v>
      </c>
    </row>
    <row r="26" spans="1:24">
      <c r="A26" s="15">
        <v>25</v>
      </c>
      <c r="B26" s="33"/>
      <c r="C26" s="4">
        <v>12.662000000000001</v>
      </c>
      <c r="D26" s="4">
        <v>14.747999999999999</v>
      </c>
      <c r="E26" s="4">
        <v>153.99199999999999</v>
      </c>
      <c r="F26" s="4">
        <v>431.21100000000001</v>
      </c>
      <c r="H26" s="15">
        <v>25</v>
      </c>
      <c r="I26" s="33"/>
      <c r="J26" s="4">
        <v>83.242999999999995</v>
      </c>
      <c r="K26" s="4">
        <v>93.013000000000005</v>
      </c>
      <c r="L26" s="4">
        <v>537.01300000000003</v>
      </c>
      <c r="M26" s="4">
        <v>1304.6769999999999</v>
      </c>
      <c r="Q26" s="11">
        <v>12</v>
      </c>
      <c r="R26" s="14">
        <f>AVERAGE(B85:F87)</f>
        <v>199.90099999999998</v>
      </c>
      <c r="S26" s="14">
        <f>AVERAGE(I85:M87)</f>
        <v>787.84259999999983</v>
      </c>
      <c r="T26" s="13"/>
      <c r="V26" s="11">
        <v>12</v>
      </c>
      <c r="W26" s="14">
        <f>STDEV(B85:F87)</f>
        <v>226.38452118306526</v>
      </c>
      <c r="X26" s="14">
        <f>STDEV(I85:M87)</f>
        <v>1181.2723271423304</v>
      </c>
    </row>
    <row r="27" spans="1:24">
      <c r="A27" s="15">
        <v>25</v>
      </c>
      <c r="B27" s="33"/>
      <c r="C27" s="4">
        <v>12.515000000000001</v>
      </c>
      <c r="D27" s="4">
        <v>14.92</v>
      </c>
      <c r="E27" s="4">
        <v>165.31200000000001</v>
      </c>
      <c r="F27" s="4">
        <v>447.71499999999997</v>
      </c>
      <c r="H27" s="15">
        <v>25</v>
      </c>
      <c r="I27" s="33"/>
      <c r="J27" s="4">
        <v>83.734999999999999</v>
      </c>
      <c r="K27" s="4">
        <v>124.84399999999999</v>
      </c>
      <c r="L27" s="4">
        <v>546.02700000000004</v>
      </c>
      <c r="M27" s="4">
        <v>1276.1759999999999</v>
      </c>
      <c r="Q27" s="11">
        <v>18</v>
      </c>
      <c r="R27" s="14">
        <f>AVERAGE(B89:F91)</f>
        <v>245.22574999999998</v>
      </c>
      <c r="S27" s="14">
        <f>AVERAGE(I89:M91)</f>
        <v>905.77599999999995</v>
      </c>
      <c r="T27" s="13"/>
      <c r="V27" s="11">
        <v>18</v>
      </c>
      <c r="W27" s="14">
        <f>STDEV(B89:F91)</f>
        <v>230.86071518524091</v>
      </c>
      <c r="X27" s="14">
        <f>STDEV(I89:M91)</f>
        <v>1334.8248564395665</v>
      </c>
    </row>
    <row r="28" spans="1:24">
      <c r="A28" s="15" t="s">
        <v>5</v>
      </c>
      <c r="B28" s="33"/>
      <c r="C28" s="34">
        <v>0.64700000000000002</v>
      </c>
      <c r="D28" s="34">
        <v>0.64500000000000002</v>
      </c>
      <c r="E28" s="34">
        <v>0</v>
      </c>
      <c r="F28" s="34">
        <v>0</v>
      </c>
      <c r="H28" s="15" t="s">
        <v>19</v>
      </c>
      <c r="I28" s="33"/>
      <c r="J28" s="34">
        <v>0</v>
      </c>
      <c r="K28" s="34">
        <v>0</v>
      </c>
      <c r="L28" s="34">
        <v>0</v>
      </c>
      <c r="M28" s="34">
        <v>0</v>
      </c>
      <c r="Q28" s="11">
        <v>24</v>
      </c>
      <c r="R28" s="14">
        <f>AVERAGE(B93:F95)</f>
        <v>221.10833333333332</v>
      </c>
      <c r="S28" s="14">
        <f>AVERAGE(I93:M95)</f>
        <v>820.9921333333333</v>
      </c>
      <c r="T28" s="13"/>
      <c r="V28" s="11">
        <v>24</v>
      </c>
      <c r="W28" s="14">
        <f>STDEV(B93:F95)</f>
        <v>206.74903961347741</v>
      </c>
      <c r="X28" s="14">
        <f>STDEV(I93:M95)</f>
        <v>1192.5337270969899</v>
      </c>
    </row>
    <row r="29" spans="1:24">
      <c r="A29" s="15">
        <v>30</v>
      </c>
      <c r="B29" s="33"/>
      <c r="C29" s="4">
        <v>12.71</v>
      </c>
      <c r="D29" s="4">
        <v>15.173999999999999</v>
      </c>
      <c r="E29" s="4">
        <v>77.462000000000003</v>
      </c>
      <c r="F29" s="4">
        <v>341.83600000000001</v>
      </c>
      <c r="H29" s="15">
        <v>30</v>
      </c>
      <c r="I29" s="33"/>
      <c r="J29" s="4">
        <v>114.464</v>
      </c>
      <c r="K29" s="4">
        <v>94.858000000000004</v>
      </c>
      <c r="L29" s="4">
        <v>371.44299999999998</v>
      </c>
      <c r="M29" s="4">
        <v>904.56600000000003</v>
      </c>
      <c r="Q29" s="11">
        <v>48</v>
      </c>
      <c r="R29" s="14">
        <f>AVERAGE(B97:F99)</f>
        <v>206.43041666666667</v>
      </c>
      <c r="S29" s="14">
        <f>AVERAGE(I97:M99)</f>
        <v>1009.2497500000001</v>
      </c>
      <c r="T29" s="13"/>
      <c r="V29" s="11">
        <v>48</v>
      </c>
      <c r="W29" s="14">
        <f>STDEV(B97:F99)</f>
        <v>250.32522816036317</v>
      </c>
      <c r="X29" s="14">
        <f>STDEV(I97:M99)</f>
        <v>1301.94429507425</v>
      </c>
    </row>
    <row r="30" spans="1:24">
      <c r="A30" s="15">
        <v>30</v>
      </c>
      <c r="B30" s="33"/>
      <c r="C30" s="4">
        <v>12.795999999999999</v>
      </c>
      <c r="D30" s="4">
        <v>15.292999999999999</v>
      </c>
      <c r="E30" s="4">
        <v>46.137</v>
      </c>
      <c r="F30" s="4">
        <v>340.09699999999998</v>
      </c>
      <c r="H30" s="15">
        <v>30</v>
      </c>
      <c r="I30" s="33"/>
      <c r="J30" s="4">
        <v>86.281000000000006</v>
      </c>
      <c r="K30" s="4">
        <v>129.755</v>
      </c>
      <c r="L30" s="4">
        <v>519.05700000000002</v>
      </c>
      <c r="M30" s="4">
        <v>902.31899999999996</v>
      </c>
      <c r="P30" s="11" t="s">
        <v>6</v>
      </c>
      <c r="Q30" s="11">
        <v>120</v>
      </c>
      <c r="R30" s="14">
        <f>AVERAGE(B101:F103)</f>
        <v>170.29724999999996</v>
      </c>
      <c r="S30" s="14">
        <f>AVERAGE(I101:M103)</f>
        <v>895.91899999999998</v>
      </c>
      <c r="T30" s="13"/>
      <c r="U30" s="11" t="s">
        <v>6</v>
      </c>
      <c r="V30" s="11">
        <v>120</v>
      </c>
      <c r="W30" s="14">
        <f>STDEV(B101:F103)</f>
        <v>265.38191823179358</v>
      </c>
      <c r="X30" s="14">
        <f>STDEV(I101:M103)</f>
        <v>1321.6877990665093</v>
      </c>
    </row>
    <row r="31" spans="1:24">
      <c r="A31" s="15">
        <v>30</v>
      </c>
      <c r="B31" s="33"/>
      <c r="C31" s="4">
        <v>12.644</v>
      </c>
      <c r="D31" s="4">
        <v>17.183</v>
      </c>
      <c r="E31" s="4">
        <v>31.463999999999999</v>
      </c>
      <c r="F31" s="4">
        <v>317.483</v>
      </c>
      <c r="H31" s="15">
        <v>30</v>
      </c>
      <c r="I31" s="33"/>
      <c r="J31" s="4">
        <v>114.688</v>
      </c>
      <c r="K31" s="4">
        <v>127.736</v>
      </c>
      <c r="L31" s="4">
        <v>510.81400000000002</v>
      </c>
      <c r="M31" s="4">
        <v>887.69399999999996</v>
      </c>
      <c r="P31" s="11" t="s">
        <v>7</v>
      </c>
      <c r="Q31" s="11">
        <v>192</v>
      </c>
      <c r="R31" s="14">
        <f>AVERAGE(B105:F107)</f>
        <v>137.80558333333335</v>
      </c>
      <c r="S31" s="14">
        <f>AVERAGE(I105:M107)</f>
        <v>743.68116666666663</v>
      </c>
      <c r="T31" s="13"/>
      <c r="U31" s="11" t="s">
        <v>7</v>
      </c>
      <c r="V31" s="11">
        <v>192</v>
      </c>
      <c r="W31" s="14">
        <f>STDEV(B105:F107)</f>
        <v>246.00141867937501</v>
      </c>
      <c r="X31" s="14">
        <f>STDEV(I105:M107)</f>
        <v>1153.0864436455936</v>
      </c>
    </row>
    <row r="32" spans="1:24">
      <c r="A32" s="15" t="s">
        <v>5</v>
      </c>
      <c r="B32" s="33"/>
      <c r="C32" s="34">
        <v>0</v>
      </c>
      <c r="D32" s="34">
        <v>0.64400000000000002</v>
      </c>
      <c r="E32" s="34">
        <v>0</v>
      </c>
      <c r="F32" s="34">
        <v>0</v>
      </c>
      <c r="H32" s="15" t="s">
        <v>4</v>
      </c>
      <c r="I32" s="33"/>
      <c r="J32" s="34">
        <v>0</v>
      </c>
      <c r="K32" s="34">
        <v>0</v>
      </c>
      <c r="L32" s="34">
        <v>0</v>
      </c>
      <c r="M32" s="34">
        <v>0</v>
      </c>
      <c r="P32" s="11" t="s">
        <v>8</v>
      </c>
      <c r="Q32" s="11">
        <v>264</v>
      </c>
      <c r="R32" s="14">
        <f>AVERAGE(B109:F111)</f>
        <v>215.98888888888891</v>
      </c>
      <c r="S32" s="14">
        <f>AVERAGE(I109:M111)</f>
        <v>1121.5330000000001</v>
      </c>
      <c r="T32" s="13"/>
      <c r="U32" s="11" t="s">
        <v>8</v>
      </c>
      <c r="V32" s="11">
        <v>264</v>
      </c>
      <c r="W32" s="14">
        <f>STDEV(B109:F111)</f>
        <v>321.8493756023322</v>
      </c>
      <c r="X32" s="14">
        <f>STDEV(I109:M111)</f>
        <v>1678.9867642263443</v>
      </c>
    </row>
    <row r="33" spans="1:24">
      <c r="A33" s="15">
        <v>35</v>
      </c>
      <c r="B33" s="33"/>
      <c r="C33" s="4">
        <v>13.459</v>
      </c>
      <c r="D33" s="4">
        <v>16.917000000000002</v>
      </c>
      <c r="E33" s="34">
        <v>0</v>
      </c>
      <c r="F33" s="4">
        <v>244.98500000000001</v>
      </c>
      <c r="H33" s="15">
        <v>35</v>
      </c>
      <c r="I33" s="33"/>
      <c r="J33" s="4">
        <v>120.456</v>
      </c>
      <c r="K33" s="4">
        <v>130.59899999999999</v>
      </c>
      <c r="L33" s="4">
        <v>326.43099999999998</v>
      </c>
      <c r="M33" s="4">
        <v>567.50199999999995</v>
      </c>
      <c r="P33" s="11" t="s">
        <v>9</v>
      </c>
      <c r="Q33" s="11">
        <v>336</v>
      </c>
      <c r="R33" s="14">
        <f>AVERAGE(B113:F115)</f>
        <v>94.863444444444454</v>
      </c>
      <c r="S33" s="14">
        <f>AVERAGE(I113:M115)</f>
        <v>656.39022222222218</v>
      </c>
      <c r="T33" s="13"/>
      <c r="U33" s="11" t="s">
        <v>9</v>
      </c>
      <c r="V33" s="11">
        <v>336</v>
      </c>
      <c r="W33" s="14">
        <f>STDEV(B113:F115)</f>
        <v>140.1469169203439</v>
      </c>
      <c r="X33" s="14">
        <f>STDEV(I113:M115)</f>
        <v>981.0245246730301</v>
      </c>
    </row>
    <row r="34" spans="1:24">
      <c r="A34" s="15">
        <v>35</v>
      </c>
      <c r="B34" s="33"/>
      <c r="C34" s="4">
        <v>13.654</v>
      </c>
      <c r="D34" s="4">
        <v>16.832000000000001</v>
      </c>
      <c r="E34" s="4">
        <v>70.012</v>
      </c>
      <c r="F34" s="4">
        <v>250.054</v>
      </c>
      <c r="H34" s="15">
        <v>35</v>
      </c>
      <c r="I34" s="33"/>
      <c r="J34" s="4">
        <v>88.093999999999994</v>
      </c>
      <c r="K34" s="4">
        <v>127.514</v>
      </c>
      <c r="L34" s="4">
        <v>406.21600000000001</v>
      </c>
      <c r="M34" s="4">
        <v>645.62099999999998</v>
      </c>
      <c r="P34" s="11" t="s">
        <v>10</v>
      </c>
      <c r="Q34" s="11">
        <v>408</v>
      </c>
      <c r="R34" s="14">
        <f>AVERAGE(B117:F119)</f>
        <v>58.359999999999985</v>
      </c>
      <c r="S34" s="14">
        <f>AVERAGE(I117:M119)</f>
        <v>547.45388888888886</v>
      </c>
      <c r="T34" s="13"/>
      <c r="U34" s="11" t="s">
        <v>10</v>
      </c>
      <c r="V34" s="11">
        <v>408</v>
      </c>
      <c r="W34" s="14">
        <f>STDEV(B117:F119)</f>
        <v>85.473538699120226</v>
      </c>
      <c r="X34" s="14">
        <f>STDEV(I117:M119)</f>
        <v>817.46626508842019</v>
      </c>
    </row>
    <row r="35" spans="1:24">
      <c r="A35" s="15">
        <v>35</v>
      </c>
      <c r="B35" s="33"/>
      <c r="C35" s="4">
        <v>13.553000000000001</v>
      </c>
      <c r="D35" s="4">
        <v>17.154</v>
      </c>
      <c r="E35" s="4">
        <v>33.762</v>
      </c>
      <c r="F35" s="4">
        <v>248.06800000000001</v>
      </c>
      <c r="H35" s="15">
        <v>35</v>
      </c>
      <c r="I35" s="33"/>
      <c r="J35" s="4">
        <v>119.649</v>
      </c>
      <c r="K35" s="4">
        <v>124.648</v>
      </c>
      <c r="L35" s="4">
        <v>366.51</v>
      </c>
      <c r="M35" s="4">
        <v>565.572</v>
      </c>
      <c r="P35" s="11" t="s">
        <v>11</v>
      </c>
      <c r="Q35" s="11">
        <v>480</v>
      </c>
      <c r="R35" s="14">
        <f>AVERAGE(B121:F123)</f>
        <v>53.82244444444445</v>
      </c>
      <c r="S35" s="14">
        <f>AVERAGE(I121:M123)</f>
        <v>379.72466666666674</v>
      </c>
      <c r="T35" s="13"/>
      <c r="U35" s="11" t="s">
        <v>11</v>
      </c>
      <c r="V35" s="11">
        <v>480</v>
      </c>
      <c r="W35" s="14">
        <f>STDEV(B121:F123)</f>
        <v>78.599913991859907</v>
      </c>
      <c r="X35" s="14">
        <f>STDEV(I121:M123)</f>
        <v>566.44924707845621</v>
      </c>
    </row>
    <row r="36" spans="1:24">
      <c r="A36" s="15" t="s">
        <v>5</v>
      </c>
      <c r="B36" s="33"/>
      <c r="C36" s="34">
        <v>0.66900000000000004</v>
      </c>
      <c r="D36" s="34">
        <v>0</v>
      </c>
      <c r="E36" s="34">
        <v>0</v>
      </c>
      <c r="F36" s="34">
        <v>0</v>
      </c>
      <c r="H36" s="15" t="s">
        <v>4</v>
      </c>
      <c r="I36" s="33"/>
      <c r="J36" s="34">
        <v>0</v>
      </c>
      <c r="K36" s="34">
        <v>0</v>
      </c>
      <c r="L36" s="34">
        <v>0</v>
      </c>
      <c r="M36" s="34">
        <v>0</v>
      </c>
      <c r="P36" s="11" t="s">
        <v>12</v>
      </c>
      <c r="Q36" s="11">
        <v>552</v>
      </c>
      <c r="R36" s="14">
        <f>AVERAGE(B125:F127)</f>
        <v>58.715999999999994</v>
      </c>
      <c r="S36" s="14">
        <f>AVERAGE(I125:M127)</f>
        <v>240.44855555555554</v>
      </c>
      <c r="T36" s="13"/>
      <c r="U36" s="11" t="s">
        <v>12</v>
      </c>
      <c r="V36" s="11">
        <v>552</v>
      </c>
      <c r="W36" s="14">
        <f>STDEV(B125:F127)</f>
        <v>85.986146228622204</v>
      </c>
      <c r="X36" s="14">
        <f>STDEV(I125:M127)</f>
        <v>358.48462357195712</v>
      </c>
    </row>
    <row r="37" spans="1:24">
      <c r="A37" s="15">
        <v>40</v>
      </c>
      <c r="B37" s="33"/>
      <c r="C37" s="4">
        <v>13.654</v>
      </c>
      <c r="D37" s="4">
        <v>16.655999999999999</v>
      </c>
      <c r="E37" s="4">
        <v>8.2509999999999994</v>
      </c>
      <c r="F37" s="4">
        <v>232.62799999999999</v>
      </c>
      <c r="H37" s="15">
        <v>40</v>
      </c>
      <c r="I37" s="33"/>
      <c r="J37" s="4">
        <v>116.69199999999999</v>
      </c>
      <c r="K37" s="4">
        <v>93.92</v>
      </c>
      <c r="L37" s="4">
        <v>239.98</v>
      </c>
      <c r="M37" s="4">
        <v>508.95400000000001</v>
      </c>
      <c r="P37" s="11" t="s">
        <v>13</v>
      </c>
      <c r="Q37" s="11">
        <v>624</v>
      </c>
      <c r="R37" s="14">
        <f>AVERAGE(B129:F131)</f>
        <v>35.894333333333336</v>
      </c>
      <c r="S37" s="14">
        <f>AVERAGE(I129:M131)</f>
        <v>167.66155555555554</v>
      </c>
      <c r="T37" s="13"/>
      <c r="U37" s="11" t="s">
        <v>13</v>
      </c>
      <c r="V37" s="11">
        <v>624</v>
      </c>
      <c r="W37" s="14">
        <f>STDEV(B129:F131)</f>
        <v>51.756996478737037</v>
      </c>
      <c r="X37" s="14">
        <f>STDEV(I129:M131)</f>
        <v>249.62947804902325</v>
      </c>
    </row>
    <row r="38" spans="1:24">
      <c r="A38" s="15">
        <v>40</v>
      </c>
      <c r="B38" s="33"/>
      <c r="C38" s="4">
        <v>13.622999999999999</v>
      </c>
      <c r="D38" s="4">
        <v>16.811</v>
      </c>
      <c r="E38" s="4">
        <v>8.1120000000000001</v>
      </c>
      <c r="F38" s="4">
        <v>239.33799999999999</v>
      </c>
      <c r="H38" s="15">
        <v>40</v>
      </c>
      <c r="I38" s="33"/>
      <c r="J38" s="4">
        <v>116.21599999999999</v>
      </c>
      <c r="K38" s="4">
        <v>123.792</v>
      </c>
      <c r="L38" s="4">
        <v>236.27199999999999</v>
      </c>
      <c r="M38" s="4">
        <v>518.32299999999998</v>
      </c>
      <c r="P38" s="11" t="s">
        <v>14</v>
      </c>
      <c r="Q38" s="11">
        <v>696</v>
      </c>
      <c r="R38" s="14">
        <f>AVERAGE(B133:F135)</f>
        <v>7.732444444444444</v>
      </c>
      <c r="S38" s="14">
        <f>AVERAGE(I133:M135)</f>
        <v>82.269666666666666</v>
      </c>
      <c r="T38" s="13"/>
      <c r="U38" s="11" t="s">
        <v>14</v>
      </c>
      <c r="V38" s="11">
        <v>696</v>
      </c>
      <c r="W38" s="14">
        <f>STDEV(B133:F135)</f>
        <v>9.4055019019602444</v>
      </c>
      <c r="X38" s="14">
        <f>STDEV(I133:M135)</f>
        <v>122.90117247304843</v>
      </c>
    </row>
    <row r="39" spans="1:24">
      <c r="A39" s="15">
        <v>40</v>
      </c>
      <c r="B39" s="33"/>
      <c r="C39" s="4">
        <v>13.48</v>
      </c>
      <c r="D39" s="4">
        <v>16.585000000000001</v>
      </c>
      <c r="E39" s="4">
        <v>8.0310000000000006</v>
      </c>
      <c r="F39" s="4">
        <v>238.59299999999999</v>
      </c>
      <c r="H39" s="15">
        <v>40</v>
      </c>
      <c r="I39" s="33"/>
      <c r="J39" s="4">
        <v>87.447999999999993</v>
      </c>
      <c r="K39" s="4">
        <v>122.41200000000001</v>
      </c>
      <c r="L39" s="4">
        <v>219.42400000000001</v>
      </c>
      <c r="M39" s="4">
        <v>521.505</v>
      </c>
      <c r="P39" s="11" t="s">
        <v>15</v>
      </c>
      <c r="Q39" s="11">
        <v>768</v>
      </c>
      <c r="R39" s="14">
        <f>AVERAGE(B137:F139)</f>
        <v>6.8289999999999997</v>
      </c>
      <c r="S39" s="14">
        <f>AVERAGE(I137:M139)</f>
        <v>54.56</v>
      </c>
      <c r="T39" s="13"/>
      <c r="U39" s="11" t="s">
        <v>15</v>
      </c>
      <c r="V39" s="11">
        <v>768</v>
      </c>
      <c r="W39" s="14">
        <f>STDEV(B137:F139)</f>
        <v>8.0690190543832525</v>
      </c>
      <c r="X39" s="14">
        <f>STDEV(I137:M139)</f>
        <v>81.366226368807361</v>
      </c>
    </row>
    <row r="40" spans="1:24">
      <c r="A40" s="15" t="s">
        <v>5</v>
      </c>
      <c r="B40" s="33"/>
      <c r="C40" s="34">
        <v>0.64100000000000001</v>
      </c>
      <c r="D40" s="34">
        <v>0.64200000000000002</v>
      </c>
      <c r="E40" s="34">
        <v>0</v>
      </c>
      <c r="F40" s="34">
        <v>0</v>
      </c>
      <c r="H40" s="15" t="s">
        <v>4</v>
      </c>
      <c r="I40" s="33"/>
      <c r="J40" s="34">
        <v>0</v>
      </c>
      <c r="K40" s="34">
        <v>0</v>
      </c>
      <c r="L40" s="34">
        <v>0</v>
      </c>
      <c r="M40" s="34">
        <v>0</v>
      </c>
      <c r="P40" s="11" t="s">
        <v>16</v>
      </c>
      <c r="Q40" s="11">
        <v>840</v>
      </c>
      <c r="R40" s="14">
        <f>AVERAGE(B141:F143)</f>
        <v>6.4184444444444448</v>
      </c>
      <c r="S40" s="14">
        <f>AVERAGE(I141:M143)</f>
        <v>33.306888888888892</v>
      </c>
      <c r="T40" s="13"/>
      <c r="U40" s="11" t="s">
        <v>16</v>
      </c>
      <c r="V40" s="11">
        <v>840</v>
      </c>
      <c r="W40" s="14">
        <f>STDEV(B141:F143)</f>
        <v>7.4631740920186074</v>
      </c>
      <c r="X40" s="14">
        <f>STDEV(I141:M143)</f>
        <v>49.242644228464322</v>
      </c>
    </row>
    <row r="41" spans="1:24">
      <c r="A41" s="15">
        <v>45</v>
      </c>
      <c r="B41" s="33"/>
      <c r="C41" s="4">
        <v>13.776999999999999</v>
      </c>
      <c r="D41" s="4">
        <v>15.443</v>
      </c>
      <c r="E41" s="4">
        <v>8.1229999999999993</v>
      </c>
      <c r="F41" s="4">
        <v>156.55600000000001</v>
      </c>
      <c r="H41" s="15">
        <v>45</v>
      </c>
      <c r="I41" s="33"/>
      <c r="J41" s="4">
        <v>115.57899999999999</v>
      </c>
      <c r="K41" s="4">
        <v>111.39700000000001</v>
      </c>
      <c r="L41" s="4">
        <v>130.65199999999999</v>
      </c>
      <c r="M41" s="4">
        <v>251.69300000000001</v>
      </c>
      <c r="P41" s="11" t="s">
        <v>17</v>
      </c>
      <c r="Q41" s="11">
        <v>912</v>
      </c>
      <c r="R41" s="14">
        <f>AVERAGE(B145:F147)</f>
        <v>4.54</v>
      </c>
      <c r="S41" s="14">
        <f>AVERAGE(I145:M147)</f>
        <v>15.045666666666667</v>
      </c>
      <c r="T41" s="13"/>
      <c r="U41" s="11" t="s">
        <v>17</v>
      </c>
      <c r="V41" s="11">
        <v>912</v>
      </c>
      <c r="W41" s="14">
        <f>STDEV(B145:F147)</f>
        <v>3.4062453302720295</v>
      </c>
      <c r="X41" s="14">
        <f>STDEV(I145:M147)</f>
        <v>20.463710507872218</v>
      </c>
    </row>
    <row r="42" spans="1:24">
      <c r="A42" s="15">
        <v>45</v>
      </c>
      <c r="B42" s="33"/>
      <c r="C42" s="4">
        <v>13.968999999999999</v>
      </c>
      <c r="D42" s="4">
        <v>15.539</v>
      </c>
      <c r="E42" s="4">
        <v>8.0749999999999993</v>
      </c>
      <c r="F42" s="4">
        <v>157.751</v>
      </c>
      <c r="H42" s="15">
        <v>45</v>
      </c>
      <c r="I42" s="33"/>
      <c r="J42" s="4">
        <v>115.70099999999999</v>
      </c>
      <c r="K42" s="4">
        <v>83.611999999999995</v>
      </c>
      <c r="L42" s="4">
        <v>36.845999999999997</v>
      </c>
      <c r="M42" s="4">
        <v>233.43899999999999</v>
      </c>
      <c r="P42" s="11" t="s">
        <v>18</v>
      </c>
      <c r="Q42" s="11">
        <v>984</v>
      </c>
      <c r="R42" s="14">
        <f>AVERAGE(B149:F151)</f>
        <v>3.4053333333333335</v>
      </c>
      <c r="S42" s="14">
        <f>AVERAGE(I149:M151)</f>
        <v>8.4943333333333335</v>
      </c>
      <c r="T42" s="13"/>
      <c r="U42" s="11" t="s">
        <v>18</v>
      </c>
      <c r="V42" s="11">
        <v>984</v>
      </c>
      <c r="W42" s="14">
        <f>STDEV(B149:F151)</f>
        <v>2.201431182208518</v>
      </c>
      <c r="X42" s="14">
        <f>STDEV(I149:M151)</f>
        <v>11.536794214598785</v>
      </c>
    </row>
    <row r="43" spans="1:24">
      <c r="A43" s="15">
        <v>45</v>
      </c>
      <c r="B43" s="33"/>
      <c r="C43" s="4">
        <v>13.753</v>
      </c>
      <c r="D43" s="4">
        <v>15.39</v>
      </c>
      <c r="E43" s="4">
        <v>8.0630000000000006</v>
      </c>
      <c r="F43" s="4">
        <v>158.238</v>
      </c>
      <c r="H43" s="15">
        <v>45</v>
      </c>
      <c r="I43" s="33"/>
      <c r="J43" s="4">
        <v>116.919</v>
      </c>
      <c r="K43" s="4">
        <v>111.59</v>
      </c>
      <c r="L43" s="4">
        <v>104.53100000000001</v>
      </c>
      <c r="M43" s="4">
        <v>239.471</v>
      </c>
    </row>
    <row r="44" spans="1:24">
      <c r="A44" s="15" t="s">
        <v>5</v>
      </c>
      <c r="B44" s="33"/>
      <c r="C44" s="34">
        <v>0</v>
      </c>
      <c r="D44" s="34">
        <v>0.64800000000000002</v>
      </c>
      <c r="E44" s="34">
        <v>0</v>
      </c>
      <c r="F44" s="34">
        <v>0</v>
      </c>
      <c r="H44" s="15" t="s">
        <v>4</v>
      </c>
      <c r="I44" s="33"/>
      <c r="J44" s="34">
        <v>0</v>
      </c>
      <c r="K44" s="34">
        <v>0</v>
      </c>
      <c r="L44" s="34">
        <v>0</v>
      </c>
      <c r="M44" s="34">
        <v>0</v>
      </c>
    </row>
    <row r="45" spans="1:24">
      <c r="A45" s="15">
        <v>50</v>
      </c>
      <c r="B45" s="33"/>
      <c r="C45" s="4">
        <v>13.39</v>
      </c>
      <c r="D45" s="4">
        <v>15.446</v>
      </c>
      <c r="E45" s="4">
        <v>7.96</v>
      </c>
      <c r="F45" s="4">
        <v>128.95500000000001</v>
      </c>
      <c r="H45" s="15">
        <v>50</v>
      </c>
      <c r="I45" s="33"/>
      <c r="J45" s="4">
        <v>114.157</v>
      </c>
      <c r="K45" s="4">
        <v>83.472999999999999</v>
      </c>
      <c r="L45" s="4">
        <v>83.516000000000005</v>
      </c>
      <c r="M45" s="4">
        <v>145.34899999999999</v>
      </c>
    </row>
    <row r="46" spans="1:24">
      <c r="A46" s="15">
        <v>50</v>
      </c>
      <c r="B46" s="33"/>
      <c r="C46" s="4">
        <v>13.455</v>
      </c>
      <c r="D46" s="4">
        <v>15.446</v>
      </c>
      <c r="E46" s="4">
        <v>7.9329999999999998</v>
      </c>
      <c r="F46" s="4">
        <v>130.09</v>
      </c>
      <c r="H46" s="15">
        <v>50</v>
      </c>
      <c r="I46" s="33"/>
      <c r="J46" s="4">
        <v>82.947000000000003</v>
      </c>
      <c r="K46" s="4">
        <v>108.736</v>
      </c>
      <c r="L46" s="4">
        <v>81.674000000000007</v>
      </c>
      <c r="M46" s="4">
        <v>153.47300000000001</v>
      </c>
    </row>
    <row r="47" spans="1:24">
      <c r="A47" s="15">
        <v>50</v>
      </c>
      <c r="B47" s="33"/>
      <c r="C47" s="4">
        <v>13.446999999999999</v>
      </c>
      <c r="D47" s="4">
        <v>15.427</v>
      </c>
      <c r="E47" s="4">
        <v>7.88</v>
      </c>
      <c r="F47" s="4">
        <v>130.90100000000001</v>
      </c>
      <c r="H47" s="15">
        <v>50</v>
      </c>
      <c r="I47" s="33"/>
      <c r="J47" s="4">
        <v>84.655000000000001</v>
      </c>
      <c r="K47" s="4">
        <v>109.58199999999999</v>
      </c>
      <c r="L47" s="4">
        <v>80.353999999999999</v>
      </c>
      <c r="M47" s="4">
        <v>154.01499999999999</v>
      </c>
    </row>
    <row r="48" spans="1:24">
      <c r="A48" s="15" t="s">
        <v>5</v>
      </c>
      <c r="B48" s="33"/>
      <c r="C48" s="34">
        <v>0.64800000000000002</v>
      </c>
      <c r="D48" s="34">
        <v>0.64200000000000002</v>
      </c>
      <c r="E48" s="34">
        <v>0</v>
      </c>
      <c r="F48" s="34">
        <v>0</v>
      </c>
      <c r="H48" s="15" t="s">
        <v>4</v>
      </c>
      <c r="I48" s="33"/>
      <c r="J48" s="34">
        <v>0</v>
      </c>
      <c r="K48" s="34">
        <v>0</v>
      </c>
      <c r="L48" s="34">
        <v>0</v>
      </c>
      <c r="M48" s="34">
        <v>0</v>
      </c>
    </row>
    <row r="49" spans="1:13">
      <c r="A49" s="15">
        <v>55</v>
      </c>
      <c r="B49" s="33"/>
      <c r="C49" s="4">
        <v>12.965999999999999</v>
      </c>
      <c r="D49" s="4">
        <v>15.951000000000001</v>
      </c>
      <c r="E49" s="4">
        <v>50.451000000000001</v>
      </c>
      <c r="F49" s="4">
        <v>119.741</v>
      </c>
      <c r="H49" s="15">
        <v>55</v>
      </c>
      <c r="I49" s="33"/>
      <c r="J49" s="4">
        <v>83.897999999999996</v>
      </c>
      <c r="K49" s="4">
        <v>116.333</v>
      </c>
      <c r="L49" s="4">
        <v>203.55600000000001</v>
      </c>
      <c r="M49" s="4">
        <v>89.96</v>
      </c>
    </row>
    <row r="50" spans="1:13">
      <c r="A50" s="15">
        <v>55</v>
      </c>
      <c r="B50" s="33"/>
      <c r="C50" s="4">
        <v>13.582000000000001</v>
      </c>
      <c r="D50" s="4">
        <v>16.327000000000002</v>
      </c>
      <c r="E50" s="4">
        <v>50.704000000000001</v>
      </c>
      <c r="F50" s="4">
        <v>121.983</v>
      </c>
      <c r="H50" s="15">
        <v>55</v>
      </c>
      <c r="I50" s="33"/>
      <c r="J50" s="4">
        <v>83.765000000000001</v>
      </c>
      <c r="K50" s="4">
        <v>115.29900000000001</v>
      </c>
      <c r="L50" s="4">
        <v>196.083</v>
      </c>
      <c r="M50" s="4">
        <v>91.459000000000003</v>
      </c>
    </row>
    <row r="51" spans="1:13">
      <c r="A51" s="15">
        <v>55</v>
      </c>
      <c r="B51" s="33"/>
      <c r="C51" s="4">
        <v>13.486000000000001</v>
      </c>
      <c r="D51" s="4">
        <v>15.333</v>
      </c>
      <c r="E51" s="4">
        <v>49.912999999999997</v>
      </c>
      <c r="F51" s="4">
        <v>123.09099999999999</v>
      </c>
      <c r="H51" s="15">
        <v>55</v>
      </c>
      <c r="I51" s="33"/>
      <c r="J51" s="4">
        <v>83.045000000000002</v>
      </c>
      <c r="K51" s="4">
        <v>114.76600000000001</v>
      </c>
      <c r="L51" s="35">
        <v>204.887</v>
      </c>
      <c r="M51" s="4">
        <v>89.611000000000004</v>
      </c>
    </row>
    <row r="52" spans="1:13">
      <c r="A52" s="15" t="s">
        <v>5</v>
      </c>
      <c r="B52" s="33"/>
      <c r="C52" s="34">
        <v>0</v>
      </c>
      <c r="D52" s="34">
        <v>0</v>
      </c>
      <c r="E52" s="34">
        <v>0</v>
      </c>
      <c r="F52" s="34">
        <v>0</v>
      </c>
      <c r="H52" s="15" t="s">
        <v>4</v>
      </c>
      <c r="I52" s="33"/>
      <c r="J52" s="34">
        <v>0</v>
      </c>
      <c r="K52" s="34">
        <v>0</v>
      </c>
      <c r="L52" s="34">
        <v>0</v>
      </c>
      <c r="M52" s="34">
        <v>0</v>
      </c>
    </row>
    <row r="53" spans="1:13">
      <c r="A53" s="3">
        <v>60</v>
      </c>
      <c r="B53" s="4">
        <v>591.28800000000001</v>
      </c>
      <c r="C53" s="4">
        <v>16.204000000000001</v>
      </c>
      <c r="D53" s="4">
        <v>110.953</v>
      </c>
      <c r="E53" s="4">
        <v>55.454000000000001</v>
      </c>
      <c r="F53" s="4">
        <v>104.089</v>
      </c>
      <c r="H53" s="3">
        <v>60</v>
      </c>
      <c r="I53" s="4">
        <v>343.17099999999999</v>
      </c>
      <c r="J53" s="4">
        <v>132.43100000000001</v>
      </c>
      <c r="K53" s="4">
        <v>61.66</v>
      </c>
      <c r="L53" s="4">
        <v>214.37200000000001</v>
      </c>
      <c r="M53" s="4">
        <v>14.448</v>
      </c>
    </row>
    <row r="54" spans="1:13">
      <c r="A54" s="3">
        <v>60</v>
      </c>
      <c r="B54" s="4">
        <v>591.79999999999995</v>
      </c>
      <c r="C54" s="4">
        <v>16.119</v>
      </c>
      <c r="D54" s="4">
        <v>110.26600000000001</v>
      </c>
      <c r="E54" s="4">
        <v>56.283999999999999</v>
      </c>
      <c r="F54" s="4">
        <v>103.572</v>
      </c>
      <c r="H54" s="3">
        <v>60</v>
      </c>
      <c r="I54" s="4">
        <v>339.18599999999998</v>
      </c>
      <c r="J54" s="4">
        <v>133.953</v>
      </c>
      <c r="K54" s="4">
        <v>59.197000000000003</v>
      </c>
      <c r="L54" s="4">
        <v>208.57300000000001</v>
      </c>
      <c r="M54" s="4">
        <v>7.4409999999999998</v>
      </c>
    </row>
    <row r="55" spans="1:13">
      <c r="A55" s="3">
        <v>60</v>
      </c>
      <c r="B55" s="4">
        <v>587.87400000000002</v>
      </c>
      <c r="C55" s="4">
        <v>16.192</v>
      </c>
      <c r="D55" s="4">
        <v>110.387</v>
      </c>
      <c r="E55" s="4">
        <v>56.524000000000001</v>
      </c>
      <c r="F55" s="4">
        <v>104.938</v>
      </c>
      <c r="H55" s="3">
        <v>60</v>
      </c>
      <c r="I55" s="4">
        <v>341.517</v>
      </c>
      <c r="J55" s="4">
        <v>131.72499999999999</v>
      </c>
      <c r="K55" s="4">
        <v>57.18</v>
      </c>
      <c r="L55" s="4">
        <v>206.16900000000001</v>
      </c>
      <c r="M55" s="4">
        <v>7.665</v>
      </c>
    </row>
    <row r="56" spans="1:13">
      <c r="A56" s="3" t="s">
        <v>4</v>
      </c>
      <c r="B56" s="34">
        <v>0</v>
      </c>
      <c r="C56" s="34">
        <v>0.65600000000000003</v>
      </c>
      <c r="D56" s="34">
        <v>0</v>
      </c>
      <c r="E56" s="34">
        <v>0</v>
      </c>
      <c r="F56" s="34">
        <v>0</v>
      </c>
      <c r="H56" s="3" t="s">
        <v>4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</row>
    <row r="57" spans="1:13">
      <c r="A57" s="3">
        <v>2</v>
      </c>
      <c r="B57" s="4">
        <v>350.85899999999998</v>
      </c>
      <c r="C57" s="4">
        <v>15.414999999999999</v>
      </c>
      <c r="D57" s="4">
        <v>19.184000000000001</v>
      </c>
      <c r="E57" s="4">
        <v>60.365000000000002</v>
      </c>
      <c r="F57" s="4">
        <v>11.343</v>
      </c>
      <c r="H57" s="3">
        <v>2</v>
      </c>
      <c r="I57" s="4">
        <v>251.416</v>
      </c>
      <c r="J57" s="4">
        <v>128.89099999999999</v>
      </c>
      <c r="K57" s="4">
        <v>134.21199999999999</v>
      </c>
      <c r="L57" s="4">
        <v>202.578</v>
      </c>
      <c r="M57" s="4">
        <v>59.154000000000003</v>
      </c>
    </row>
    <row r="58" spans="1:13">
      <c r="A58" s="3">
        <v>2</v>
      </c>
      <c r="B58" s="4">
        <v>354.41800000000001</v>
      </c>
      <c r="C58" s="4">
        <v>15.747999999999999</v>
      </c>
      <c r="D58" s="4">
        <v>19.37</v>
      </c>
      <c r="E58" s="4">
        <v>60.287999999999997</v>
      </c>
      <c r="F58" s="4">
        <v>11.589</v>
      </c>
      <c r="H58" s="3">
        <v>2</v>
      </c>
      <c r="I58" s="4">
        <v>261.88299999999998</v>
      </c>
      <c r="J58" s="4">
        <v>93.18</v>
      </c>
      <c r="K58" s="4">
        <v>97.878</v>
      </c>
      <c r="L58" s="4">
        <v>200.62100000000001</v>
      </c>
      <c r="M58" s="4">
        <v>58.15</v>
      </c>
    </row>
    <row r="59" spans="1:13">
      <c r="A59" s="3">
        <v>2</v>
      </c>
      <c r="B59" s="4">
        <v>354.459</v>
      </c>
      <c r="C59" s="4">
        <v>15.646000000000001</v>
      </c>
      <c r="D59" s="4">
        <v>19.495999999999999</v>
      </c>
      <c r="E59" s="4">
        <v>59.850999999999999</v>
      </c>
      <c r="F59" s="4">
        <v>11.541</v>
      </c>
      <c r="H59" s="3">
        <v>2</v>
      </c>
      <c r="I59" s="4">
        <v>268.63299999999998</v>
      </c>
      <c r="J59" s="4">
        <v>127.48099999999999</v>
      </c>
      <c r="K59" s="4">
        <v>133.178</v>
      </c>
      <c r="L59" s="4">
        <v>195.72399999999999</v>
      </c>
      <c r="M59" s="4">
        <v>59.018999999999998</v>
      </c>
    </row>
    <row r="60" spans="1:13">
      <c r="A60" s="3" t="s">
        <v>4</v>
      </c>
      <c r="B60" s="34">
        <v>0</v>
      </c>
      <c r="C60" s="34">
        <v>0</v>
      </c>
      <c r="D60" s="34">
        <v>0</v>
      </c>
      <c r="E60" s="34">
        <v>0</v>
      </c>
      <c r="F60" s="34">
        <v>0</v>
      </c>
      <c r="H60" s="3" t="s">
        <v>4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</row>
    <row r="61" spans="1:13">
      <c r="A61" s="3">
        <v>3</v>
      </c>
      <c r="B61" s="4">
        <v>409.50900000000001</v>
      </c>
      <c r="C61" s="4">
        <v>27.117000000000001</v>
      </c>
      <c r="D61" s="4">
        <v>27.792999999999999</v>
      </c>
      <c r="E61" s="4">
        <v>51.311</v>
      </c>
      <c r="F61" s="4">
        <v>15.760999999999999</v>
      </c>
      <c r="H61" s="3">
        <v>3</v>
      </c>
      <c r="I61" s="4">
        <v>372.17599999999999</v>
      </c>
      <c r="J61" s="7">
        <v>291.57</v>
      </c>
      <c r="K61" s="4">
        <v>207.39</v>
      </c>
      <c r="L61" s="4">
        <v>163.93</v>
      </c>
      <c r="M61" s="4">
        <v>84.293000000000006</v>
      </c>
    </row>
    <row r="62" spans="1:13">
      <c r="A62" s="3">
        <v>3</v>
      </c>
      <c r="B62" s="4">
        <v>411.87</v>
      </c>
      <c r="C62" s="4">
        <v>27.344999999999999</v>
      </c>
      <c r="D62" s="4">
        <v>27.93</v>
      </c>
      <c r="E62" s="4">
        <v>52.805999999999997</v>
      </c>
      <c r="F62" s="4">
        <v>15.602</v>
      </c>
      <c r="H62" s="3">
        <v>3</v>
      </c>
      <c r="I62" s="4">
        <v>369.351</v>
      </c>
      <c r="J62" s="36">
        <v>0</v>
      </c>
      <c r="K62" s="4">
        <v>210.05799999999999</v>
      </c>
      <c r="L62" s="4">
        <v>162.81200000000001</v>
      </c>
      <c r="M62" s="4">
        <v>82.756</v>
      </c>
    </row>
    <row r="63" spans="1:13">
      <c r="A63" s="3">
        <v>3</v>
      </c>
      <c r="B63" s="4">
        <v>415.08699999999999</v>
      </c>
      <c r="C63" s="4">
        <v>26.786000000000001</v>
      </c>
      <c r="D63" s="4">
        <v>27.648</v>
      </c>
      <c r="E63" s="4">
        <v>52.100999999999999</v>
      </c>
      <c r="F63" s="4">
        <v>15.646000000000001</v>
      </c>
      <c r="H63" s="3">
        <v>3</v>
      </c>
      <c r="I63" s="4">
        <v>380.57799999999997</v>
      </c>
      <c r="J63" s="7">
        <v>275.10399999999998</v>
      </c>
      <c r="K63" s="4">
        <v>203.107</v>
      </c>
      <c r="L63" s="4">
        <v>164.636</v>
      </c>
      <c r="M63" s="4">
        <v>85.180999999999997</v>
      </c>
    </row>
    <row r="64" spans="1:13">
      <c r="A64" s="3" t="s">
        <v>4</v>
      </c>
      <c r="B64" s="34">
        <v>0</v>
      </c>
      <c r="C64" s="34">
        <v>0.70699999999999996</v>
      </c>
      <c r="D64" s="34">
        <v>0</v>
      </c>
      <c r="E64" s="34">
        <v>0</v>
      </c>
      <c r="F64" s="34">
        <v>0</v>
      </c>
      <c r="H64" s="3" t="s">
        <v>4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</row>
    <row r="65" spans="1:13">
      <c r="A65" s="3">
        <v>4</v>
      </c>
      <c r="B65" s="4">
        <v>403.14499999999998</v>
      </c>
      <c r="C65" s="4">
        <v>129.16</v>
      </c>
      <c r="D65" s="4">
        <v>29.908000000000001</v>
      </c>
      <c r="E65" s="4">
        <v>48.167999999999999</v>
      </c>
      <c r="F65" s="4">
        <v>17.888000000000002</v>
      </c>
      <c r="H65" s="3">
        <v>4</v>
      </c>
      <c r="I65" s="4">
        <v>394.72899999999998</v>
      </c>
      <c r="J65" s="7">
        <v>280.995</v>
      </c>
      <c r="K65" s="4">
        <v>222.55500000000001</v>
      </c>
      <c r="L65" s="4">
        <v>177.797</v>
      </c>
      <c r="M65" s="4">
        <v>100.526</v>
      </c>
    </row>
    <row r="66" spans="1:13">
      <c r="A66" s="3">
        <v>4</v>
      </c>
      <c r="B66" s="4">
        <v>404.25799999999998</v>
      </c>
      <c r="C66" s="4">
        <v>129.64599999999999</v>
      </c>
      <c r="D66" s="4">
        <v>29.666</v>
      </c>
      <c r="E66" s="4">
        <v>49.106999999999999</v>
      </c>
      <c r="F66" s="4">
        <v>17.652000000000001</v>
      </c>
      <c r="H66" s="3">
        <v>4</v>
      </c>
      <c r="I66" s="4">
        <v>411.9</v>
      </c>
      <c r="J66" s="7">
        <v>267.834</v>
      </c>
      <c r="K66" s="4">
        <v>225.22900000000001</v>
      </c>
      <c r="L66" s="4">
        <v>185.613</v>
      </c>
      <c r="M66" s="4">
        <v>99.516000000000005</v>
      </c>
    </row>
    <row r="67" spans="1:13">
      <c r="A67" s="3">
        <v>4</v>
      </c>
      <c r="B67" s="4">
        <v>404.70699999999999</v>
      </c>
      <c r="C67" s="4">
        <v>129.92400000000001</v>
      </c>
      <c r="D67" s="4">
        <v>29.856999999999999</v>
      </c>
      <c r="E67" s="4">
        <v>49.402000000000001</v>
      </c>
      <c r="F67" s="4">
        <v>17.745999999999999</v>
      </c>
      <c r="H67" s="3">
        <v>4</v>
      </c>
      <c r="I67" s="4">
        <v>393.34800000000001</v>
      </c>
      <c r="J67" s="7">
        <v>256.77800000000002</v>
      </c>
      <c r="K67" s="4">
        <v>223.048</v>
      </c>
      <c r="L67" s="4">
        <v>174.435</v>
      </c>
      <c r="M67" s="4">
        <v>101.629</v>
      </c>
    </row>
    <row r="68" spans="1:13">
      <c r="A68" s="3" t="s">
        <v>4</v>
      </c>
      <c r="B68" s="34">
        <v>0</v>
      </c>
      <c r="C68" s="34">
        <v>0</v>
      </c>
      <c r="D68" s="34">
        <v>0</v>
      </c>
      <c r="E68" s="34">
        <v>0</v>
      </c>
      <c r="F68" s="34">
        <v>0</v>
      </c>
      <c r="H68" s="3" t="s">
        <v>4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</row>
    <row r="69" spans="1:13">
      <c r="A69" s="3">
        <v>5</v>
      </c>
      <c r="B69" s="4">
        <v>415.64699999999999</v>
      </c>
      <c r="C69" s="31">
        <v>0</v>
      </c>
      <c r="D69" s="4">
        <v>155.28</v>
      </c>
      <c r="E69" s="4">
        <v>27.716999999999999</v>
      </c>
      <c r="F69" s="4">
        <v>18.62</v>
      </c>
      <c r="H69" s="3">
        <v>5</v>
      </c>
      <c r="I69" s="4">
        <v>450.31900000000002</v>
      </c>
      <c r="J69" s="34">
        <v>0</v>
      </c>
      <c r="K69" s="4">
        <v>529.56799999999998</v>
      </c>
      <c r="L69" s="4">
        <v>87.828000000000003</v>
      </c>
      <c r="M69" s="4">
        <v>104.333</v>
      </c>
    </row>
    <row r="70" spans="1:13">
      <c r="A70" s="3">
        <v>5</v>
      </c>
      <c r="B70" s="4">
        <v>415.05099999999999</v>
      </c>
      <c r="C70" s="4">
        <v>173.02199999999999</v>
      </c>
      <c r="D70" s="4">
        <v>161.584</v>
      </c>
      <c r="E70" s="4">
        <v>27.452000000000002</v>
      </c>
      <c r="F70" s="4">
        <v>18.468</v>
      </c>
      <c r="H70" s="3">
        <v>5</v>
      </c>
      <c r="I70" s="4">
        <v>445.97800000000001</v>
      </c>
      <c r="J70" s="4">
        <v>704.87900000000002</v>
      </c>
      <c r="K70" s="4">
        <v>523.56299999999999</v>
      </c>
      <c r="L70" s="4">
        <v>91.412999999999997</v>
      </c>
      <c r="M70" s="4">
        <v>104.01900000000001</v>
      </c>
    </row>
    <row r="71" spans="1:13">
      <c r="A71" s="3">
        <v>5</v>
      </c>
      <c r="B71" s="4">
        <v>416.81400000000002</v>
      </c>
      <c r="C71" s="4">
        <v>171.8</v>
      </c>
      <c r="D71" s="4">
        <v>156.547</v>
      </c>
      <c r="E71" s="4">
        <v>27.286999999999999</v>
      </c>
      <c r="F71" s="4">
        <v>18.423999999999999</v>
      </c>
      <c r="H71" s="3">
        <v>5</v>
      </c>
      <c r="I71" s="4">
        <v>435.07600000000002</v>
      </c>
      <c r="J71" s="4">
        <v>716.06</v>
      </c>
      <c r="K71" s="4">
        <v>530.86599999999999</v>
      </c>
      <c r="L71" s="4">
        <v>92.977000000000004</v>
      </c>
      <c r="M71" s="4">
        <v>104.072</v>
      </c>
    </row>
    <row r="72" spans="1:13">
      <c r="A72" s="3" t="s">
        <v>4</v>
      </c>
      <c r="B72" s="34">
        <v>0</v>
      </c>
      <c r="C72" s="34">
        <v>0</v>
      </c>
      <c r="D72" s="34">
        <v>0</v>
      </c>
      <c r="E72" s="34">
        <v>0</v>
      </c>
      <c r="F72" s="34">
        <v>0</v>
      </c>
      <c r="H72" s="3" t="s">
        <v>4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</row>
    <row r="73" spans="1:13">
      <c r="A73" s="3">
        <v>6</v>
      </c>
      <c r="B73" s="4">
        <v>427.10599999999999</v>
      </c>
      <c r="C73" s="4">
        <v>171.68899999999999</v>
      </c>
      <c r="D73" s="4">
        <v>158.709</v>
      </c>
      <c r="E73" s="4">
        <v>41.683</v>
      </c>
      <c r="F73" s="4">
        <v>11.74</v>
      </c>
      <c r="H73" s="3">
        <v>6</v>
      </c>
      <c r="I73" s="4">
        <v>480.40199999999999</v>
      </c>
      <c r="J73" s="4">
        <v>691.29899999999998</v>
      </c>
      <c r="K73" s="4">
        <v>503.67200000000003</v>
      </c>
      <c r="L73" s="4">
        <v>112.785</v>
      </c>
      <c r="M73" s="4">
        <v>72.144999999999996</v>
      </c>
    </row>
    <row r="74" spans="1:13">
      <c r="A74" s="3">
        <v>6</v>
      </c>
      <c r="B74" s="4">
        <v>431.28</v>
      </c>
      <c r="C74" s="4">
        <v>172.26</v>
      </c>
      <c r="D74" s="4">
        <v>161.06</v>
      </c>
      <c r="E74" s="4">
        <v>40.701000000000001</v>
      </c>
      <c r="F74" s="4">
        <v>11.618</v>
      </c>
      <c r="H74" s="3">
        <v>6</v>
      </c>
      <c r="I74" s="4">
        <v>483.57</v>
      </c>
      <c r="J74" s="4">
        <v>682.04899999999998</v>
      </c>
      <c r="K74" s="4">
        <v>492.66199999999998</v>
      </c>
      <c r="L74" s="4">
        <v>104.959</v>
      </c>
      <c r="M74" s="4">
        <v>71.72</v>
      </c>
    </row>
    <row r="75" spans="1:13">
      <c r="A75" s="3">
        <v>6</v>
      </c>
      <c r="B75" s="4">
        <v>435.93</v>
      </c>
      <c r="C75" s="4">
        <v>170.70599999999999</v>
      </c>
      <c r="D75" s="4">
        <v>160.26300000000001</v>
      </c>
      <c r="E75" s="4">
        <v>41.03</v>
      </c>
      <c r="F75" s="4">
        <v>11.603999999999999</v>
      </c>
      <c r="H75" s="3">
        <v>6</v>
      </c>
      <c r="I75" s="4">
        <v>491.35399999999998</v>
      </c>
      <c r="J75" s="4">
        <v>681.52800000000002</v>
      </c>
      <c r="K75" s="4">
        <v>489.13600000000002</v>
      </c>
      <c r="L75" s="4">
        <v>112.887</v>
      </c>
      <c r="M75" s="4">
        <v>72.978999999999999</v>
      </c>
    </row>
    <row r="76" spans="1:13">
      <c r="A76" s="3" t="s">
        <v>4</v>
      </c>
      <c r="B76" s="34">
        <v>0</v>
      </c>
      <c r="C76" s="34">
        <v>0</v>
      </c>
      <c r="D76" s="34">
        <v>0</v>
      </c>
      <c r="E76" s="34">
        <v>0</v>
      </c>
      <c r="F76" s="34">
        <v>0</v>
      </c>
      <c r="H76" s="3" t="s">
        <v>4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</row>
    <row r="77" spans="1:13">
      <c r="A77" s="3">
        <v>7</v>
      </c>
      <c r="B77" s="4">
        <v>397.00799999999998</v>
      </c>
      <c r="C77" s="4">
        <v>50.235999999999997</v>
      </c>
      <c r="D77" s="4">
        <v>135.52099999999999</v>
      </c>
      <c r="E77" s="4">
        <v>78.942999999999998</v>
      </c>
      <c r="F77" s="4">
        <v>13.246</v>
      </c>
      <c r="H77" s="3">
        <v>7</v>
      </c>
      <c r="I77" s="4">
        <v>436.17099999999999</v>
      </c>
      <c r="J77" s="39">
        <v>0</v>
      </c>
      <c r="K77" s="4">
        <v>375.36900000000003</v>
      </c>
      <c r="L77" s="4">
        <v>195.696</v>
      </c>
      <c r="M77" s="4">
        <v>83.209000000000003</v>
      </c>
    </row>
    <row r="78" spans="1:13">
      <c r="A78" s="3">
        <v>7</v>
      </c>
      <c r="B78" s="4">
        <v>402.60399999999998</v>
      </c>
      <c r="C78" s="4">
        <v>50.351999999999997</v>
      </c>
      <c r="D78" s="4">
        <v>135.96</v>
      </c>
      <c r="E78" s="4">
        <v>79.787000000000006</v>
      </c>
      <c r="F78" s="4">
        <v>13.27</v>
      </c>
      <c r="H78" s="3">
        <v>7</v>
      </c>
      <c r="I78" s="4">
        <v>432.34100000000001</v>
      </c>
      <c r="J78" s="39">
        <v>0</v>
      </c>
      <c r="K78" s="4">
        <v>390.15699999999998</v>
      </c>
      <c r="L78" s="4">
        <v>193.16200000000001</v>
      </c>
      <c r="M78" s="4">
        <v>82.864000000000004</v>
      </c>
    </row>
    <row r="79" spans="1:13">
      <c r="A79" s="3">
        <v>7</v>
      </c>
      <c r="B79" s="4">
        <v>398.94499999999999</v>
      </c>
      <c r="C79" s="4">
        <v>49.451000000000001</v>
      </c>
      <c r="D79" s="4">
        <v>138.083</v>
      </c>
      <c r="E79" s="4">
        <v>79.602999999999994</v>
      </c>
      <c r="F79" s="4">
        <v>13.287000000000001</v>
      </c>
      <c r="H79" s="3">
        <v>7</v>
      </c>
      <c r="I79" s="4">
        <v>454.62299999999999</v>
      </c>
      <c r="J79" s="39">
        <v>0</v>
      </c>
      <c r="K79" s="4">
        <v>367.721</v>
      </c>
      <c r="L79" s="4">
        <v>200.98</v>
      </c>
      <c r="M79" s="4">
        <v>82.186999999999998</v>
      </c>
    </row>
    <row r="80" spans="1:13">
      <c r="A80" s="3" t="s">
        <v>4</v>
      </c>
      <c r="B80" s="34">
        <v>0</v>
      </c>
      <c r="C80" s="34">
        <v>0.71599999999999997</v>
      </c>
      <c r="D80" s="34">
        <v>0</v>
      </c>
      <c r="E80" s="34">
        <v>0</v>
      </c>
      <c r="F80" s="34">
        <v>0</v>
      </c>
      <c r="H80" s="3" t="s">
        <v>4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</row>
    <row r="81" spans="1:13">
      <c r="A81" s="3">
        <v>8</v>
      </c>
      <c r="B81" s="4">
        <v>721.26300000000003</v>
      </c>
      <c r="C81" s="6">
        <v>139.733</v>
      </c>
      <c r="D81" s="4">
        <v>127.59</v>
      </c>
      <c r="E81" s="4">
        <v>97.176000000000002</v>
      </c>
      <c r="F81" s="43"/>
      <c r="H81" s="3">
        <v>8</v>
      </c>
      <c r="I81" s="4">
        <v>763.22500000000002</v>
      </c>
      <c r="J81" s="4">
        <v>422.02199999999999</v>
      </c>
      <c r="K81" s="4">
        <v>275.197</v>
      </c>
      <c r="L81" s="4">
        <v>235.24799999999999</v>
      </c>
      <c r="M81" s="43"/>
    </row>
    <row r="82" spans="1:13">
      <c r="A82" s="3">
        <v>8</v>
      </c>
      <c r="B82" s="4">
        <v>733.78</v>
      </c>
      <c r="C82" s="6">
        <v>142.113</v>
      </c>
      <c r="D82" s="4">
        <v>131.10900000000001</v>
      </c>
      <c r="E82" s="4">
        <v>96.320999999999998</v>
      </c>
      <c r="F82" s="43"/>
      <c r="H82" s="3">
        <v>8</v>
      </c>
      <c r="I82" s="4">
        <v>749.47500000000002</v>
      </c>
      <c r="J82" s="4">
        <v>435.40699999999998</v>
      </c>
      <c r="K82" s="4">
        <v>288.08499999999998</v>
      </c>
      <c r="L82" s="4">
        <v>248.678</v>
      </c>
      <c r="M82" s="43"/>
    </row>
    <row r="83" spans="1:13">
      <c r="A83" s="3">
        <v>8</v>
      </c>
      <c r="B83" s="4">
        <v>717.577</v>
      </c>
      <c r="C83" s="6">
        <v>142.86799999999999</v>
      </c>
      <c r="D83" s="4">
        <v>130.26499999999999</v>
      </c>
      <c r="E83" s="4">
        <v>94.796999999999997</v>
      </c>
      <c r="F83" s="43"/>
      <c r="H83" s="3">
        <v>8</v>
      </c>
      <c r="I83" s="4">
        <v>743.74400000000003</v>
      </c>
      <c r="J83" s="4">
        <v>420.161</v>
      </c>
      <c r="K83" s="4">
        <v>283.82</v>
      </c>
      <c r="L83" s="4">
        <v>261.03399999999999</v>
      </c>
      <c r="M83" s="43"/>
    </row>
    <row r="84" spans="1:13">
      <c r="A84" s="3" t="s">
        <v>4</v>
      </c>
      <c r="B84" s="34">
        <v>0</v>
      </c>
      <c r="C84" s="34">
        <v>0</v>
      </c>
      <c r="D84" s="34">
        <v>0</v>
      </c>
      <c r="E84" s="34">
        <v>0</v>
      </c>
      <c r="F84" s="43"/>
      <c r="H84" s="3" t="s">
        <v>4</v>
      </c>
      <c r="I84" s="34">
        <v>0</v>
      </c>
      <c r="J84" s="34">
        <v>0</v>
      </c>
      <c r="K84" s="34">
        <v>0</v>
      </c>
      <c r="L84" s="34">
        <v>0</v>
      </c>
      <c r="M84" s="43"/>
    </row>
    <row r="85" spans="1:13">
      <c r="A85" s="3">
        <v>12</v>
      </c>
      <c r="B85" s="4">
        <v>629.42700000000002</v>
      </c>
      <c r="C85" s="6">
        <v>126.843</v>
      </c>
      <c r="D85" s="4">
        <v>117.358</v>
      </c>
      <c r="E85" s="4">
        <v>108.479</v>
      </c>
      <c r="F85" s="4">
        <v>16.545000000000002</v>
      </c>
      <c r="H85" s="3">
        <v>12</v>
      </c>
      <c r="I85" s="4">
        <v>3048.4490000000001</v>
      </c>
      <c r="J85" s="4">
        <v>321.19200000000001</v>
      </c>
      <c r="K85" s="4">
        <v>179.185</v>
      </c>
      <c r="L85" s="4">
        <v>350.30099999999999</v>
      </c>
      <c r="M85" s="4">
        <v>147.25200000000001</v>
      </c>
    </row>
    <row r="86" spans="1:13">
      <c r="A86" s="3">
        <v>12</v>
      </c>
      <c r="B86" s="4">
        <v>635.70600000000002</v>
      </c>
      <c r="C86" s="6">
        <v>128.01599999999999</v>
      </c>
      <c r="D86" s="4">
        <v>116.515</v>
      </c>
      <c r="E86" s="4">
        <v>107.38800000000001</v>
      </c>
      <c r="F86" s="4">
        <v>16.477</v>
      </c>
      <c r="H86" s="3">
        <v>12</v>
      </c>
      <c r="I86" s="4">
        <v>3057.5940000000001</v>
      </c>
      <c r="J86" s="4">
        <v>328.95400000000001</v>
      </c>
      <c r="K86" s="4">
        <v>173.63200000000001</v>
      </c>
      <c r="L86" s="34">
        <v>0</v>
      </c>
      <c r="M86" s="4">
        <v>146.66800000000001</v>
      </c>
    </row>
    <row r="87" spans="1:13">
      <c r="A87" s="3">
        <v>12</v>
      </c>
      <c r="B87" s="4">
        <v>625</v>
      </c>
      <c r="C87" s="6">
        <v>128.29300000000001</v>
      </c>
      <c r="D87" s="4">
        <v>117.093</v>
      </c>
      <c r="E87" s="4">
        <v>108.946</v>
      </c>
      <c r="F87" s="4">
        <v>16.428999999999998</v>
      </c>
      <c r="H87" s="3">
        <v>12</v>
      </c>
      <c r="I87" s="4">
        <v>3081.2269999999999</v>
      </c>
      <c r="J87" s="4">
        <v>326.31799999999998</v>
      </c>
      <c r="K87" s="4">
        <v>172.214</v>
      </c>
      <c r="L87" s="4">
        <v>334.78300000000002</v>
      </c>
      <c r="M87" s="4">
        <v>149.87</v>
      </c>
    </row>
    <row r="88" spans="1:13">
      <c r="A88" s="3" t="s">
        <v>4</v>
      </c>
      <c r="B88" s="34">
        <v>0</v>
      </c>
      <c r="C88" s="34">
        <v>0</v>
      </c>
      <c r="D88" s="34">
        <v>0</v>
      </c>
      <c r="E88" s="34">
        <v>0</v>
      </c>
      <c r="F88" s="34">
        <v>0</v>
      </c>
      <c r="H88" s="3" t="s">
        <v>4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</row>
    <row r="89" spans="1:13">
      <c r="A89" s="3">
        <v>18</v>
      </c>
      <c r="B89" s="4">
        <v>640.69799999999998</v>
      </c>
      <c r="C89" s="6">
        <v>111.69499999999999</v>
      </c>
      <c r="D89" s="4">
        <v>114.063</v>
      </c>
      <c r="E89" s="4">
        <v>130.35499999999999</v>
      </c>
      <c r="F89" s="43"/>
      <c r="H89" s="3">
        <v>18</v>
      </c>
      <c r="I89" s="4">
        <v>3120.7370000000001</v>
      </c>
      <c r="J89" s="4">
        <v>296.94799999999998</v>
      </c>
      <c r="K89" s="4">
        <v>221.28899999999999</v>
      </c>
      <c r="L89" s="39">
        <v>0</v>
      </c>
      <c r="M89" s="43"/>
    </row>
    <row r="90" spans="1:13">
      <c r="A90" s="3">
        <v>18</v>
      </c>
      <c r="B90" s="4">
        <v>620.36500000000001</v>
      </c>
      <c r="C90" s="6">
        <v>113.032</v>
      </c>
      <c r="D90" s="4">
        <v>109.846</v>
      </c>
      <c r="E90" s="4">
        <v>128.84299999999999</v>
      </c>
      <c r="F90" s="43"/>
      <c r="H90" s="3">
        <v>18</v>
      </c>
      <c r="I90" s="4">
        <v>3098.7269999999999</v>
      </c>
      <c r="J90" s="4">
        <v>299.67099999999999</v>
      </c>
      <c r="K90" s="4">
        <v>207.27500000000001</v>
      </c>
      <c r="L90" s="39">
        <v>0</v>
      </c>
      <c r="M90" s="43"/>
    </row>
    <row r="91" spans="1:13">
      <c r="A91" s="3">
        <v>18</v>
      </c>
      <c r="B91" s="4">
        <v>622.298</v>
      </c>
      <c r="C91" s="6">
        <v>113.581</v>
      </c>
      <c r="D91" s="4">
        <v>109.973</v>
      </c>
      <c r="E91" s="4">
        <v>127.96</v>
      </c>
      <c r="F91" s="43"/>
      <c r="H91" s="3">
        <v>18</v>
      </c>
      <c r="I91" s="4">
        <v>3114.2710000000002</v>
      </c>
      <c r="J91" s="4">
        <v>302.82799999999997</v>
      </c>
      <c r="K91" s="4">
        <v>207.566</v>
      </c>
      <c r="L91" s="39">
        <v>0</v>
      </c>
      <c r="M91" s="43"/>
    </row>
    <row r="92" spans="1:13">
      <c r="A92" s="3" t="s">
        <v>4</v>
      </c>
      <c r="B92" s="34">
        <v>0</v>
      </c>
      <c r="C92" s="34">
        <v>0</v>
      </c>
      <c r="D92" s="34">
        <v>0</v>
      </c>
      <c r="E92" s="34">
        <v>0</v>
      </c>
      <c r="F92" s="43"/>
      <c r="H92" s="3" t="s">
        <v>4</v>
      </c>
      <c r="I92" s="34">
        <v>0</v>
      </c>
      <c r="J92" s="34">
        <v>0</v>
      </c>
      <c r="K92" s="34">
        <v>0</v>
      </c>
      <c r="L92" s="34">
        <v>0</v>
      </c>
      <c r="M92" s="43"/>
    </row>
    <row r="93" spans="1:13">
      <c r="A93" s="3">
        <v>24</v>
      </c>
      <c r="B93" s="4">
        <v>615.12900000000002</v>
      </c>
      <c r="C93" s="6">
        <v>109.41</v>
      </c>
      <c r="D93" s="4">
        <v>106.38</v>
      </c>
      <c r="E93" s="4">
        <v>163.96899999999999</v>
      </c>
      <c r="F93" s="4">
        <v>106.29900000000001</v>
      </c>
      <c r="H93" s="3">
        <v>24</v>
      </c>
      <c r="I93" s="4">
        <v>3075.3870000000002</v>
      </c>
      <c r="J93" s="4">
        <v>336.17099999999999</v>
      </c>
      <c r="K93" s="4">
        <v>228.27600000000001</v>
      </c>
      <c r="L93" s="39">
        <v>0</v>
      </c>
      <c r="M93" s="4">
        <v>436.21800000000002</v>
      </c>
    </row>
    <row r="94" spans="1:13">
      <c r="A94" s="3">
        <v>24</v>
      </c>
      <c r="B94" s="4">
        <v>622.82100000000003</v>
      </c>
      <c r="C94" s="6">
        <v>112.414</v>
      </c>
      <c r="D94" s="4">
        <v>107.50700000000001</v>
      </c>
      <c r="E94" s="4">
        <v>162.25899999999999</v>
      </c>
      <c r="F94" s="4">
        <v>106.687</v>
      </c>
      <c r="H94" s="3">
        <v>24</v>
      </c>
      <c r="I94" s="4">
        <v>3108.4189999999999</v>
      </c>
      <c r="J94" s="4">
        <v>343.45100000000002</v>
      </c>
      <c r="K94" s="4">
        <v>234.24199999999999</v>
      </c>
      <c r="L94" s="39">
        <v>0</v>
      </c>
      <c r="M94" s="4">
        <v>427.29500000000002</v>
      </c>
    </row>
    <row r="95" spans="1:13">
      <c r="A95" s="3">
        <v>24</v>
      </c>
      <c r="B95" s="4">
        <v>617.12400000000002</v>
      </c>
      <c r="C95" s="6">
        <v>112.093</v>
      </c>
      <c r="D95" s="4">
        <v>106.626</v>
      </c>
      <c r="E95" s="4">
        <v>160.74600000000001</v>
      </c>
      <c r="F95" s="4">
        <v>107.161</v>
      </c>
      <c r="H95" s="3">
        <v>24</v>
      </c>
      <c r="I95" s="4">
        <v>3137.6579999999999</v>
      </c>
      <c r="J95" s="4">
        <v>333.17</v>
      </c>
      <c r="K95" s="4">
        <v>229.57900000000001</v>
      </c>
      <c r="L95" s="39">
        <v>0</v>
      </c>
      <c r="M95" s="4">
        <v>425.01600000000002</v>
      </c>
    </row>
    <row r="96" spans="1:13">
      <c r="A96" s="3" t="s">
        <v>4</v>
      </c>
      <c r="B96" s="34">
        <v>0</v>
      </c>
      <c r="C96" s="34">
        <v>0</v>
      </c>
      <c r="D96" s="34">
        <v>0</v>
      </c>
      <c r="E96" s="34">
        <v>0</v>
      </c>
      <c r="F96" s="34">
        <v>0</v>
      </c>
      <c r="H96" s="3" t="s">
        <v>4</v>
      </c>
      <c r="I96" s="34">
        <v>0</v>
      </c>
      <c r="J96" s="34">
        <v>0</v>
      </c>
      <c r="K96" s="34">
        <v>0</v>
      </c>
      <c r="L96" s="40">
        <v>0</v>
      </c>
      <c r="M96" s="34">
        <v>0</v>
      </c>
    </row>
    <row r="97" spans="1:13">
      <c r="A97" s="3">
        <v>48</v>
      </c>
      <c r="B97" s="4">
        <v>611.255</v>
      </c>
      <c r="C97" s="4">
        <v>3.629</v>
      </c>
      <c r="D97" s="4">
        <v>129.08500000000001</v>
      </c>
      <c r="E97" s="43"/>
      <c r="F97" s="44">
        <v>78.126000000000005</v>
      </c>
      <c r="H97" s="3">
        <v>48</v>
      </c>
      <c r="I97" s="4">
        <v>3190.9459999999999</v>
      </c>
      <c r="J97" s="4">
        <v>213.28</v>
      </c>
      <c r="K97" s="4">
        <v>201.81399999999999</v>
      </c>
      <c r="L97" s="43"/>
      <c r="M97" s="4">
        <v>460.83499999999998</v>
      </c>
    </row>
    <row r="98" spans="1:13">
      <c r="A98" s="3">
        <v>48</v>
      </c>
      <c r="B98" s="4">
        <v>622.25800000000004</v>
      </c>
      <c r="C98" s="4">
        <v>3.6070000000000002</v>
      </c>
      <c r="D98" s="4">
        <v>130.298</v>
      </c>
      <c r="E98" s="43"/>
      <c r="F98" s="44">
        <v>78.552999999999997</v>
      </c>
      <c r="H98" s="3">
        <v>48</v>
      </c>
      <c r="I98" s="4">
        <v>3169.2469999999998</v>
      </c>
      <c r="J98" s="4">
        <v>201.30799999999999</v>
      </c>
      <c r="K98" s="4">
        <v>203.29599999999999</v>
      </c>
      <c r="L98" s="43"/>
      <c r="M98" s="4">
        <v>461.87799999999999</v>
      </c>
    </row>
    <row r="99" spans="1:13">
      <c r="A99" s="3">
        <v>48</v>
      </c>
      <c r="B99" s="4">
        <v>609.04200000000003</v>
      </c>
      <c r="C99" s="4">
        <v>3.5150000000000001</v>
      </c>
      <c r="D99" s="4">
        <v>129.77500000000001</v>
      </c>
      <c r="E99" s="43"/>
      <c r="F99" s="44">
        <v>78.022000000000006</v>
      </c>
      <c r="H99" s="3">
        <v>48</v>
      </c>
      <c r="I99" s="4">
        <v>3121.3130000000001</v>
      </c>
      <c r="J99" s="4">
        <v>219.95</v>
      </c>
      <c r="K99" s="4">
        <v>201.03100000000001</v>
      </c>
      <c r="L99" s="43"/>
      <c r="M99" s="44">
        <v>466.09899999999999</v>
      </c>
    </row>
    <row r="100" spans="1:13">
      <c r="A100" s="3" t="s">
        <v>4</v>
      </c>
      <c r="B100" s="34">
        <v>0</v>
      </c>
      <c r="C100" s="34">
        <v>0</v>
      </c>
      <c r="D100" s="34">
        <v>0</v>
      </c>
      <c r="E100" s="43"/>
      <c r="F100" s="45">
        <v>0</v>
      </c>
      <c r="H100" s="3" t="s">
        <v>4</v>
      </c>
      <c r="I100" s="34">
        <v>0</v>
      </c>
      <c r="J100" s="34">
        <v>0</v>
      </c>
      <c r="K100" s="34">
        <v>0</v>
      </c>
      <c r="L100" s="43"/>
      <c r="M100" s="45">
        <v>0</v>
      </c>
    </row>
    <row r="101" spans="1:13">
      <c r="A101" s="3" t="s">
        <v>6</v>
      </c>
      <c r="B101" s="4">
        <v>601.86800000000005</v>
      </c>
      <c r="C101" s="4">
        <v>1.371</v>
      </c>
      <c r="D101" s="4">
        <v>1.3089999999999999</v>
      </c>
      <c r="E101" s="43"/>
      <c r="F101" s="44">
        <v>70.847999999999999</v>
      </c>
      <c r="H101" s="3" t="s">
        <v>6</v>
      </c>
      <c r="I101" s="4">
        <v>3034.34</v>
      </c>
      <c r="J101" s="4">
        <v>53.524000000000001</v>
      </c>
      <c r="K101" s="4">
        <v>43.853000000000002</v>
      </c>
      <c r="L101" s="43"/>
      <c r="M101" s="44">
        <v>409.34</v>
      </c>
    </row>
    <row r="102" spans="1:13">
      <c r="A102" s="3" t="s">
        <v>6</v>
      </c>
      <c r="B102" s="4">
        <v>606.13900000000001</v>
      </c>
      <c r="C102" s="4">
        <v>1.347</v>
      </c>
      <c r="D102" s="4">
        <v>1.3180000000000001</v>
      </c>
      <c r="E102" s="43"/>
      <c r="F102" s="44">
        <v>70.730999999999995</v>
      </c>
      <c r="H102" s="3" t="s">
        <v>6</v>
      </c>
      <c r="I102" s="4">
        <v>3102.5329999999999</v>
      </c>
      <c r="J102" s="4">
        <v>53.484999999999999</v>
      </c>
      <c r="K102" s="4">
        <v>51.618000000000002</v>
      </c>
      <c r="L102" s="43"/>
      <c r="M102" s="44">
        <v>411.02699999999999</v>
      </c>
    </row>
    <row r="103" spans="1:13">
      <c r="A103" s="3" t="s">
        <v>6</v>
      </c>
      <c r="B103" s="4">
        <v>614.78599999999994</v>
      </c>
      <c r="C103" s="4">
        <v>1.337</v>
      </c>
      <c r="D103" s="4">
        <v>1.29</v>
      </c>
      <c r="E103" s="43"/>
      <c r="F103" s="44">
        <v>71.222999999999999</v>
      </c>
      <c r="H103" s="3" t="s">
        <v>6</v>
      </c>
      <c r="I103" s="4">
        <v>3080.9389999999999</v>
      </c>
      <c r="J103" s="4">
        <v>45.009</v>
      </c>
      <c r="K103" s="4">
        <v>52.043999999999997</v>
      </c>
      <c r="L103" s="43"/>
      <c r="M103" s="44">
        <v>413.31599999999997</v>
      </c>
    </row>
    <row r="104" spans="1:13">
      <c r="A104" s="3" t="s">
        <v>4</v>
      </c>
      <c r="B104" s="34">
        <v>0</v>
      </c>
      <c r="C104" s="34">
        <v>0</v>
      </c>
      <c r="D104" s="34">
        <v>0</v>
      </c>
      <c r="E104" s="43"/>
      <c r="F104" s="45">
        <v>0</v>
      </c>
      <c r="H104" s="3" t="s">
        <v>4</v>
      </c>
      <c r="I104" s="34">
        <v>0</v>
      </c>
      <c r="J104" s="34">
        <v>0</v>
      </c>
      <c r="K104" s="34">
        <v>0</v>
      </c>
      <c r="L104" s="43"/>
      <c r="M104" s="45">
        <v>0</v>
      </c>
    </row>
    <row r="105" spans="1:13">
      <c r="A105" s="3" t="s">
        <v>7</v>
      </c>
      <c r="B105" s="4">
        <v>542.75800000000004</v>
      </c>
      <c r="C105" s="4">
        <v>1.38</v>
      </c>
      <c r="D105" s="4">
        <v>1.323</v>
      </c>
      <c r="E105" s="43"/>
      <c r="F105" s="44">
        <v>2.8490000000000002</v>
      </c>
      <c r="H105" s="3" t="s">
        <v>7</v>
      </c>
      <c r="I105" s="4">
        <v>2623.5329999999999</v>
      </c>
      <c r="J105" s="4">
        <v>2.2130000000000001</v>
      </c>
      <c r="K105" s="4">
        <v>1.84</v>
      </c>
      <c r="L105" s="43"/>
      <c r="M105" s="44">
        <v>329.29300000000001</v>
      </c>
    </row>
    <row r="106" spans="1:13">
      <c r="A106" s="3" t="s">
        <v>7</v>
      </c>
      <c r="B106" s="4">
        <v>547.62099999999998</v>
      </c>
      <c r="C106" s="4">
        <v>1.3759999999999999</v>
      </c>
      <c r="D106" s="4">
        <v>1.3260000000000001</v>
      </c>
      <c r="E106" s="43"/>
      <c r="F106" s="44">
        <v>2.7719999999999998</v>
      </c>
      <c r="H106" s="3" t="s">
        <v>7</v>
      </c>
      <c r="I106" s="4">
        <v>2684.5590000000002</v>
      </c>
      <c r="J106" s="4">
        <v>2.17</v>
      </c>
      <c r="K106" s="4">
        <v>1.835</v>
      </c>
      <c r="L106" s="43"/>
      <c r="M106" s="44">
        <v>327.81599999999997</v>
      </c>
    </row>
    <row r="107" spans="1:13">
      <c r="A107" s="3" t="s">
        <v>7</v>
      </c>
      <c r="B107" s="4">
        <v>546.86300000000006</v>
      </c>
      <c r="C107" s="4">
        <v>1.3720000000000001</v>
      </c>
      <c r="D107" s="4">
        <v>1.3140000000000001</v>
      </c>
      <c r="E107" s="43"/>
      <c r="F107" s="44">
        <v>2.7130000000000001</v>
      </c>
      <c r="H107" s="3" t="s">
        <v>7</v>
      </c>
      <c r="I107" s="4">
        <v>2616.826</v>
      </c>
      <c r="J107" s="4">
        <v>2.1970000000000001</v>
      </c>
      <c r="K107" s="4">
        <v>1.8169999999999999</v>
      </c>
      <c r="L107" s="43"/>
      <c r="M107" s="44">
        <v>330.07499999999999</v>
      </c>
    </row>
    <row r="108" spans="1:13">
      <c r="A108" s="3" t="s">
        <v>4</v>
      </c>
      <c r="B108" s="34">
        <v>0</v>
      </c>
      <c r="C108" s="34">
        <v>0</v>
      </c>
      <c r="D108" s="34">
        <v>0</v>
      </c>
      <c r="E108" s="43"/>
      <c r="F108" s="45">
        <v>0</v>
      </c>
      <c r="H108" s="3" t="s">
        <v>4</v>
      </c>
      <c r="I108" s="34">
        <v>0</v>
      </c>
      <c r="J108" s="34">
        <v>0</v>
      </c>
      <c r="K108" s="34">
        <v>0</v>
      </c>
      <c r="L108" s="43"/>
      <c r="M108" s="45">
        <v>0</v>
      </c>
    </row>
    <row r="109" spans="1:13">
      <c r="A109" s="3" t="s">
        <v>8</v>
      </c>
      <c r="B109" s="4">
        <v>639.11199999999997</v>
      </c>
      <c r="C109" s="4">
        <v>1.4379999999999999</v>
      </c>
      <c r="D109" s="4">
        <v>1.45</v>
      </c>
      <c r="E109" s="43"/>
      <c r="F109" s="43"/>
      <c r="H109" s="3" t="s">
        <v>8</v>
      </c>
      <c r="I109" s="4">
        <v>3317.6089999999999</v>
      </c>
      <c r="J109" s="4">
        <v>2.6930000000000001</v>
      </c>
      <c r="K109" s="4">
        <v>1.9830000000000001</v>
      </c>
      <c r="L109" s="43"/>
      <c r="M109" s="43"/>
    </row>
    <row r="110" spans="1:13">
      <c r="A110" s="3" t="s">
        <v>8</v>
      </c>
      <c r="B110" s="4">
        <v>644.21299999999997</v>
      </c>
      <c r="C110" s="4">
        <v>1.4410000000000001</v>
      </c>
      <c r="D110" s="4">
        <v>1.4219999999999999</v>
      </c>
      <c r="E110" s="43"/>
      <c r="F110" s="43"/>
      <c r="H110" s="3" t="s">
        <v>8</v>
      </c>
      <c r="I110" s="4">
        <v>3366.0030000000002</v>
      </c>
      <c r="J110" s="4">
        <v>2.6659999999999999</v>
      </c>
      <c r="K110" s="4">
        <v>1.839</v>
      </c>
      <c r="L110" s="43"/>
      <c r="M110" s="43"/>
    </row>
    <row r="111" spans="1:13">
      <c r="A111" s="3" t="s">
        <v>8</v>
      </c>
      <c r="B111" s="4">
        <v>651.97400000000005</v>
      </c>
      <c r="C111" s="4">
        <v>1.4470000000000001</v>
      </c>
      <c r="D111" s="4">
        <v>1.403</v>
      </c>
      <c r="E111" s="43"/>
      <c r="F111" s="43"/>
      <c r="H111" s="3" t="s">
        <v>8</v>
      </c>
      <c r="I111" s="4">
        <v>3396.4630000000002</v>
      </c>
      <c r="J111" s="4">
        <v>2.657</v>
      </c>
      <c r="K111" s="4">
        <v>1.8839999999999999</v>
      </c>
      <c r="L111" s="43"/>
      <c r="M111" s="43"/>
    </row>
    <row r="112" spans="1:13">
      <c r="A112" s="18" t="s">
        <v>5</v>
      </c>
      <c r="B112" s="34">
        <v>0</v>
      </c>
      <c r="C112" s="34">
        <v>0</v>
      </c>
      <c r="D112" s="34">
        <v>0</v>
      </c>
      <c r="E112" s="43"/>
      <c r="F112" s="43"/>
      <c r="H112" s="18" t="s">
        <v>5</v>
      </c>
      <c r="I112" s="34">
        <v>0</v>
      </c>
      <c r="J112" s="34">
        <v>0</v>
      </c>
      <c r="K112" s="34">
        <v>0</v>
      </c>
      <c r="L112" s="43"/>
      <c r="M112" s="43"/>
    </row>
    <row r="113" spans="1:13">
      <c r="A113" s="15" t="s">
        <v>9</v>
      </c>
      <c r="B113" s="4">
        <v>286.815</v>
      </c>
      <c r="C113" s="4">
        <v>1.4379999999999999</v>
      </c>
      <c r="D113" s="4">
        <v>1.4830000000000001</v>
      </c>
      <c r="E113" s="43"/>
      <c r="F113" s="43"/>
      <c r="H113" s="15" t="s">
        <v>9</v>
      </c>
      <c r="I113" s="4">
        <v>1947.9480000000001</v>
      </c>
      <c r="J113" s="4">
        <v>2.7589999999999999</v>
      </c>
      <c r="K113" s="4">
        <v>2.149</v>
      </c>
      <c r="L113" s="43"/>
      <c r="M113" s="43"/>
    </row>
    <row r="114" spans="1:13">
      <c r="A114" s="15" t="s">
        <v>9</v>
      </c>
      <c r="B114" s="4">
        <v>282.81299999999999</v>
      </c>
      <c r="C114" s="4">
        <v>1.4419999999999999</v>
      </c>
      <c r="D114" s="4">
        <v>1.4419999999999999</v>
      </c>
      <c r="E114" s="43"/>
      <c r="F114" s="43"/>
      <c r="H114" s="15" t="s">
        <v>9</v>
      </c>
      <c r="I114" s="4">
        <v>1994.1120000000001</v>
      </c>
      <c r="J114" s="4">
        <v>2.7549999999999999</v>
      </c>
      <c r="K114" s="4">
        <v>2.11</v>
      </c>
      <c r="L114" s="43"/>
      <c r="M114" s="43"/>
    </row>
    <row r="115" spans="1:13">
      <c r="A115" s="15" t="s">
        <v>9</v>
      </c>
      <c r="B115" s="4">
        <v>275.43099999999998</v>
      </c>
      <c r="C115" s="4">
        <v>1.4419999999999999</v>
      </c>
      <c r="D115" s="4">
        <v>1.4650000000000001</v>
      </c>
      <c r="E115" s="43"/>
      <c r="F115" s="43"/>
      <c r="H115" s="15" t="s">
        <v>9</v>
      </c>
      <c r="I115" s="4">
        <v>1950.8679999999999</v>
      </c>
      <c r="J115" s="4">
        <v>2.706</v>
      </c>
      <c r="K115" s="4">
        <v>2.105</v>
      </c>
      <c r="L115" s="43"/>
      <c r="M115" s="43"/>
    </row>
    <row r="116" spans="1:13">
      <c r="A116" s="15" t="s">
        <v>4</v>
      </c>
      <c r="B116" s="4">
        <v>2.1459999999999999</v>
      </c>
      <c r="C116" s="34">
        <v>0</v>
      </c>
      <c r="D116" s="34">
        <v>0</v>
      </c>
      <c r="E116" s="43"/>
      <c r="F116" s="43"/>
      <c r="H116" s="15" t="s">
        <v>4</v>
      </c>
      <c r="I116" s="34">
        <v>0</v>
      </c>
      <c r="J116" s="34">
        <v>0</v>
      </c>
      <c r="K116" s="34">
        <v>0</v>
      </c>
      <c r="L116" s="43"/>
      <c r="M116" s="43"/>
    </row>
    <row r="117" spans="1:13">
      <c r="A117" s="15" t="s">
        <v>10</v>
      </c>
      <c r="B117" s="4">
        <v>174.827</v>
      </c>
      <c r="C117" s="4">
        <v>1.3839999999999999</v>
      </c>
      <c r="D117" s="4">
        <v>1.367</v>
      </c>
      <c r="E117" s="43"/>
      <c r="F117" s="43"/>
      <c r="H117" s="15" t="s">
        <v>10</v>
      </c>
      <c r="I117" s="4">
        <v>1645.5530000000001</v>
      </c>
      <c r="J117" s="4">
        <v>2.8690000000000002</v>
      </c>
      <c r="K117" s="4">
        <v>2.1160000000000001</v>
      </c>
      <c r="L117" s="43"/>
      <c r="M117" s="43"/>
    </row>
    <row r="118" spans="1:13">
      <c r="A118" s="15" t="s">
        <v>10</v>
      </c>
      <c r="B118" s="4">
        <v>169.59899999999999</v>
      </c>
      <c r="C118" s="4">
        <v>1.413</v>
      </c>
      <c r="D118" s="4">
        <v>1.375</v>
      </c>
      <c r="E118" s="43"/>
      <c r="F118" s="43"/>
      <c r="H118" s="15" t="s">
        <v>10</v>
      </c>
      <c r="I118" s="4">
        <v>1640.7449999999999</v>
      </c>
      <c r="J118" s="4">
        <v>2.8570000000000002</v>
      </c>
      <c r="K118" s="4">
        <v>2.08</v>
      </c>
      <c r="L118" s="43"/>
      <c r="M118" s="43"/>
    </row>
    <row r="119" spans="1:13">
      <c r="A119" s="15" t="s">
        <v>10</v>
      </c>
      <c r="B119" s="4">
        <v>172.50800000000001</v>
      </c>
      <c r="C119" s="4">
        <v>1.42</v>
      </c>
      <c r="D119" s="4">
        <v>1.347</v>
      </c>
      <c r="E119" s="43"/>
      <c r="F119" s="43"/>
      <c r="H119" s="15" t="s">
        <v>10</v>
      </c>
      <c r="I119" s="4">
        <v>1625.864</v>
      </c>
      <c r="J119" s="4">
        <v>2.9009999999999998</v>
      </c>
      <c r="K119" s="4">
        <v>2.1</v>
      </c>
      <c r="L119" s="43"/>
      <c r="M119" s="43"/>
    </row>
    <row r="120" spans="1:13">
      <c r="A120" s="15" t="s">
        <v>4</v>
      </c>
      <c r="B120" s="4">
        <v>2.1</v>
      </c>
      <c r="C120" s="34">
        <v>0</v>
      </c>
      <c r="D120" s="34">
        <v>0</v>
      </c>
      <c r="E120" s="43"/>
      <c r="F120" s="43"/>
      <c r="H120" s="15" t="s">
        <v>4</v>
      </c>
      <c r="I120" s="34">
        <v>0</v>
      </c>
      <c r="J120" s="34">
        <v>0</v>
      </c>
      <c r="K120" s="34">
        <v>0</v>
      </c>
      <c r="L120" s="43"/>
      <c r="M120" s="43"/>
    </row>
    <row r="121" spans="1:13">
      <c r="A121" s="15" t="s">
        <v>11</v>
      </c>
      <c r="B121" s="4">
        <v>157.94200000000001</v>
      </c>
      <c r="C121" s="4">
        <v>1.4830000000000001</v>
      </c>
      <c r="D121" s="4">
        <v>1.3779999999999999</v>
      </c>
      <c r="E121" s="43"/>
      <c r="F121" s="43"/>
      <c r="H121" s="15" t="s">
        <v>11</v>
      </c>
      <c r="I121" s="4">
        <v>1122.5840000000001</v>
      </c>
      <c r="J121" s="4">
        <v>2.4239999999999999</v>
      </c>
      <c r="K121" s="4">
        <v>1.788</v>
      </c>
      <c r="L121" s="43"/>
      <c r="M121" s="43"/>
    </row>
    <row r="122" spans="1:13">
      <c r="A122" s="15" t="s">
        <v>11</v>
      </c>
      <c r="B122" s="4">
        <v>161.59399999999999</v>
      </c>
      <c r="C122" s="4">
        <v>1.474</v>
      </c>
      <c r="D122" s="4">
        <v>1.415</v>
      </c>
      <c r="E122" s="43"/>
      <c r="F122" s="43"/>
      <c r="H122" s="15" t="s">
        <v>11</v>
      </c>
      <c r="I122" s="4">
        <v>1143.098</v>
      </c>
      <c r="J122" s="4">
        <v>2.4420000000000002</v>
      </c>
      <c r="K122" s="4">
        <v>1.7669999999999999</v>
      </c>
      <c r="L122" s="43"/>
      <c r="M122" s="43"/>
    </row>
    <row r="123" spans="1:13">
      <c r="A123" s="15" t="s">
        <v>11</v>
      </c>
      <c r="B123" s="4">
        <v>156.28399999999999</v>
      </c>
      <c r="C123" s="4">
        <v>1.458</v>
      </c>
      <c r="D123" s="4">
        <v>1.3740000000000001</v>
      </c>
      <c r="E123" s="43"/>
      <c r="F123" s="43"/>
      <c r="H123" s="15" t="s">
        <v>11</v>
      </c>
      <c r="I123" s="4">
        <v>1139.184</v>
      </c>
      <c r="J123" s="4">
        <v>2.4430000000000001</v>
      </c>
      <c r="K123" s="4">
        <v>1.792</v>
      </c>
      <c r="L123" s="43"/>
      <c r="M123" s="43"/>
    </row>
    <row r="124" spans="1:13">
      <c r="A124" s="15" t="s">
        <v>4</v>
      </c>
      <c r="B124" s="4">
        <v>2.093</v>
      </c>
      <c r="C124" s="34">
        <v>0</v>
      </c>
      <c r="D124" s="34">
        <v>0</v>
      </c>
      <c r="E124" s="43"/>
      <c r="F124" s="43"/>
      <c r="H124" s="15" t="s">
        <v>4</v>
      </c>
      <c r="I124" s="34">
        <v>0</v>
      </c>
      <c r="J124" s="34">
        <v>0</v>
      </c>
      <c r="K124" s="34">
        <v>0</v>
      </c>
      <c r="L124" s="43"/>
      <c r="M124" s="43"/>
    </row>
    <row r="125" spans="1:13">
      <c r="A125" s="15" t="s">
        <v>12</v>
      </c>
      <c r="B125" s="4">
        <v>176.28299999999999</v>
      </c>
      <c r="C125" s="4">
        <v>1.38</v>
      </c>
      <c r="D125" s="4">
        <v>1.403</v>
      </c>
      <c r="E125" s="43"/>
      <c r="F125" s="43"/>
      <c r="H125" s="15" t="s">
        <v>12</v>
      </c>
      <c r="I125" s="4">
        <v>712.26800000000003</v>
      </c>
      <c r="J125" s="4">
        <v>1.8420000000000001</v>
      </c>
      <c r="K125" s="4">
        <v>1.137</v>
      </c>
      <c r="L125" s="43"/>
      <c r="M125" s="43"/>
    </row>
    <row r="126" spans="1:13">
      <c r="A126" s="15" t="s">
        <v>12</v>
      </c>
      <c r="B126" s="4">
        <v>173.535</v>
      </c>
      <c r="C126" s="4">
        <v>1.381</v>
      </c>
      <c r="D126" s="4">
        <v>1.415</v>
      </c>
      <c r="E126" s="43"/>
      <c r="F126" s="43"/>
      <c r="H126" s="15" t="s">
        <v>12</v>
      </c>
      <c r="I126" s="4">
        <v>724.78300000000002</v>
      </c>
      <c r="J126" s="4">
        <v>1.8220000000000001</v>
      </c>
      <c r="K126" s="4">
        <v>1.1499999999999999</v>
      </c>
      <c r="L126" s="43"/>
      <c r="M126" s="43"/>
    </row>
    <row r="127" spans="1:13">
      <c r="A127" s="15" t="s">
        <v>12</v>
      </c>
      <c r="B127" s="4">
        <v>170.221</v>
      </c>
      <c r="C127" s="4">
        <v>1.4039999999999999</v>
      </c>
      <c r="D127" s="4">
        <v>1.4219999999999999</v>
      </c>
      <c r="E127" s="43"/>
      <c r="F127" s="43"/>
      <c r="H127" s="15" t="s">
        <v>12</v>
      </c>
      <c r="I127" s="4">
        <v>718.178</v>
      </c>
      <c r="J127" s="4">
        <v>1.7629999999999999</v>
      </c>
      <c r="K127" s="4">
        <v>1.0940000000000001</v>
      </c>
      <c r="L127" s="43"/>
      <c r="M127" s="43"/>
    </row>
    <row r="128" spans="1:13">
      <c r="A128" s="15" t="s">
        <v>4</v>
      </c>
      <c r="B128" s="4">
        <v>2.129</v>
      </c>
      <c r="C128" s="34">
        <v>0</v>
      </c>
      <c r="D128" s="34">
        <v>0</v>
      </c>
      <c r="E128" s="43"/>
      <c r="F128" s="43"/>
      <c r="H128" s="15" t="s">
        <v>4</v>
      </c>
      <c r="I128" s="34">
        <v>0</v>
      </c>
      <c r="J128" s="34">
        <v>0</v>
      </c>
      <c r="K128" s="34">
        <v>0</v>
      </c>
      <c r="L128" s="43"/>
      <c r="M128" s="43"/>
    </row>
    <row r="129" spans="1:13">
      <c r="A129" s="15" t="s">
        <v>13</v>
      </c>
      <c r="B129" s="4">
        <v>105.911</v>
      </c>
      <c r="C129" s="4">
        <v>1.3779999999999999</v>
      </c>
      <c r="D129" s="4">
        <v>1.4059999999999999</v>
      </c>
      <c r="E129" s="43"/>
      <c r="F129" s="43"/>
      <c r="H129" s="15" t="s">
        <v>13</v>
      </c>
      <c r="I129" s="4">
        <v>487.69900000000001</v>
      </c>
      <c r="J129" s="4">
        <v>1.556</v>
      </c>
      <c r="K129" s="4">
        <v>1.1120000000000001</v>
      </c>
      <c r="L129" s="43"/>
      <c r="M129" s="43"/>
    </row>
    <row r="130" spans="1:13">
      <c r="A130" s="15" t="s">
        <v>13</v>
      </c>
      <c r="B130" s="4">
        <v>105.61499999999999</v>
      </c>
      <c r="C130" s="4">
        <v>1.389</v>
      </c>
      <c r="D130" s="4">
        <v>1.3779999999999999</v>
      </c>
      <c r="E130" s="43"/>
      <c r="F130" s="43"/>
      <c r="H130" s="15" t="s">
        <v>13</v>
      </c>
      <c r="I130" s="4">
        <v>512.86500000000001</v>
      </c>
      <c r="J130" s="4">
        <v>1.5209999999999999</v>
      </c>
      <c r="K130" s="4">
        <v>1.0249999999999999</v>
      </c>
      <c r="L130" s="43"/>
      <c r="M130" s="43"/>
    </row>
    <row r="131" spans="1:13">
      <c r="A131" s="15" t="s">
        <v>13</v>
      </c>
      <c r="B131" s="4">
        <v>103.163</v>
      </c>
      <c r="C131" s="4">
        <v>1.3979999999999999</v>
      </c>
      <c r="D131" s="4">
        <v>1.411</v>
      </c>
      <c r="E131" s="43"/>
      <c r="F131" s="43"/>
      <c r="H131" s="15" t="s">
        <v>13</v>
      </c>
      <c r="I131" s="4">
        <v>500.62099999999998</v>
      </c>
      <c r="J131" s="4">
        <v>1.4910000000000001</v>
      </c>
      <c r="K131" s="4">
        <v>1.0640000000000001</v>
      </c>
      <c r="L131" s="43"/>
      <c r="M131" s="43"/>
    </row>
    <row r="132" spans="1:13">
      <c r="A132" s="15" t="s">
        <v>4</v>
      </c>
      <c r="B132" s="4">
        <v>2.1080000000000001</v>
      </c>
      <c r="C132" s="34">
        <v>0</v>
      </c>
      <c r="D132" s="34">
        <v>0</v>
      </c>
      <c r="E132" s="43"/>
      <c r="F132" s="43"/>
      <c r="H132" s="15" t="s">
        <v>4</v>
      </c>
      <c r="I132" s="34">
        <v>0</v>
      </c>
      <c r="J132" s="34">
        <v>0</v>
      </c>
      <c r="K132" s="34">
        <v>0</v>
      </c>
      <c r="L132" s="43"/>
      <c r="M132" s="43"/>
    </row>
    <row r="133" spans="1:13">
      <c r="A133" s="15" t="s">
        <v>14</v>
      </c>
      <c r="B133" s="4">
        <v>20.59</v>
      </c>
      <c r="C133" s="4">
        <v>1.4019999999999999</v>
      </c>
      <c r="D133" s="4">
        <v>1.466</v>
      </c>
      <c r="E133" s="43"/>
      <c r="F133" s="43"/>
      <c r="H133" s="15" t="s">
        <v>14</v>
      </c>
      <c r="I133" s="4">
        <v>252.715</v>
      </c>
      <c r="J133" s="34">
        <v>0.54400000000000004</v>
      </c>
      <c r="K133" s="34">
        <v>0.14599999999999999</v>
      </c>
      <c r="L133" s="43"/>
      <c r="M133" s="43"/>
    </row>
    <row r="134" spans="1:13">
      <c r="A134" s="15" t="s">
        <v>14</v>
      </c>
      <c r="B134" s="4">
        <v>20.312999999999999</v>
      </c>
      <c r="C134" s="4">
        <v>1.4710000000000001</v>
      </c>
      <c r="D134" s="4">
        <v>1.48</v>
      </c>
      <c r="E134" s="43"/>
      <c r="F134" s="43"/>
      <c r="H134" s="15" t="s">
        <v>14</v>
      </c>
      <c r="I134" s="4">
        <v>242.48</v>
      </c>
      <c r="J134" s="34">
        <v>0.55900000000000005</v>
      </c>
      <c r="K134" s="34">
        <v>0.16400000000000001</v>
      </c>
      <c r="L134" s="43"/>
      <c r="M134" s="43"/>
    </row>
    <row r="135" spans="1:13">
      <c r="A135" s="15" t="s">
        <v>14</v>
      </c>
      <c r="B135" s="4">
        <v>19.91</v>
      </c>
      <c r="C135" s="4">
        <v>1.476</v>
      </c>
      <c r="D135" s="4">
        <v>1.484</v>
      </c>
      <c r="E135" s="43"/>
      <c r="F135" s="43"/>
      <c r="H135" s="15" t="s">
        <v>14</v>
      </c>
      <c r="I135" s="4">
        <v>243.084</v>
      </c>
      <c r="J135" s="34">
        <v>0.57799999999999996</v>
      </c>
      <c r="K135" s="34">
        <v>0.157</v>
      </c>
      <c r="L135" s="43"/>
      <c r="M135" s="43"/>
    </row>
    <row r="136" spans="1:13">
      <c r="A136" s="15" t="s">
        <v>4</v>
      </c>
      <c r="B136" s="4">
        <v>1.972</v>
      </c>
      <c r="C136" s="34">
        <v>0</v>
      </c>
      <c r="D136" s="34">
        <v>0</v>
      </c>
      <c r="E136" s="43"/>
      <c r="F136" s="43"/>
      <c r="H136" s="15" t="s">
        <v>4</v>
      </c>
      <c r="I136" s="34">
        <v>0</v>
      </c>
      <c r="J136" s="34">
        <v>0</v>
      </c>
      <c r="K136" s="34">
        <v>0</v>
      </c>
      <c r="L136" s="43"/>
      <c r="M136" s="43"/>
    </row>
    <row r="137" spans="1:13">
      <c r="A137" s="15" t="s">
        <v>15</v>
      </c>
      <c r="B137" s="4">
        <v>17.835999999999999</v>
      </c>
      <c r="C137" s="4">
        <v>1.4490000000000001</v>
      </c>
      <c r="D137" s="4">
        <v>1.42</v>
      </c>
      <c r="E137" s="43"/>
      <c r="F137" s="43"/>
      <c r="H137" s="15" t="s">
        <v>15</v>
      </c>
      <c r="I137" s="4">
        <v>163.68700000000001</v>
      </c>
      <c r="J137" s="34">
        <v>0.55400000000000005</v>
      </c>
      <c r="K137" s="34">
        <v>5.6000000000000001E-2</v>
      </c>
      <c r="L137" s="43"/>
      <c r="M137" s="43"/>
    </row>
    <row r="138" spans="1:13">
      <c r="A138" s="15" t="s">
        <v>15</v>
      </c>
      <c r="B138" s="4">
        <v>17.238</v>
      </c>
      <c r="C138" s="4">
        <v>1.4339999999999999</v>
      </c>
      <c r="D138" s="4">
        <v>1.4450000000000001</v>
      </c>
      <c r="E138" s="43"/>
      <c r="F138" s="43"/>
      <c r="H138" s="15" t="s">
        <v>15</v>
      </c>
      <c r="I138" s="4">
        <v>163.28100000000001</v>
      </c>
      <c r="J138" s="34">
        <v>0.54500000000000004</v>
      </c>
      <c r="K138" s="34">
        <v>7.3999999999999996E-2</v>
      </c>
      <c r="L138" s="43"/>
      <c r="M138" s="43"/>
    </row>
    <row r="139" spans="1:13">
      <c r="A139" s="15" t="s">
        <v>15</v>
      </c>
      <c r="B139" s="4">
        <v>17.683</v>
      </c>
      <c r="C139" s="4">
        <v>1.4910000000000001</v>
      </c>
      <c r="D139" s="4">
        <v>1.4650000000000001</v>
      </c>
      <c r="E139" s="43"/>
      <c r="F139" s="43"/>
      <c r="H139" s="15" t="s">
        <v>15</v>
      </c>
      <c r="I139" s="4">
        <v>162.172</v>
      </c>
      <c r="J139" s="34">
        <v>0.59099999999999997</v>
      </c>
      <c r="K139" s="34">
        <v>0.08</v>
      </c>
      <c r="L139" s="43"/>
      <c r="M139" s="43"/>
    </row>
    <row r="140" spans="1:13">
      <c r="A140" s="15" t="s">
        <v>4</v>
      </c>
      <c r="B140" s="34">
        <v>0</v>
      </c>
      <c r="C140" s="34">
        <v>0</v>
      </c>
      <c r="D140" s="34">
        <v>0</v>
      </c>
      <c r="E140" s="43"/>
      <c r="F140" s="43"/>
      <c r="H140" s="15" t="s">
        <v>4</v>
      </c>
      <c r="I140" s="34">
        <v>0</v>
      </c>
      <c r="J140" s="34">
        <v>0</v>
      </c>
      <c r="K140" s="34">
        <v>0</v>
      </c>
      <c r="L140" s="43"/>
      <c r="M140" s="43"/>
    </row>
    <row r="141" spans="1:13">
      <c r="A141" s="15" t="s">
        <v>16</v>
      </c>
      <c r="B141" s="35">
        <v>16.794</v>
      </c>
      <c r="C141" s="4">
        <v>1.4830000000000001</v>
      </c>
      <c r="D141" s="4">
        <v>1.4450000000000001</v>
      </c>
      <c r="E141" s="43"/>
      <c r="F141" s="43"/>
      <c r="H141" s="15" t="s">
        <v>16</v>
      </c>
      <c r="I141" s="4">
        <v>99.781999999999996</v>
      </c>
      <c r="J141" s="34">
        <v>0.72</v>
      </c>
      <c r="K141" s="34">
        <v>0.23899999999999999</v>
      </c>
      <c r="L141" s="43"/>
      <c r="M141" s="43"/>
    </row>
    <row r="142" spans="1:13">
      <c r="A142" s="15" t="s">
        <v>16</v>
      </c>
      <c r="B142" s="4">
        <v>16.048999999999999</v>
      </c>
      <c r="C142" s="4">
        <v>1.468</v>
      </c>
      <c r="D142" s="4">
        <v>1.427</v>
      </c>
      <c r="E142" s="43"/>
      <c r="F142" s="43"/>
      <c r="H142" s="15" t="s">
        <v>16</v>
      </c>
      <c r="I142" s="4">
        <v>99.138999999999996</v>
      </c>
      <c r="J142" s="34">
        <v>0.68300000000000005</v>
      </c>
      <c r="K142" s="34">
        <v>0.26300000000000001</v>
      </c>
      <c r="L142" s="43"/>
      <c r="M142" s="43"/>
    </row>
    <row r="143" spans="1:13">
      <c r="A143" s="15" t="s">
        <v>16</v>
      </c>
      <c r="B143" s="4">
        <v>16.254999999999999</v>
      </c>
      <c r="C143" s="4">
        <v>1.417</v>
      </c>
      <c r="D143" s="4">
        <v>1.4279999999999999</v>
      </c>
      <c r="E143" s="43"/>
      <c r="F143" s="43"/>
      <c r="H143" s="15" t="s">
        <v>16</v>
      </c>
      <c r="I143" s="4">
        <v>97.96</v>
      </c>
      <c r="J143" s="34">
        <v>0.71799999999999997</v>
      </c>
      <c r="K143" s="34">
        <v>0.25800000000000001</v>
      </c>
      <c r="L143" s="43"/>
      <c r="M143" s="43"/>
    </row>
    <row r="144" spans="1:13">
      <c r="A144" s="15" t="s">
        <v>4</v>
      </c>
      <c r="B144" s="34">
        <v>0</v>
      </c>
      <c r="C144" s="34">
        <v>0</v>
      </c>
      <c r="D144" s="34">
        <v>0</v>
      </c>
      <c r="E144" s="43"/>
      <c r="F144" s="43"/>
      <c r="H144" s="15" t="s">
        <v>4</v>
      </c>
      <c r="I144" s="34">
        <v>0</v>
      </c>
      <c r="J144" s="34">
        <v>0</v>
      </c>
      <c r="K144" s="36">
        <v>0</v>
      </c>
      <c r="L144" s="43"/>
      <c r="M144" s="43"/>
    </row>
    <row r="145" spans="1:13">
      <c r="A145" s="15" t="s">
        <v>17</v>
      </c>
      <c r="B145" s="4">
        <v>9.0289999999999999</v>
      </c>
      <c r="C145" s="4">
        <v>1.5960000000000001</v>
      </c>
      <c r="D145" s="8">
        <v>3.08</v>
      </c>
      <c r="E145" s="43"/>
      <c r="F145" s="43"/>
      <c r="H145" s="15" t="s">
        <v>17</v>
      </c>
      <c r="I145" s="4">
        <v>42.494</v>
      </c>
      <c r="J145" s="35">
        <v>0.98799999999999999</v>
      </c>
      <c r="K145" s="8">
        <v>1.81</v>
      </c>
      <c r="L145" s="43"/>
      <c r="M145" s="43"/>
    </row>
    <row r="146" spans="1:13">
      <c r="A146" s="15" t="s">
        <v>17</v>
      </c>
      <c r="B146" s="4">
        <v>9.1029999999999998</v>
      </c>
      <c r="C146" s="4">
        <v>1.5489999999999999</v>
      </c>
      <c r="D146" s="8">
        <v>3.0150000000000001</v>
      </c>
      <c r="E146" s="43"/>
      <c r="F146" s="43"/>
      <c r="H146" s="15" t="s">
        <v>17</v>
      </c>
      <c r="I146" s="4">
        <v>42.045999999999999</v>
      </c>
      <c r="J146" s="34">
        <v>0.95799999999999996</v>
      </c>
      <c r="K146" s="8">
        <v>1.859</v>
      </c>
      <c r="L146" s="43"/>
      <c r="M146" s="43"/>
    </row>
    <row r="147" spans="1:13">
      <c r="A147" s="15" t="s">
        <v>17</v>
      </c>
      <c r="B147" s="4">
        <v>8.8780000000000001</v>
      </c>
      <c r="C147" s="4">
        <v>1.609</v>
      </c>
      <c r="D147" s="8">
        <v>3.0009999999999999</v>
      </c>
      <c r="E147" s="43"/>
      <c r="F147" s="43"/>
      <c r="H147" s="15" t="s">
        <v>17</v>
      </c>
      <c r="I147" s="4">
        <v>42.436999999999998</v>
      </c>
      <c r="J147" s="4">
        <v>0.99</v>
      </c>
      <c r="K147" s="8">
        <v>1.829</v>
      </c>
      <c r="L147" s="43"/>
      <c r="M147" s="43"/>
    </row>
    <row r="148" spans="1:13">
      <c r="A148" s="15" t="s">
        <v>19</v>
      </c>
      <c r="B148" s="34">
        <v>0</v>
      </c>
      <c r="C148" s="34">
        <v>0</v>
      </c>
      <c r="D148" s="37">
        <v>0</v>
      </c>
      <c r="E148" s="43"/>
      <c r="F148" s="43"/>
      <c r="H148" s="15" t="s">
        <v>19</v>
      </c>
      <c r="I148" s="34">
        <v>0</v>
      </c>
      <c r="J148" s="34">
        <v>0</v>
      </c>
      <c r="K148" s="37">
        <v>0</v>
      </c>
      <c r="L148" s="43"/>
      <c r="M148" s="43"/>
    </row>
    <row r="149" spans="1:13">
      <c r="A149" s="15" t="s">
        <v>18</v>
      </c>
      <c r="B149" s="4">
        <v>6.2690000000000001</v>
      </c>
      <c r="C149" s="4">
        <v>1.286</v>
      </c>
      <c r="D149" s="8">
        <v>2.7029999999999998</v>
      </c>
      <c r="E149" s="43"/>
      <c r="F149" s="43"/>
      <c r="H149" s="15" t="s">
        <v>18</v>
      </c>
      <c r="I149" s="4">
        <v>23.870999999999999</v>
      </c>
      <c r="J149" s="34">
        <v>0.45800000000000002</v>
      </c>
      <c r="K149" s="8">
        <v>1.2110000000000001</v>
      </c>
      <c r="L149" s="43"/>
      <c r="M149" s="43"/>
    </row>
    <row r="150" spans="1:13">
      <c r="A150" s="15" t="s">
        <v>18</v>
      </c>
      <c r="B150" s="4">
        <v>6.1520000000000001</v>
      </c>
      <c r="C150" s="4">
        <v>1.2889999999999999</v>
      </c>
      <c r="D150" s="8">
        <v>2.7050000000000001</v>
      </c>
      <c r="E150" s="43"/>
      <c r="F150" s="43"/>
      <c r="H150" s="15" t="s">
        <v>18</v>
      </c>
      <c r="I150" s="4">
        <v>23.791</v>
      </c>
      <c r="J150" s="34">
        <v>0.439</v>
      </c>
      <c r="K150" s="8">
        <v>1.1859999999999999</v>
      </c>
      <c r="L150" s="43"/>
      <c r="M150" s="43"/>
    </row>
    <row r="151" spans="1:13">
      <c r="A151" s="15" t="s">
        <v>18</v>
      </c>
      <c r="B151" s="4">
        <v>6.2489999999999997</v>
      </c>
      <c r="C151" s="4">
        <v>1.2829999999999999</v>
      </c>
      <c r="D151" s="8">
        <v>2.7120000000000002</v>
      </c>
      <c r="E151" s="43"/>
      <c r="F151" s="43"/>
      <c r="H151" s="15" t="s">
        <v>18</v>
      </c>
      <c r="I151" s="4">
        <v>23.949000000000002</v>
      </c>
      <c r="J151" s="34">
        <v>0.38100000000000001</v>
      </c>
      <c r="K151" s="8">
        <v>1.163</v>
      </c>
      <c r="L151" s="43"/>
      <c r="M151" s="43"/>
    </row>
    <row r="152" spans="1:13">
      <c r="A152" s="15" t="s">
        <v>4</v>
      </c>
      <c r="B152" s="34">
        <v>0</v>
      </c>
      <c r="C152" s="34">
        <v>0</v>
      </c>
      <c r="D152" s="36">
        <v>0</v>
      </c>
      <c r="E152" s="43"/>
      <c r="F152" s="43"/>
      <c r="H152" s="15" t="s">
        <v>4</v>
      </c>
      <c r="I152" s="34">
        <v>0</v>
      </c>
      <c r="J152" s="34">
        <v>0</v>
      </c>
      <c r="K152" s="36">
        <v>0</v>
      </c>
      <c r="L152" s="43"/>
      <c r="M152" s="43"/>
    </row>
    <row r="161" spans="8:14">
      <c r="H161" s="29"/>
      <c r="I161" s="10"/>
      <c r="J161" s="10"/>
      <c r="K161" s="10"/>
      <c r="L161" s="10"/>
      <c r="M161" s="10"/>
      <c r="N161" s="10"/>
    </row>
    <row r="162" spans="8:14">
      <c r="H162" s="29"/>
      <c r="I162" s="10"/>
      <c r="J162" s="10"/>
      <c r="K162" s="10"/>
      <c r="L162" s="10"/>
      <c r="M162" s="10"/>
      <c r="N162" s="10"/>
    </row>
    <row r="163" spans="8:14">
      <c r="H163" s="29"/>
      <c r="I163" s="10"/>
      <c r="J163" s="10"/>
      <c r="K163" s="10"/>
      <c r="L163" s="10"/>
      <c r="M163" s="10"/>
      <c r="N163" s="10"/>
    </row>
    <row r="164" spans="8:14">
      <c r="H164" s="29"/>
      <c r="I164" s="10"/>
      <c r="J164" s="10"/>
      <c r="K164" s="10"/>
      <c r="L164" s="10"/>
      <c r="M164" s="10"/>
      <c r="N164" s="10"/>
    </row>
    <row r="165" spans="8:14">
      <c r="H165" s="29"/>
      <c r="I165" s="10"/>
      <c r="J165" s="10"/>
      <c r="K165" s="10"/>
      <c r="L165" s="10"/>
      <c r="M165" s="10"/>
      <c r="N165" s="10"/>
    </row>
    <row r="166" spans="8:14">
      <c r="H166" s="29"/>
      <c r="I166" s="10"/>
      <c r="J166" s="10"/>
      <c r="K166" s="10"/>
      <c r="L166" s="10"/>
      <c r="M166" s="10"/>
      <c r="N166" s="10"/>
    </row>
    <row r="167" spans="8:14">
      <c r="H167" s="29"/>
      <c r="I167" s="10"/>
      <c r="J167" s="10"/>
      <c r="K167" s="10"/>
      <c r="L167" s="10"/>
      <c r="M167" s="10"/>
      <c r="N167" s="10"/>
    </row>
    <row r="168" spans="8:14">
      <c r="H168" s="29"/>
      <c r="I168" s="10"/>
      <c r="J168" s="10"/>
      <c r="K168" s="10"/>
      <c r="L168" s="10"/>
      <c r="M168" s="10"/>
      <c r="N168" s="10"/>
    </row>
    <row r="169" spans="8:14">
      <c r="H169" s="29"/>
      <c r="I169" s="10"/>
      <c r="J169" s="10"/>
      <c r="K169" s="10"/>
      <c r="L169" s="10"/>
      <c r="M169" s="10"/>
      <c r="N169" s="10"/>
    </row>
    <row r="170" spans="8:14">
      <c r="H170" s="29"/>
      <c r="I170" s="10"/>
      <c r="J170" s="10"/>
      <c r="K170" s="10"/>
      <c r="L170" s="10"/>
      <c r="M170" s="10"/>
      <c r="N170" s="10"/>
    </row>
    <row r="171" spans="8:14">
      <c r="H171" s="29"/>
      <c r="I171" s="10"/>
      <c r="J171" s="10"/>
      <c r="K171" s="10"/>
      <c r="L171" s="10"/>
      <c r="M171" s="10"/>
      <c r="N171" s="10"/>
    </row>
    <row r="172" spans="8:14">
      <c r="H172" s="29"/>
      <c r="I172" s="10"/>
      <c r="J172" s="10"/>
      <c r="K172" s="10"/>
      <c r="L172" s="10"/>
      <c r="M172" s="10"/>
      <c r="N172" s="10"/>
    </row>
    <row r="173" spans="8:14">
      <c r="H173" s="29"/>
      <c r="I173" s="10"/>
      <c r="J173" s="10"/>
      <c r="K173" s="10"/>
      <c r="L173" s="10"/>
      <c r="M173" s="10"/>
      <c r="N173" s="10"/>
    </row>
    <row r="174" spans="8:14">
      <c r="H174" s="29"/>
      <c r="I174" s="10"/>
      <c r="J174" s="10"/>
      <c r="K174" s="10"/>
      <c r="L174" s="10"/>
      <c r="M174" s="10"/>
      <c r="N174" s="10"/>
    </row>
    <row r="175" spans="8:14">
      <c r="H175" s="29"/>
      <c r="I175" s="10"/>
      <c r="J175" s="10"/>
      <c r="K175" s="10"/>
      <c r="L175" s="10"/>
      <c r="M175" s="10"/>
      <c r="N175" s="10"/>
    </row>
    <row r="176" spans="8:14">
      <c r="H176" s="29"/>
      <c r="I176" s="10"/>
      <c r="J176" s="10"/>
      <c r="K176" s="10"/>
      <c r="L176" s="10"/>
      <c r="M176" s="10"/>
      <c r="N176" s="10"/>
    </row>
    <row r="177" spans="8:14">
      <c r="H177" s="29"/>
      <c r="I177" s="10"/>
      <c r="J177" s="10"/>
      <c r="K177" s="10"/>
      <c r="L177" s="10"/>
      <c r="M177" s="10"/>
      <c r="N177" s="10"/>
    </row>
    <row r="178" spans="8:14">
      <c r="H178" s="29"/>
      <c r="I178" s="10"/>
      <c r="J178" s="10"/>
      <c r="K178" s="10"/>
      <c r="L178" s="10"/>
      <c r="M178" s="10"/>
      <c r="N178" s="10"/>
    </row>
    <row r="179" spans="8:14">
      <c r="H179" s="29"/>
      <c r="I179" s="10"/>
      <c r="J179" s="10"/>
      <c r="K179" s="10"/>
      <c r="L179" s="10"/>
      <c r="M179" s="10"/>
      <c r="N179" s="10"/>
    </row>
    <row r="180" spans="8:14">
      <c r="H180" s="29"/>
      <c r="I180" s="10"/>
      <c r="J180" s="10"/>
      <c r="K180" s="10"/>
      <c r="L180" s="10"/>
      <c r="M180" s="10"/>
      <c r="N180" s="10"/>
    </row>
    <row r="181" spans="8:14">
      <c r="H181" s="29"/>
      <c r="I181" s="10"/>
      <c r="J181" s="10"/>
      <c r="K181" s="10"/>
      <c r="L181" s="10"/>
      <c r="M181" s="10"/>
      <c r="N181" s="10"/>
    </row>
    <row r="182" spans="8:14">
      <c r="H182" s="29"/>
      <c r="I182" s="10"/>
      <c r="J182" s="10"/>
      <c r="K182" s="10"/>
      <c r="L182" s="10"/>
      <c r="M182" s="10"/>
      <c r="N182" s="10"/>
    </row>
    <row r="183" spans="8:14">
      <c r="H183" s="29"/>
      <c r="I183" s="10"/>
      <c r="J183" s="10"/>
      <c r="K183" s="10"/>
      <c r="L183" s="10"/>
      <c r="M183" s="10"/>
      <c r="N183" s="10"/>
    </row>
    <row r="184" spans="8:14">
      <c r="H184" s="29"/>
      <c r="I184" s="10"/>
      <c r="J184" s="10"/>
      <c r="K184" s="10"/>
      <c r="L184" s="10"/>
      <c r="M184" s="10"/>
      <c r="N184" s="10"/>
    </row>
    <row r="185" spans="8:14">
      <c r="H185" s="29"/>
      <c r="I185" s="10"/>
      <c r="J185" s="10"/>
      <c r="K185" s="10"/>
      <c r="L185" s="10"/>
      <c r="M185" s="10"/>
      <c r="N185" s="10"/>
    </row>
    <row r="186" spans="8:14">
      <c r="H186" s="29"/>
      <c r="I186" s="10"/>
      <c r="J186" s="10"/>
      <c r="K186" s="10"/>
      <c r="L186" s="10"/>
      <c r="M186" s="10"/>
      <c r="N186" s="10"/>
    </row>
    <row r="187" spans="8:14">
      <c r="H187" s="29"/>
      <c r="I187" s="10"/>
      <c r="J187" s="10"/>
      <c r="K187" s="10"/>
      <c r="L187" s="10"/>
      <c r="M187" s="10"/>
      <c r="N187" s="10"/>
    </row>
    <row r="188" spans="8:14">
      <c r="H188" s="29"/>
      <c r="I188" s="10"/>
      <c r="J188" s="10"/>
      <c r="K188" s="10"/>
      <c r="L188" s="10"/>
      <c r="M188" s="10"/>
      <c r="N188" s="10"/>
    </row>
    <row r="189" spans="8:14">
      <c r="H189" s="29"/>
      <c r="I189" s="10"/>
      <c r="J189" s="10"/>
      <c r="K189" s="10"/>
      <c r="L189" s="10"/>
      <c r="M189" s="10"/>
      <c r="N189" s="10"/>
    </row>
    <row r="190" spans="8:14">
      <c r="H190" s="29"/>
      <c r="I190" s="10"/>
      <c r="J190" s="10"/>
      <c r="K190" s="10"/>
      <c r="L190" s="10"/>
      <c r="M190" s="10"/>
      <c r="N190" s="10"/>
    </row>
    <row r="191" spans="8:14">
      <c r="H191" s="29"/>
      <c r="I191" s="10"/>
      <c r="J191" s="10"/>
      <c r="K191" s="10"/>
      <c r="L191" s="10"/>
      <c r="M191" s="10"/>
      <c r="N191" s="10"/>
    </row>
    <row r="192" spans="8:14">
      <c r="H192" s="29"/>
      <c r="I192" s="10"/>
      <c r="J192" s="10"/>
      <c r="K192" s="10"/>
      <c r="L192" s="10"/>
      <c r="M192" s="10"/>
      <c r="N192" s="10"/>
    </row>
    <row r="193" spans="8:14">
      <c r="H193" s="29"/>
      <c r="I193" s="10"/>
      <c r="J193" s="10"/>
      <c r="K193" s="10"/>
      <c r="L193" s="10"/>
      <c r="M193" s="10"/>
      <c r="N193" s="10"/>
    </row>
    <row r="194" spans="8:14">
      <c r="H194" s="29"/>
      <c r="I194" s="10"/>
      <c r="J194" s="10"/>
      <c r="K194" s="10"/>
      <c r="L194" s="10"/>
      <c r="M194" s="10"/>
      <c r="N194" s="10"/>
    </row>
    <row r="195" spans="8:14">
      <c r="H195" s="29"/>
      <c r="I195" s="10"/>
      <c r="J195" s="10"/>
      <c r="K195" s="10"/>
      <c r="L195" s="10"/>
      <c r="M195" s="10"/>
      <c r="N195" s="10"/>
    </row>
    <row r="196" spans="8:14">
      <c r="H196" s="29"/>
      <c r="I196" s="10"/>
      <c r="J196" s="10"/>
      <c r="K196" s="10"/>
      <c r="L196" s="10"/>
      <c r="M196" s="10"/>
      <c r="N196" s="10"/>
    </row>
    <row r="197" spans="8:14">
      <c r="H197" s="29"/>
      <c r="I197" s="10"/>
      <c r="J197" s="10"/>
      <c r="K197" s="10"/>
      <c r="L197" s="10"/>
      <c r="M197" s="10"/>
      <c r="N197" s="10"/>
    </row>
    <row r="198" spans="8:14">
      <c r="H198" s="29"/>
      <c r="I198" s="10"/>
      <c r="J198" s="10"/>
      <c r="K198" s="10"/>
      <c r="L198" s="10"/>
      <c r="M198" s="10"/>
      <c r="N198" s="10"/>
    </row>
    <row r="199" spans="8:14">
      <c r="H199" s="29"/>
      <c r="I199" s="10"/>
      <c r="J199" s="10"/>
      <c r="K199" s="10"/>
      <c r="L199" s="10"/>
      <c r="M199" s="10"/>
      <c r="N199" s="10"/>
    </row>
    <row r="200" spans="8:14">
      <c r="H200" s="29"/>
      <c r="I200" s="10"/>
      <c r="J200" s="10"/>
      <c r="K200" s="10"/>
      <c r="L200" s="10"/>
      <c r="M200" s="10"/>
      <c r="N200" s="10"/>
    </row>
    <row r="201" spans="8:14">
      <c r="H201" s="29"/>
      <c r="I201" s="10"/>
      <c r="J201" s="10"/>
      <c r="K201" s="10"/>
      <c r="L201" s="10"/>
      <c r="M201" s="10"/>
      <c r="N201" s="10"/>
    </row>
    <row r="202" spans="8:14">
      <c r="H202" s="29"/>
      <c r="I202" s="10"/>
      <c r="J202" s="10"/>
      <c r="K202" s="10"/>
      <c r="L202" s="10"/>
      <c r="M202" s="10"/>
      <c r="N202" s="10"/>
    </row>
    <row r="203" spans="8:14">
      <c r="H203" s="29"/>
      <c r="I203" s="10"/>
      <c r="J203" s="10"/>
      <c r="K203" s="10"/>
      <c r="L203" s="10"/>
      <c r="M203" s="10"/>
      <c r="N203" s="10"/>
    </row>
    <row r="204" spans="8:14">
      <c r="H204" s="29"/>
      <c r="I204" s="10"/>
      <c r="J204" s="10"/>
      <c r="K204" s="10"/>
      <c r="L204" s="10"/>
      <c r="M204" s="10"/>
      <c r="N204" s="10"/>
    </row>
    <row r="205" spans="8:14">
      <c r="H205" s="29"/>
      <c r="I205" s="10"/>
      <c r="J205" s="10"/>
      <c r="K205" s="10"/>
      <c r="L205" s="10"/>
      <c r="M205" s="10"/>
      <c r="N205" s="10"/>
    </row>
    <row r="206" spans="8:14">
      <c r="H206" s="29"/>
      <c r="I206" s="10"/>
      <c r="J206" s="10"/>
      <c r="K206" s="10"/>
      <c r="L206" s="10"/>
      <c r="M206" s="10"/>
      <c r="N206" s="10"/>
    </row>
    <row r="207" spans="8:14">
      <c r="H207" s="29"/>
      <c r="I207" s="10"/>
      <c r="J207" s="10"/>
      <c r="K207" s="10"/>
      <c r="L207" s="10"/>
      <c r="M207" s="10"/>
      <c r="N207" s="10"/>
    </row>
    <row r="208" spans="8:14">
      <c r="H208" s="29"/>
      <c r="I208" s="10"/>
      <c r="J208" s="10"/>
      <c r="K208" s="10"/>
      <c r="L208" s="10"/>
      <c r="M208" s="10"/>
      <c r="N208" s="10"/>
    </row>
    <row r="209" spans="8:14">
      <c r="H209" s="29"/>
      <c r="I209" s="10"/>
      <c r="J209" s="10"/>
      <c r="K209" s="10"/>
      <c r="L209" s="10"/>
      <c r="M209" s="10"/>
      <c r="N209" s="10"/>
    </row>
    <row r="210" spans="8:14">
      <c r="H210" s="29"/>
      <c r="I210" s="10"/>
      <c r="J210" s="10"/>
      <c r="K210" s="10"/>
      <c r="L210" s="10"/>
      <c r="M210" s="10"/>
      <c r="N210" s="10"/>
    </row>
    <row r="211" spans="8:14">
      <c r="H211" s="29"/>
      <c r="I211" s="10"/>
      <c r="J211" s="10"/>
      <c r="K211" s="10"/>
      <c r="L211" s="10"/>
      <c r="M211" s="10"/>
      <c r="N211" s="10"/>
    </row>
    <row r="212" spans="8:14">
      <c r="H212" s="29"/>
      <c r="I212" s="10"/>
      <c r="J212" s="10"/>
      <c r="K212" s="10"/>
      <c r="L212" s="10"/>
      <c r="M212" s="10"/>
      <c r="N212" s="10"/>
    </row>
    <row r="213" spans="8:14">
      <c r="H213" s="29"/>
      <c r="I213" s="10"/>
      <c r="J213" s="10"/>
      <c r="K213" s="10"/>
      <c r="L213" s="10"/>
      <c r="M213" s="10"/>
      <c r="N213" s="10"/>
    </row>
    <row r="214" spans="8:14">
      <c r="H214" s="29"/>
      <c r="I214" s="10"/>
      <c r="J214" s="10"/>
      <c r="K214" s="10"/>
      <c r="L214" s="10"/>
      <c r="M214" s="10"/>
      <c r="N214" s="10"/>
    </row>
    <row r="215" spans="8:14">
      <c r="H215" s="29"/>
      <c r="I215" s="10"/>
      <c r="J215" s="10"/>
      <c r="K215" s="10"/>
      <c r="L215" s="10"/>
      <c r="M215" s="10"/>
      <c r="N215" s="10"/>
    </row>
    <row r="216" spans="8:14">
      <c r="H216" s="29"/>
      <c r="I216" s="10"/>
      <c r="J216" s="10"/>
      <c r="K216" s="10"/>
      <c r="L216" s="10"/>
      <c r="M216" s="10"/>
      <c r="N216" s="10"/>
    </row>
    <row r="217" spans="8:14">
      <c r="H217" s="29"/>
      <c r="I217" s="10"/>
      <c r="J217" s="10"/>
      <c r="K217" s="10"/>
      <c r="L217" s="10"/>
      <c r="M217" s="10"/>
      <c r="N217" s="10"/>
    </row>
    <row r="218" spans="8:14">
      <c r="H218" s="29"/>
      <c r="I218" s="10"/>
      <c r="J218" s="10"/>
      <c r="K218" s="10"/>
      <c r="L218" s="10"/>
      <c r="M218" s="10"/>
      <c r="N218" s="10"/>
    </row>
    <row r="219" spans="8:14">
      <c r="H219" s="29"/>
      <c r="I219" s="10"/>
      <c r="J219" s="10"/>
      <c r="K219" s="10"/>
      <c r="L219" s="10"/>
      <c r="M219" s="10"/>
      <c r="N219" s="10"/>
    </row>
    <row r="220" spans="8:14">
      <c r="H220" s="29"/>
      <c r="I220" s="10"/>
      <c r="J220" s="10"/>
      <c r="K220" s="10"/>
      <c r="L220" s="10"/>
      <c r="M220" s="10"/>
      <c r="N220" s="10"/>
    </row>
    <row r="221" spans="8:14">
      <c r="H221" s="29"/>
      <c r="I221" s="10"/>
      <c r="J221" s="10"/>
      <c r="K221" s="10"/>
      <c r="L221" s="10"/>
      <c r="M221" s="10"/>
      <c r="N221" s="10"/>
    </row>
    <row r="222" spans="8:14">
      <c r="H222" s="29"/>
      <c r="I222" s="10"/>
      <c r="J222" s="10"/>
      <c r="K222" s="10"/>
      <c r="L222" s="10"/>
      <c r="M222" s="10"/>
      <c r="N222" s="10"/>
    </row>
    <row r="223" spans="8:14">
      <c r="H223" s="29"/>
      <c r="I223" s="10"/>
      <c r="J223" s="10"/>
      <c r="K223" s="10"/>
      <c r="L223" s="10"/>
      <c r="M223" s="10"/>
      <c r="N223" s="10"/>
    </row>
    <row r="224" spans="8:14">
      <c r="H224" s="29"/>
      <c r="I224" s="10"/>
      <c r="J224" s="10"/>
      <c r="K224" s="10"/>
      <c r="L224" s="10"/>
      <c r="M224" s="10"/>
      <c r="N224" s="10"/>
    </row>
    <row r="225" spans="8:14">
      <c r="H225" s="29"/>
      <c r="I225" s="10"/>
      <c r="J225" s="10"/>
      <c r="K225" s="10"/>
      <c r="L225" s="10"/>
      <c r="M225" s="10"/>
      <c r="N225" s="10"/>
    </row>
    <row r="226" spans="8:14">
      <c r="H226" s="29"/>
      <c r="I226" s="10"/>
      <c r="J226" s="10"/>
      <c r="K226" s="10"/>
      <c r="L226" s="10"/>
      <c r="M226" s="10"/>
      <c r="N226" s="10"/>
    </row>
    <row r="227" spans="8:14">
      <c r="H227" s="29"/>
      <c r="I227" s="10"/>
      <c r="J227" s="10"/>
      <c r="K227" s="10"/>
      <c r="L227" s="10"/>
      <c r="M227" s="10"/>
      <c r="N227" s="10"/>
    </row>
    <row r="228" spans="8:14">
      <c r="H228" s="29"/>
      <c r="I228" s="10"/>
      <c r="J228" s="10"/>
      <c r="K228" s="10"/>
      <c r="L228" s="10"/>
      <c r="M228" s="10"/>
      <c r="N228" s="10"/>
    </row>
    <row r="229" spans="8:14">
      <c r="H229" s="29"/>
      <c r="I229" s="10"/>
      <c r="J229" s="10"/>
      <c r="K229" s="10"/>
      <c r="L229" s="10"/>
      <c r="M229" s="10"/>
      <c r="N229" s="10"/>
    </row>
    <row r="230" spans="8:14">
      <c r="H230" s="29"/>
      <c r="I230" s="10"/>
      <c r="J230" s="10"/>
      <c r="K230" s="10"/>
      <c r="L230" s="10"/>
      <c r="M230" s="10"/>
      <c r="N230" s="10"/>
    </row>
    <row r="231" spans="8:14">
      <c r="H231" s="29"/>
      <c r="I231" s="10"/>
      <c r="J231" s="10"/>
      <c r="K231" s="10"/>
      <c r="L231" s="10"/>
      <c r="M231" s="10"/>
      <c r="N231" s="10"/>
    </row>
    <row r="232" spans="8:14">
      <c r="H232" s="29"/>
      <c r="I232" s="10"/>
      <c r="J232" s="10"/>
      <c r="K232" s="10"/>
      <c r="L232" s="10"/>
      <c r="M232" s="10"/>
      <c r="N232" s="10"/>
    </row>
    <row r="237" spans="8:14">
      <c r="H237" s="29"/>
      <c r="I237" s="10"/>
      <c r="J237" s="10"/>
      <c r="K237" s="10"/>
      <c r="L237" s="10"/>
      <c r="M237" s="10"/>
      <c r="N237" s="10"/>
    </row>
    <row r="238" spans="8:14">
      <c r="H238" s="29"/>
      <c r="I238" s="10"/>
      <c r="J238" s="10"/>
      <c r="K238" s="10"/>
      <c r="L238" s="10"/>
      <c r="M238" s="10"/>
      <c r="N238" s="10"/>
    </row>
    <row r="239" spans="8:14">
      <c r="H239" s="29"/>
      <c r="I239" s="10"/>
      <c r="J239" s="10"/>
      <c r="K239" s="10"/>
      <c r="L239" s="10"/>
      <c r="M239" s="10"/>
      <c r="N239" s="10"/>
    </row>
    <row r="240" spans="8:14">
      <c r="H240" s="29"/>
      <c r="I240" s="10"/>
      <c r="J240" s="10"/>
      <c r="K240" s="10"/>
      <c r="L240" s="10"/>
      <c r="M240" s="10"/>
      <c r="N240" s="10"/>
    </row>
    <row r="245" spans="8:14">
      <c r="H245" s="29"/>
      <c r="I245" s="10"/>
      <c r="J245" s="10"/>
      <c r="K245" s="10"/>
      <c r="L245" s="10"/>
      <c r="M245" s="10"/>
      <c r="N245" s="10"/>
    </row>
    <row r="246" spans="8:14">
      <c r="H246" s="29"/>
      <c r="I246" s="10"/>
      <c r="J246" s="10"/>
      <c r="K246" s="10"/>
      <c r="L246" s="10"/>
      <c r="M246" s="10"/>
      <c r="N246" s="10"/>
    </row>
    <row r="247" spans="8:14">
      <c r="H247" s="29"/>
      <c r="I247" s="10"/>
      <c r="J247" s="10"/>
      <c r="K247" s="10"/>
      <c r="L247" s="10"/>
      <c r="M247" s="10"/>
      <c r="N247" s="10"/>
    </row>
    <row r="248" spans="8:14">
      <c r="H248" s="29"/>
      <c r="I248" s="10"/>
      <c r="J248" s="10"/>
      <c r="K248" s="10"/>
      <c r="L248" s="10"/>
      <c r="M248" s="10"/>
      <c r="N248" s="10"/>
    </row>
    <row r="249" spans="8:14">
      <c r="H249" s="29"/>
      <c r="I249" s="10"/>
      <c r="J249" s="10"/>
      <c r="K249" s="10"/>
      <c r="L249" s="10"/>
      <c r="M249" s="10"/>
      <c r="N249" s="10"/>
    </row>
    <row r="250" spans="8:14">
      <c r="H250" s="29"/>
      <c r="I250" s="10"/>
      <c r="J250" s="10"/>
      <c r="K250" s="10"/>
      <c r="L250" s="10"/>
      <c r="M250" s="10"/>
      <c r="N250" s="10"/>
    </row>
    <row r="251" spans="8:14">
      <c r="H251" s="29"/>
      <c r="I251" s="10"/>
      <c r="J251" s="10"/>
      <c r="K251" s="10"/>
      <c r="L251" s="10"/>
      <c r="M251" s="10"/>
      <c r="N251" s="10"/>
    </row>
    <row r="252" spans="8:14">
      <c r="H252" s="29"/>
      <c r="I252" s="10"/>
      <c r="J252" s="10"/>
      <c r="K252" s="10"/>
      <c r="L252" s="10"/>
      <c r="M252" s="10"/>
      <c r="N252" s="10"/>
    </row>
    <row r="253" spans="8:14">
      <c r="H253" s="29"/>
      <c r="I253" s="10"/>
      <c r="J253" s="10"/>
      <c r="K253" s="10"/>
      <c r="L253" s="10"/>
      <c r="M253" s="10"/>
      <c r="N253" s="10"/>
    </row>
    <row r="254" spans="8:14">
      <c r="H254" s="29"/>
      <c r="I254" s="10"/>
      <c r="J254" s="10"/>
      <c r="K254" s="10"/>
      <c r="L254" s="10"/>
      <c r="M254" s="10"/>
      <c r="N254" s="10"/>
    </row>
    <row r="255" spans="8:14">
      <c r="H255" s="29"/>
      <c r="I255" s="10"/>
      <c r="J255" s="10"/>
      <c r="K255" s="10"/>
      <c r="L255" s="10"/>
      <c r="M255" s="10"/>
      <c r="N255" s="10"/>
    </row>
    <row r="256" spans="8:14">
      <c r="H256" s="29"/>
      <c r="I256" s="10"/>
      <c r="J256" s="10"/>
      <c r="K256" s="10"/>
      <c r="L256" s="10"/>
      <c r="M256" s="10"/>
      <c r="N256" s="10"/>
    </row>
    <row r="257" spans="8:14">
      <c r="H257" s="29"/>
      <c r="I257" s="10"/>
      <c r="J257" s="10"/>
      <c r="K257" s="10"/>
      <c r="L257" s="10"/>
      <c r="M257" s="10"/>
      <c r="N257" s="10"/>
    </row>
    <row r="258" spans="8:14">
      <c r="H258" s="29"/>
      <c r="I258" s="10"/>
      <c r="J258" s="10"/>
      <c r="K258" s="10"/>
      <c r="L258" s="10"/>
      <c r="M258" s="10"/>
      <c r="N258" s="10"/>
    </row>
    <row r="259" spans="8:14">
      <c r="H259" s="29"/>
      <c r="I259" s="10"/>
      <c r="J259" s="10"/>
      <c r="K259" s="10"/>
      <c r="L259" s="10"/>
      <c r="M259" s="10"/>
      <c r="N259" s="10"/>
    </row>
    <row r="260" spans="8:14">
      <c r="H260" s="29"/>
      <c r="I260" s="10"/>
      <c r="J260" s="10"/>
      <c r="K260" s="10"/>
      <c r="L260" s="10"/>
      <c r="M260" s="10"/>
      <c r="N260" s="10"/>
    </row>
  </sheetData>
  <mergeCells count="3">
    <mergeCell ref="B2:F2"/>
    <mergeCell ref="H2:M2"/>
    <mergeCell ref="B1:J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EC07D-C600-49A1-85C1-A19CC6489129}">
  <dimension ref="A1:AF151"/>
  <sheetViews>
    <sheetView zoomScale="110" zoomScaleNormal="110" workbookViewId="0">
      <selection sqref="A1:XFD1"/>
    </sheetView>
  </sheetViews>
  <sheetFormatPr baseColWidth="10" defaultColWidth="8.83203125" defaultRowHeight="15"/>
  <sheetData>
    <row r="1" spans="1:32" ht="36" customHeight="1">
      <c r="B1" s="156" t="s">
        <v>131</v>
      </c>
      <c r="C1" s="156"/>
      <c r="D1" s="156"/>
      <c r="E1" s="156"/>
      <c r="F1" s="156"/>
      <c r="I1" s="156" t="s">
        <v>132</v>
      </c>
      <c r="J1" s="156"/>
      <c r="K1" s="156"/>
      <c r="L1" s="156"/>
      <c r="M1" s="156"/>
      <c r="P1" s="153" t="s">
        <v>27</v>
      </c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5"/>
    </row>
    <row r="2" spans="1:32" ht="36" customHeight="1">
      <c r="B2" s="18" t="s">
        <v>28</v>
      </c>
      <c r="C2" s="18" t="s">
        <v>29</v>
      </c>
      <c r="D2" s="18" t="s">
        <v>30</v>
      </c>
      <c r="E2" s="18" t="s">
        <v>31</v>
      </c>
      <c r="F2" s="18" t="s">
        <v>32</v>
      </c>
      <c r="I2" s="18" t="s">
        <v>28</v>
      </c>
      <c r="J2" s="18" t="s">
        <v>29</v>
      </c>
      <c r="K2" s="18" t="s">
        <v>30</v>
      </c>
      <c r="L2" s="18" t="s">
        <v>31</v>
      </c>
      <c r="M2" s="18" t="s">
        <v>32</v>
      </c>
      <c r="Q2" s="5" t="s">
        <v>20</v>
      </c>
      <c r="V2" s="5" t="s">
        <v>26</v>
      </c>
      <c r="Y2" s="17"/>
      <c r="Z2" s="17"/>
      <c r="AA2" s="17"/>
      <c r="AB2" s="17"/>
      <c r="AC2" s="17"/>
      <c r="AD2" s="17"/>
      <c r="AE2" s="17"/>
      <c r="AF2" s="17"/>
    </row>
    <row r="3" spans="1:32">
      <c r="A3" s="3" t="s">
        <v>4</v>
      </c>
      <c r="B3" s="49">
        <v>0</v>
      </c>
      <c r="C3" s="43"/>
      <c r="D3" s="43"/>
      <c r="E3" s="43"/>
      <c r="F3" s="43"/>
      <c r="H3" s="3" t="s">
        <v>4</v>
      </c>
      <c r="I3" s="49">
        <v>0</v>
      </c>
      <c r="J3" s="43"/>
      <c r="K3" s="43"/>
      <c r="L3" s="43"/>
      <c r="M3" s="43"/>
    </row>
    <row r="4" spans="1:32">
      <c r="A4" s="3">
        <v>0</v>
      </c>
      <c r="B4" s="16">
        <v>1010.898</v>
      </c>
      <c r="C4" s="43"/>
      <c r="D4" s="43"/>
      <c r="E4" s="43"/>
      <c r="F4" s="43"/>
      <c r="H4" s="3">
        <v>0</v>
      </c>
      <c r="I4" s="16">
        <v>542.21400000000006</v>
      </c>
      <c r="J4" s="43"/>
      <c r="K4" s="43"/>
      <c r="L4" s="43"/>
      <c r="M4" s="43"/>
      <c r="Q4" s="7" t="s">
        <v>2</v>
      </c>
      <c r="R4" s="7" t="s">
        <v>1</v>
      </c>
      <c r="S4" s="7" t="s">
        <v>25</v>
      </c>
      <c r="V4" s="7" t="s">
        <v>2</v>
      </c>
      <c r="W4" s="7" t="s">
        <v>1</v>
      </c>
      <c r="X4" s="7" t="s">
        <v>25</v>
      </c>
    </row>
    <row r="5" spans="1:32">
      <c r="A5" s="3">
        <v>0</v>
      </c>
      <c r="B5" s="16">
        <v>1030.7650000000001</v>
      </c>
      <c r="C5" s="43"/>
      <c r="D5" s="43"/>
      <c r="E5" s="43"/>
      <c r="F5" s="43"/>
      <c r="H5" s="3">
        <v>0</v>
      </c>
      <c r="I5" s="16">
        <v>543.327</v>
      </c>
      <c r="J5" s="43"/>
      <c r="K5" s="43"/>
      <c r="L5" s="43"/>
      <c r="M5" s="43"/>
      <c r="Q5" s="12">
        <v>0</v>
      </c>
      <c r="R5" s="14">
        <f>AVERAGE(B4:F6)</f>
        <v>1020.852</v>
      </c>
      <c r="S5" s="14">
        <f>AVERAGE(I4:M6)</f>
        <v>544.97233333333338</v>
      </c>
      <c r="T5" s="13"/>
      <c r="V5" s="12">
        <v>0</v>
      </c>
      <c r="W5" s="14">
        <f>STDEV(B4:F6)</f>
        <v>9.9335634593030484</v>
      </c>
      <c r="X5" s="14">
        <f>STDEV(I4:M6)</f>
        <v>3.8540760674035845</v>
      </c>
    </row>
    <row r="6" spans="1:32">
      <c r="A6" s="3">
        <v>0</v>
      </c>
      <c r="B6" s="16">
        <v>1020.893</v>
      </c>
      <c r="C6" s="43"/>
      <c r="D6" s="43"/>
      <c r="E6" s="43"/>
      <c r="F6" s="43"/>
      <c r="H6" s="3">
        <v>0</v>
      </c>
      <c r="I6" s="16">
        <v>549.37599999999998</v>
      </c>
      <c r="J6" s="43"/>
      <c r="K6" s="43"/>
      <c r="L6" s="43"/>
      <c r="M6" s="43"/>
      <c r="Q6" s="11">
        <v>0.05</v>
      </c>
      <c r="R6" s="14">
        <f>AVERAGE(B8:F10)</f>
        <v>619.64041666666662</v>
      </c>
      <c r="S6" s="14">
        <f>AVERAGE(I8:M10)</f>
        <v>604.03125</v>
      </c>
      <c r="T6" s="13"/>
      <c r="V6" s="11">
        <v>0.05</v>
      </c>
      <c r="W6" s="14">
        <f>STDEV(B8:F10)</f>
        <v>764.26695126060133</v>
      </c>
      <c r="X6" s="14">
        <f>STDEV(I8:M10)</f>
        <v>580.60805845378798</v>
      </c>
    </row>
    <row r="7" spans="1:32">
      <c r="A7" s="15" t="s">
        <v>4</v>
      </c>
      <c r="B7" s="49">
        <v>0</v>
      </c>
      <c r="C7" s="43"/>
      <c r="D7" s="43"/>
      <c r="E7" s="43"/>
      <c r="F7" s="43"/>
      <c r="H7" s="15" t="s">
        <v>4</v>
      </c>
      <c r="I7" s="49">
        <v>0</v>
      </c>
      <c r="J7" s="43"/>
      <c r="K7" s="43"/>
      <c r="L7" s="43"/>
      <c r="M7" s="43"/>
      <c r="Q7" s="11">
        <v>0.1</v>
      </c>
      <c r="R7" s="14">
        <f>AVERAGE(B12:F14)</f>
        <v>437.23800000000006</v>
      </c>
      <c r="S7" s="14">
        <f>AVERAGE(I12:M14)</f>
        <v>605.78641666666658</v>
      </c>
      <c r="T7" s="13"/>
      <c r="V7" s="11">
        <v>0.1</v>
      </c>
      <c r="W7" s="14">
        <f>STDEV(B12:F14)</f>
        <v>530.49047792036924</v>
      </c>
      <c r="X7" s="14">
        <f>STDEV(I12:M14)</f>
        <v>637.23125503361803</v>
      </c>
    </row>
    <row r="8" spans="1:32">
      <c r="A8" s="19">
        <v>0.05</v>
      </c>
      <c r="B8" s="43"/>
      <c r="C8" s="4">
        <v>87.611000000000004</v>
      </c>
      <c r="D8" s="4">
        <v>67.655000000000001</v>
      </c>
      <c r="E8" s="4">
        <v>462.55399999999997</v>
      </c>
      <c r="F8" s="4">
        <v>1851.2370000000001</v>
      </c>
      <c r="H8" s="19">
        <v>0.05</v>
      </c>
      <c r="I8" s="43"/>
      <c r="J8" s="4">
        <v>115.643</v>
      </c>
      <c r="K8" s="4">
        <v>155.37200000000001</v>
      </c>
      <c r="L8" s="4">
        <v>725.404</v>
      </c>
      <c r="M8" s="4">
        <v>1480.395</v>
      </c>
      <c r="Q8" s="11">
        <v>0.15</v>
      </c>
      <c r="R8" s="14">
        <f>AVERAGE(B16:F18)</f>
        <v>308.70446666666669</v>
      </c>
      <c r="S8" s="14">
        <f>AVERAGE(I16:M18)</f>
        <v>579.11913333333337</v>
      </c>
      <c r="T8" s="13"/>
      <c r="V8" s="11">
        <v>0.15</v>
      </c>
      <c r="W8" s="14">
        <f>STDEV(B16:F18)</f>
        <v>334.31868308137774</v>
      </c>
      <c r="X8" s="14">
        <f>STDEV(I16:M18)</f>
        <v>648.9855381077308</v>
      </c>
    </row>
    <row r="9" spans="1:32">
      <c r="A9" s="19">
        <v>0.05</v>
      </c>
      <c r="B9" s="43"/>
      <c r="C9" s="4">
        <v>84.617000000000004</v>
      </c>
      <c r="D9" s="4">
        <v>67.146000000000001</v>
      </c>
      <c r="E9" s="4">
        <v>460.77</v>
      </c>
      <c r="F9" s="4">
        <v>1881.4090000000001</v>
      </c>
      <c r="H9" s="19">
        <v>0.05</v>
      </c>
      <c r="I9" s="43"/>
      <c r="J9" s="4">
        <v>114.65300000000001</v>
      </c>
      <c r="K9" s="4">
        <v>99.546999999999997</v>
      </c>
      <c r="L9" s="4">
        <v>727.88900000000001</v>
      </c>
      <c r="M9" s="4">
        <v>1489.326</v>
      </c>
      <c r="Q9" s="11">
        <v>0.2</v>
      </c>
      <c r="R9" s="14">
        <f>AVERAGE(B20:F22)</f>
        <v>259.48333333333329</v>
      </c>
      <c r="S9" s="14">
        <f>AVERAGE(I20:M22)</f>
        <v>595.66941666666673</v>
      </c>
      <c r="T9" s="13"/>
      <c r="V9" s="11">
        <v>0.2</v>
      </c>
      <c r="W9" s="14">
        <f>STDEV(B20:F22)</f>
        <v>282.20487870189544</v>
      </c>
      <c r="X9" s="14">
        <f>STDEV(I20:M22)</f>
        <v>703.90081433091098</v>
      </c>
    </row>
    <row r="10" spans="1:32">
      <c r="A10" s="19">
        <v>0.05</v>
      </c>
      <c r="B10" s="43"/>
      <c r="C10" s="4">
        <v>84.668999999999997</v>
      </c>
      <c r="D10" s="4">
        <v>67.245000000000005</v>
      </c>
      <c r="E10" s="4">
        <v>485.49799999999999</v>
      </c>
      <c r="F10" s="4">
        <v>1835.2739999999999</v>
      </c>
      <c r="H10" s="19">
        <v>0.05</v>
      </c>
      <c r="I10" s="43"/>
      <c r="J10" s="4">
        <v>114.283</v>
      </c>
      <c r="K10" s="4">
        <v>100.024</v>
      </c>
      <c r="L10" s="4">
        <v>690.43899999999996</v>
      </c>
      <c r="M10" s="4">
        <v>1435.4</v>
      </c>
      <c r="Q10" s="11">
        <v>0.25</v>
      </c>
      <c r="R10" s="14">
        <f>AVERAGE(B24:F26)</f>
        <v>195.53858333333332</v>
      </c>
      <c r="S10" s="14">
        <f>AVERAGE(I24:M26)</f>
        <v>442.60891666666674</v>
      </c>
      <c r="T10" s="13"/>
      <c r="V10" s="11">
        <v>0.25</v>
      </c>
      <c r="W10" s="14">
        <f>STDEV(B24:F26)</f>
        <v>199.58312040371385</v>
      </c>
      <c r="X10" s="14">
        <f>STDEV(I24:M26)</f>
        <v>495.91443938820703</v>
      </c>
    </row>
    <row r="11" spans="1:32">
      <c r="A11" s="19" t="s">
        <v>4</v>
      </c>
      <c r="B11" s="43"/>
      <c r="C11" s="4">
        <v>1.911</v>
      </c>
      <c r="D11" s="4">
        <v>1.732</v>
      </c>
      <c r="E11" s="34">
        <v>0</v>
      </c>
      <c r="F11" s="34">
        <v>0</v>
      </c>
      <c r="H11" s="19" t="s">
        <v>4</v>
      </c>
      <c r="I11" s="43"/>
      <c r="J11" s="34">
        <v>0</v>
      </c>
      <c r="K11" s="34">
        <v>0</v>
      </c>
      <c r="L11" s="34">
        <v>0</v>
      </c>
      <c r="M11" s="34">
        <v>0</v>
      </c>
      <c r="Q11" s="11">
        <v>0.3</v>
      </c>
      <c r="R11" s="14">
        <f>AVERAGE(B28:F30)</f>
        <v>154.26258333333337</v>
      </c>
      <c r="S11" s="14">
        <f>AVERAGE(I28:M30)</f>
        <v>332.9380833333334</v>
      </c>
      <c r="T11" s="13"/>
      <c r="V11" s="11">
        <v>0.3</v>
      </c>
      <c r="W11" s="14">
        <f>STDEV(B28:F30)</f>
        <v>156.33523749270827</v>
      </c>
      <c r="X11" s="14">
        <f>STDEV(I28:M30)</f>
        <v>361.38856815079708</v>
      </c>
    </row>
    <row r="12" spans="1:32">
      <c r="A12" s="19">
        <v>0.1</v>
      </c>
      <c r="B12" s="43"/>
      <c r="C12" s="4">
        <v>38.578000000000003</v>
      </c>
      <c r="D12" s="4">
        <v>26.573</v>
      </c>
      <c r="E12" s="4">
        <v>398.03800000000001</v>
      </c>
      <c r="F12" s="4">
        <v>1268.835</v>
      </c>
      <c r="H12" s="19">
        <v>0.1</v>
      </c>
      <c r="I12" s="43"/>
      <c r="J12" s="4">
        <v>104.803</v>
      </c>
      <c r="K12" s="7">
        <v>83.677999999999997</v>
      </c>
      <c r="L12" s="4">
        <v>689.553</v>
      </c>
      <c r="M12" s="4">
        <v>1545.5150000000001</v>
      </c>
      <c r="Q12" s="11">
        <v>0.35</v>
      </c>
      <c r="R12" s="14">
        <f>AVERAGE(B32:F34)</f>
        <v>117.128</v>
      </c>
      <c r="S12" s="14">
        <f>AVERAGE(I32:M34)</f>
        <v>225.69275000000002</v>
      </c>
      <c r="T12" s="13"/>
      <c r="V12" s="11">
        <v>0.35</v>
      </c>
      <c r="W12" s="14">
        <f>STDEV(B32:F34)</f>
        <v>114.1071478208889</v>
      </c>
      <c r="X12" s="14">
        <f>STDEV(I32:M34)</f>
        <v>239.14415614935345</v>
      </c>
    </row>
    <row r="13" spans="1:32">
      <c r="A13" s="19">
        <v>0.1</v>
      </c>
      <c r="B13" s="43"/>
      <c r="C13" s="4">
        <v>38.079000000000001</v>
      </c>
      <c r="D13" s="4">
        <v>27.053999999999998</v>
      </c>
      <c r="E13" s="4">
        <v>401.82900000000001</v>
      </c>
      <c r="F13" s="4">
        <v>1272.6210000000001</v>
      </c>
      <c r="H13" s="19">
        <v>0.1</v>
      </c>
      <c r="I13" s="43"/>
      <c r="J13" s="4">
        <v>105.127</v>
      </c>
      <c r="K13" s="7">
        <v>84.057000000000002</v>
      </c>
      <c r="L13" s="4">
        <v>690.33</v>
      </c>
      <c r="M13" s="4">
        <v>1575.5160000000001</v>
      </c>
      <c r="Q13" s="11">
        <v>0.4</v>
      </c>
      <c r="R13" s="14">
        <f>AVERAGE(B36:F38)</f>
        <v>93.851333333333329</v>
      </c>
      <c r="S13" s="14">
        <f>AVERAGE(I36:M38)</f>
        <v>144.56891666666669</v>
      </c>
      <c r="T13" s="13"/>
      <c r="V13" s="11">
        <v>0.4</v>
      </c>
      <c r="W13" s="14">
        <f>STDEV(B36:F38)</f>
        <v>90.202275678139927</v>
      </c>
      <c r="X13" s="14">
        <f>STDEV(I36:M38)</f>
        <v>135.64178347427952</v>
      </c>
    </row>
    <row r="14" spans="1:32">
      <c r="A14" s="19">
        <v>0.1</v>
      </c>
      <c r="B14" s="43"/>
      <c r="C14" s="4">
        <v>38.42</v>
      </c>
      <c r="D14" s="4">
        <v>26.831</v>
      </c>
      <c r="E14" s="4">
        <v>423.88400000000001</v>
      </c>
      <c r="F14" s="4">
        <v>1286.114</v>
      </c>
      <c r="H14" s="19">
        <v>0.1</v>
      </c>
      <c r="I14" s="43"/>
      <c r="J14" s="4">
        <v>103.913</v>
      </c>
      <c r="K14" s="36">
        <v>0.46800000000000003</v>
      </c>
      <c r="L14" s="4">
        <v>703.56200000000001</v>
      </c>
      <c r="M14" s="4">
        <v>1582.915</v>
      </c>
      <c r="Q14" s="11">
        <v>0.45</v>
      </c>
      <c r="R14" s="14">
        <f>AVERAGE(B40:F42)</f>
        <v>71.134749999999997</v>
      </c>
      <c r="S14" s="14">
        <f>AVERAGE(I40:M42)</f>
        <v>88.960999999999999</v>
      </c>
      <c r="T14" s="13"/>
      <c r="V14" s="11">
        <v>0.45</v>
      </c>
      <c r="W14" s="14">
        <f>STDEV(B40:F42)</f>
        <v>64.951912906430593</v>
      </c>
      <c r="X14" s="14">
        <f>STDEV(I40:M42)</f>
        <v>83.600879183067335</v>
      </c>
    </row>
    <row r="15" spans="1:32">
      <c r="A15" s="19" t="s">
        <v>4</v>
      </c>
      <c r="B15" s="43"/>
      <c r="C15" s="4">
        <v>1.8049999999999999</v>
      </c>
      <c r="D15" s="4">
        <v>1.694</v>
      </c>
      <c r="E15" s="34">
        <v>0</v>
      </c>
      <c r="F15" s="34">
        <v>0</v>
      </c>
      <c r="H15" s="19" t="s">
        <v>4</v>
      </c>
      <c r="I15" s="43"/>
      <c r="J15" s="34">
        <v>0</v>
      </c>
      <c r="K15" s="34">
        <v>0</v>
      </c>
      <c r="L15" s="34">
        <v>0</v>
      </c>
      <c r="M15" s="34">
        <v>0</v>
      </c>
      <c r="Q15" s="11">
        <v>0.5</v>
      </c>
      <c r="R15" s="14">
        <f>AVERAGE(B44:F46)</f>
        <v>60.321333333333335</v>
      </c>
      <c r="S15" s="14">
        <f>AVERAGE(I44:M46)</f>
        <v>54.915249999999993</v>
      </c>
      <c r="T15" s="13"/>
      <c r="V15" s="11">
        <v>0.5</v>
      </c>
      <c r="W15" s="14">
        <f>STDEV(B44:F46)</f>
        <v>56.862927810230758</v>
      </c>
      <c r="X15" s="14">
        <f>STDEV(I44:M46)</f>
        <v>51.269378076843928</v>
      </c>
    </row>
    <row r="16" spans="1:32">
      <c r="A16" s="15">
        <v>0.15</v>
      </c>
      <c r="B16" s="16">
        <v>227.55099999999999</v>
      </c>
      <c r="C16" s="4">
        <v>29.192</v>
      </c>
      <c r="D16" s="4">
        <v>19.41</v>
      </c>
      <c r="E16" s="4">
        <v>371.459</v>
      </c>
      <c r="F16" s="4">
        <v>890.42600000000004</v>
      </c>
      <c r="H16" s="15">
        <v>0.15</v>
      </c>
      <c r="I16" s="16">
        <v>327.01400000000001</v>
      </c>
      <c r="J16" s="4">
        <v>94.557000000000002</v>
      </c>
      <c r="K16" s="4">
        <v>73.844999999999999</v>
      </c>
      <c r="L16" s="4">
        <v>667.63</v>
      </c>
      <c r="M16" s="4">
        <v>1731.2239999999999</v>
      </c>
      <c r="Q16" s="11">
        <v>0.55000000000000004</v>
      </c>
      <c r="R16" s="14">
        <f>AVERAGE(B48:F50)</f>
        <v>43.256</v>
      </c>
      <c r="S16" s="14">
        <f>AVERAGE(I48:M50)</f>
        <v>55.18333333333333</v>
      </c>
      <c r="T16" s="13"/>
      <c r="V16" s="11">
        <v>0.55000000000000004</v>
      </c>
      <c r="W16" s="14">
        <f>STDEV(B48:F50)</f>
        <v>47.281375572206016</v>
      </c>
      <c r="X16" s="14">
        <f>STDEV(I48:M50)</f>
        <v>42.207801675074542</v>
      </c>
    </row>
    <row r="17" spans="1:24">
      <c r="A17" s="15">
        <v>0.15</v>
      </c>
      <c r="B17" s="16">
        <v>227.12299999999999</v>
      </c>
      <c r="C17" s="4">
        <v>29.818999999999999</v>
      </c>
      <c r="D17" s="4">
        <v>19.187999999999999</v>
      </c>
      <c r="E17" s="4">
        <v>368.85199999999998</v>
      </c>
      <c r="F17" s="4">
        <v>894.67100000000005</v>
      </c>
      <c r="H17" s="15">
        <v>0.15</v>
      </c>
      <c r="I17" s="16">
        <v>314.70400000000001</v>
      </c>
      <c r="J17" s="4">
        <v>89.614999999999995</v>
      </c>
      <c r="K17" s="4">
        <v>72.872</v>
      </c>
      <c r="L17" s="4">
        <v>642.65099999999995</v>
      </c>
      <c r="M17" s="4">
        <v>1768.1110000000001</v>
      </c>
      <c r="Q17" s="11">
        <v>1</v>
      </c>
      <c r="R17" s="14">
        <f>AVERAGE(B52:F54)</f>
        <v>228.83980000000003</v>
      </c>
      <c r="S17" s="14">
        <f>AVERAGE(I52:M54)</f>
        <v>125.45720000000001</v>
      </c>
      <c r="T17" s="13"/>
      <c r="V17" s="11">
        <v>1</v>
      </c>
      <c r="W17" s="14">
        <f>STDEV(B52:F54)</f>
        <v>397.57947183284716</v>
      </c>
      <c r="X17" s="14">
        <f>STDEV(I52:M54)</f>
        <v>207.43687928317581</v>
      </c>
    </row>
    <row r="18" spans="1:24">
      <c r="A18" s="15">
        <v>0.15</v>
      </c>
      <c r="B18" s="16">
        <v>223.422</v>
      </c>
      <c r="C18" s="4">
        <v>29.286000000000001</v>
      </c>
      <c r="D18" s="4">
        <v>19.13</v>
      </c>
      <c r="E18" s="4">
        <v>367.21199999999999</v>
      </c>
      <c r="F18" s="4">
        <v>913.82600000000002</v>
      </c>
      <c r="H18" s="15">
        <v>0.15</v>
      </c>
      <c r="I18" s="16">
        <v>332.87099999999998</v>
      </c>
      <c r="J18" s="4">
        <v>89.849000000000004</v>
      </c>
      <c r="K18" s="4">
        <v>71.861000000000004</v>
      </c>
      <c r="L18" s="4">
        <v>620.44399999999996</v>
      </c>
      <c r="M18" s="4">
        <v>1789.539</v>
      </c>
      <c r="Q18" s="11">
        <v>2</v>
      </c>
      <c r="R18" s="14">
        <f>AVERAGE(B56:F58)</f>
        <v>128.66053333333335</v>
      </c>
      <c r="S18" s="14">
        <f>AVERAGE(I56:M58)</f>
        <v>104.43733333333334</v>
      </c>
      <c r="T18" s="13"/>
      <c r="V18" s="11">
        <v>2</v>
      </c>
      <c r="W18" s="14">
        <f>STDEV(B56:F58)</f>
        <v>243.45648788698696</v>
      </c>
      <c r="X18" s="14">
        <f>STDEV(I56:M58)</f>
        <v>150.12794898146365</v>
      </c>
    </row>
    <row r="19" spans="1:24">
      <c r="A19" s="3" t="s">
        <v>4</v>
      </c>
      <c r="B19" s="16">
        <v>2.1520000000000001</v>
      </c>
      <c r="C19" s="4">
        <v>1.8260000000000001</v>
      </c>
      <c r="D19" s="4">
        <v>1.706</v>
      </c>
      <c r="E19" s="34">
        <v>0</v>
      </c>
      <c r="F19" s="34">
        <v>0</v>
      </c>
      <c r="H19" s="3" t="s">
        <v>4</v>
      </c>
      <c r="I19" s="49">
        <v>0</v>
      </c>
      <c r="J19" s="34">
        <v>0</v>
      </c>
      <c r="K19" s="34">
        <v>0</v>
      </c>
      <c r="L19" s="34">
        <v>0</v>
      </c>
      <c r="M19" s="34">
        <v>0</v>
      </c>
      <c r="Q19" s="11">
        <v>3</v>
      </c>
      <c r="R19" s="14">
        <f>AVERAGE(B60:F62)</f>
        <v>152.69860000000003</v>
      </c>
      <c r="S19" s="14">
        <f>AVERAGE(I60:M62)</f>
        <v>183.19619999999998</v>
      </c>
      <c r="T19" s="13"/>
      <c r="V19" s="11">
        <v>3</v>
      </c>
      <c r="W19" s="14">
        <f>STDEV(B60:F62)</f>
        <v>280.6833345024246</v>
      </c>
      <c r="X19" s="14">
        <f>STDEV(I60:M62)</f>
        <v>207.64644737637238</v>
      </c>
    </row>
    <row r="20" spans="1:24">
      <c r="A20" s="19">
        <v>0.2</v>
      </c>
      <c r="B20" s="43"/>
      <c r="C20" s="4">
        <v>22.916</v>
      </c>
      <c r="D20" s="4">
        <v>15.44</v>
      </c>
      <c r="E20" s="4">
        <v>321.40300000000002</v>
      </c>
      <c r="F20" s="4">
        <v>674.27200000000005</v>
      </c>
      <c r="H20" s="19">
        <v>0.2</v>
      </c>
      <c r="I20" s="43"/>
      <c r="J20" s="4">
        <v>86.257000000000005</v>
      </c>
      <c r="K20" s="7">
        <v>67.635999999999996</v>
      </c>
      <c r="L20" s="4">
        <v>540.32600000000002</v>
      </c>
      <c r="M20" s="4">
        <v>1695.5940000000001</v>
      </c>
      <c r="Q20" s="11">
        <v>4</v>
      </c>
      <c r="R20" s="14">
        <f>AVERAGE(B64:F66)</f>
        <v>150.90873333333334</v>
      </c>
      <c r="S20" s="14">
        <f>AVERAGE(I64:M66)</f>
        <v>197.91993333333329</v>
      </c>
      <c r="T20" s="13"/>
      <c r="V20" s="11">
        <v>4</v>
      </c>
      <c r="W20" s="14">
        <f>STDEV(B64:F66)</f>
        <v>274.32848667778524</v>
      </c>
      <c r="X20" s="14">
        <f>STDEV(I64:M66)</f>
        <v>222.79866378429352</v>
      </c>
    </row>
    <row r="21" spans="1:24">
      <c r="A21" s="19">
        <v>0.2</v>
      </c>
      <c r="B21" s="43"/>
      <c r="C21" s="4">
        <v>22.846</v>
      </c>
      <c r="D21" s="4">
        <v>15.176</v>
      </c>
      <c r="E21" s="4">
        <v>324.62700000000001</v>
      </c>
      <c r="F21" s="4">
        <v>672.01800000000003</v>
      </c>
      <c r="H21" s="19">
        <v>0.2</v>
      </c>
      <c r="I21" s="43"/>
      <c r="J21" s="4">
        <v>86.713999999999999</v>
      </c>
      <c r="K21" s="7">
        <v>66.281999999999996</v>
      </c>
      <c r="L21" s="4">
        <v>542.21900000000005</v>
      </c>
      <c r="M21" s="4">
        <v>1715.134</v>
      </c>
      <c r="Q21" s="11">
        <v>5</v>
      </c>
      <c r="R21" s="14">
        <f>AVERAGE(B68:F70)</f>
        <v>169.65119999999999</v>
      </c>
      <c r="S21" s="14">
        <f>AVERAGE(I68:M70)</f>
        <v>250.5033333333333</v>
      </c>
      <c r="T21" s="13"/>
      <c r="V21" s="11">
        <v>5</v>
      </c>
      <c r="W21" s="14">
        <f>STDEV(B68:F70)</f>
        <v>275.10038677160333</v>
      </c>
      <c r="X21" s="14">
        <f>STDEV(I68:M70)</f>
        <v>227.37586163118507</v>
      </c>
    </row>
    <row r="22" spans="1:24">
      <c r="A22" s="19">
        <v>0.2</v>
      </c>
      <c r="B22" s="43"/>
      <c r="C22" s="4">
        <v>23.122</v>
      </c>
      <c r="D22" s="4">
        <v>15.205</v>
      </c>
      <c r="E22" s="4">
        <v>330.18</v>
      </c>
      <c r="F22" s="4">
        <v>676.59500000000003</v>
      </c>
      <c r="H22" s="19">
        <v>0.2</v>
      </c>
      <c r="I22" s="43"/>
      <c r="J22" s="4">
        <v>84.840999999999994</v>
      </c>
      <c r="K22" s="36">
        <v>0.32900000000000001</v>
      </c>
      <c r="L22" s="4">
        <v>533.69100000000003</v>
      </c>
      <c r="M22" s="4">
        <v>1729.01</v>
      </c>
      <c r="Q22" s="11">
        <v>6</v>
      </c>
      <c r="R22" s="14">
        <f>AVERAGE(B72:F74)</f>
        <v>173.29226666666671</v>
      </c>
      <c r="S22" s="14">
        <f>AVERAGE(I72:M74)</f>
        <v>244.75519999999997</v>
      </c>
      <c r="T22" s="13"/>
      <c r="V22" s="11">
        <v>6</v>
      </c>
      <c r="W22" s="14">
        <f>STDEV(B72:F74)</f>
        <v>283.13116661653146</v>
      </c>
      <c r="X22" s="14">
        <f>STDEV(I72:M74)</f>
        <v>259.45376131051069</v>
      </c>
    </row>
    <row r="23" spans="1:24">
      <c r="A23" s="19" t="s">
        <v>4</v>
      </c>
      <c r="B23" s="43"/>
      <c r="C23" s="4">
        <v>1.7789999999999999</v>
      </c>
      <c r="D23" s="34">
        <v>0</v>
      </c>
      <c r="E23" s="34">
        <v>0</v>
      </c>
      <c r="F23" s="34">
        <v>0</v>
      </c>
      <c r="H23" s="19" t="s">
        <v>4</v>
      </c>
      <c r="I23" s="43"/>
      <c r="J23" s="34">
        <v>0</v>
      </c>
      <c r="K23" s="34">
        <v>0</v>
      </c>
      <c r="L23" s="34">
        <v>0</v>
      </c>
      <c r="M23" s="34">
        <v>0</v>
      </c>
      <c r="Q23" s="11">
        <v>7</v>
      </c>
      <c r="R23" s="14">
        <f>AVERAGE(B76:F78)</f>
        <v>163.10639999999998</v>
      </c>
      <c r="S23" s="14">
        <f>AVERAGE(I76:M78)</f>
        <v>243.4622</v>
      </c>
      <c r="T23" s="13"/>
      <c r="V23" s="11">
        <v>7</v>
      </c>
      <c r="W23" s="14">
        <f>STDEV(B76:F78)</f>
        <v>263.32776270940906</v>
      </c>
      <c r="X23" s="14">
        <f>STDEV(I76:M78)</f>
        <v>225.40269650091966</v>
      </c>
    </row>
    <row r="24" spans="1:24">
      <c r="A24" s="19">
        <v>0.25</v>
      </c>
      <c r="B24" s="43"/>
      <c r="C24" s="4">
        <v>17.791</v>
      </c>
      <c r="D24" s="4">
        <v>11.618</v>
      </c>
      <c r="E24" s="4">
        <v>289.22399999999999</v>
      </c>
      <c r="F24" s="4">
        <v>457.93799999999999</v>
      </c>
      <c r="H24" s="19">
        <v>0.25</v>
      </c>
      <c r="I24" s="43"/>
      <c r="J24" s="4">
        <v>76.757999999999996</v>
      </c>
      <c r="K24" s="7">
        <v>61.203000000000003</v>
      </c>
      <c r="L24" s="4">
        <v>467.78699999999998</v>
      </c>
      <c r="M24" s="4">
        <v>1219.5360000000001</v>
      </c>
      <c r="Q24" s="11">
        <v>8</v>
      </c>
      <c r="R24" s="14">
        <f>AVERAGE(B80:F82)</f>
        <v>201.01233333333337</v>
      </c>
      <c r="S24" s="14">
        <f>AVERAGE(I80:M82)</f>
        <v>270.67125000000004</v>
      </c>
      <c r="T24" s="13"/>
      <c r="V24" s="11">
        <v>8</v>
      </c>
      <c r="W24" s="14">
        <f>STDEV(B80:F82)</f>
        <v>293.82069721154562</v>
      </c>
      <c r="X24" s="14">
        <f>STDEV(I80:M82)</f>
        <v>263.91259290844584</v>
      </c>
    </row>
    <row r="25" spans="1:24">
      <c r="A25" s="19">
        <v>0.25</v>
      </c>
      <c r="B25" s="43"/>
      <c r="C25" s="4">
        <v>17.683</v>
      </c>
      <c r="D25" s="4">
        <v>11.79</v>
      </c>
      <c r="E25" s="4">
        <v>287.637</v>
      </c>
      <c r="F25" s="4">
        <v>466.97899999999998</v>
      </c>
      <c r="H25" s="19">
        <v>0.25</v>
      </c>
      <c r="I25" s="43"/>
      <c r="J25" s="4">
        <v>76.543000000000006</v>
      </c>
      <c r="K25" s="36">
        <v>0.14299999999999999</v>
      </c>
      <c r="L25" s="4">
        <v>457.154</v>
      </c>
      <c r="M25" s="4">
        <v>1208.7460000000001</v>
      </c>
      <c r="Q25" s="11">
        <v>12</v>
      </c>
      <c r="R25" s="14">
        <f>AVERAGE(B84:F86)</f>
        <v>146.06546666666665</v>
      </c>
      <c r="S25" s="14">
        <f>AVERAGE(I84:M86)</f>
        <v>680.84646666666663</v>
      </c>
      <c r="T25" s="13"/>
      <c r="V25" s="11">
        <v>12</v>
      </c>
      <c r="W25" s="14">
        <f>STDEV(B84:F86)</f>
        <v>240.92522251872103</v>
      </c>
      <c r="X25" s="14">
        <f>STDEV(I84:M86)</f>
        <v>1152.2570690029488</v>
      </c>
    </row>
    <row r="26" spans="1:24">
      <c r="A26" s="19">
        <v>0.25</v>
      </c>
      <c r="B26" s="43"/>
      <c r="C26" s="4">
        <v>17.763999999999999</v>
      </c>
      <c r="D26" s="4">
        <v>11.962999999999999</v>
      </c>
      <c r="E26" s="4">
        <v>289.601</v>
      </c>
      <c r="F26" s="4">
        <v>466.47500000000002</v>
      </c>
      <c r="H26" s="19">
        <v>0.25</v>
      </c>
      <c r="I26" s="43"/>
      <c r="J26" s="4">
        <v>77.652000000000001</v>
      </c>
      <c r="K26" s="36">
        <v>0.35799999999999998</v>
      </c>
      <c r="L26" s="4">
        <v>464.22</v>
      </c>
      <c r="M26" s="4">
        <v>1201.2070000000001</v>
      </c>
      <c r="Q26" s="11">
        <v>18</v>
      </c>
      <c r="R26" s="14">
        <f>AVERAGE(B88:F90)</f>
        <v>190.89475000000004</v>
      </c>
      <c r="S26" s="14">
        <f>AVERAGE(I88:M90)</f>
        <v>824.54899999999998</v>
      </c>
      <c r="T26" s="13"/>
      <c r="V26" s="11">
        <v>18</v>
      </c>
      <c r="W26" s="14">
        <f>STDEV(B88:F90)</f>
        <v>251.0365215668555</v>
      </c>
      <c r="X26" s="14">
        <f>STDEV(I88:M90)</f>
        <v>1285.202168887271</v>
      </c>
    </row>
    <row r="27" spans="1:24">
      <c r="A27" s="19" t="s">
        <v>4</v>
      </c>
      <c r="B27" s="43"/>
      <c r="C27" s="4">
        <v>1.7270000000000001</v>
      </c>
      <c r="D27" s="4">
        <v>1.6659999999999999</v>
      </c>
      <c r="E27" s="34">
        <v>0</v>
      </c>
      <c r="F27" s="34">
        <v>0</v>
      </c>
      <c r="H27" s="19" t="s">
        <v>4</v>
      </c>
      <c r="I27" s="43"/>
      <c r="J27" s="34">
        <v>0</v>
      </c>
      <c r="K27" s="34">
        <v>0</v>
      </c>
      <c r="L27" s="34">
        <v>0</v>
      </c>
      <c r="M27" s="34">
        <v>0</v>
      </c>
      <c r="Q27" s="11">
        <v>24</v>
      </c>
      <c r="R27" s="14">
        <f>AVERAGE(B92:F94)</f>
        <v>142.2004666666667</v>
      </c>
      <c r="S27" s="14">
        <f>AVERAGE(I92:M94)</f>
        <v>777.9774666666666</v>
      </c>
      <c r="T27" s="13"/>
      <c r="V27" s="11">
        <v>24</v>
      </c>
      <c r="W27" s="14">
        <f>STDEV(B92:F94)</f>
        <v>237.96838280502325</v>
      </c>
      <c r="X27" s="14">
        <f>STDEV(I92:M94)</f>
        <v>1152.4140669420783</v>
      </c>
    </row>
    <row r="28" spans="1:24">
      <c r="A28" s="19">
        <v>0.3</v>
      </c>
      <c r="B28" s="43"/>
      <c r="C28" s="4">
        <v>16.143000000000001</v>
      </c>
      <c r="D28" s="4">
        <v>11.028</v>
      </c>
      <c r="E28" s="4">
        <v>236.49700000000001</v>
      </c>
      <c r="F28" s="4">
        <v>354.91500000000002</v>
      </c>
      <c r="H28" s="19">
        <v>0.3</v>
      </c>
      <c r="I28" s="43"/>
      <c r="J28" s="4">
        <v>87.674000000000007</v>
      </c>
      <c r="K28" s="36">
        <v>4.5999999999999999E-2</v>
      </c>
      <c r="L28" s="4">
        <v>355.75099999999998</v>
      </c>
      <c r="M28" s="4">
        <v>898.65200000000004</v>
      </c>
      <c r="Q28" s="11">
        <v>48</v>
      </c>
      <c r="R28" s="14">
        <f>AVERAGE(B96:F98)</f>
        <v>162.24791666666667</v>
      </c>
      <c r="S28" s="14">
        <f>AVERAGE(I96:M98)</f>
        <v>950.61091666666653</v>
      </c>
      <c r="T28" s="13"/>
      <c r="V28" s="11">
        <v>48</v>
      </c>
      <c r="W28" s="14">
        <f>STDEV(B96:F98)</f>
        <v>261.45605686284097</v>
      </c>
      <c r="X28" s="14">
        <f>STDEV(I96:M98)</f>
        <v>1234.5725051308953</v>
      </c>
    </row>
    <row r="29" spans="1:24">
      <c r="A29" s="19">
        <v>0.3</v>
      </c>
      <c r="B29" s="43"/>
      <c r="C29" s="4">
        <v>16.271999999999998</v>
      </c>
      <c r="D29" s="4">
        <v>10.98</v>
      </c>
      <c r="E29" s="4">
        <v>217.58600000000001</v>
      </c>
      <c r="F29" s="4">
        <v>387.029</v>
      </c>
      <c r="H29" s="19">
        <v>0.3</v>
      </c>
      <c r="I29" s="43"/>
      <c r="J29" s="4">
        <v>84.632000000000005</v>
      </c>
      <c r="K29" s="36">
        <v>0.192</v>
      </c>
      <c r="L29" s="4">
        <v>363.45600000000002</v>
      </c>
      <c r="M29" s="4">
        <v>884.98800000000006</v>
      </c>
      <c r="P29" s="11" t="s">
        <v>6</v>
      </c>
      <c r="Q29" s="11">
        <v>120</v>
      </c>
      <c r="R29" s="14">
        <f>AVERAGE(B100:F102)</f>
        <v>150.70908333333333</v>
      </c>
      <c r="S29" s="14">
        <f>AVERAGE(I100:M102)</f>
        <v>830.25808333333327</v>
      </c>
      <c r="T29" s="13"/>
      <c r="U29" s="11" t="s">
        <v>6</v>
      </c>
      <c r="V29" s="11">
        <v>120</v>
      </c>
      <c r="W29" s="14">
        <f>STDEV(B100:F102)</f>
        <v>263.71764155849382</v>
      </c>
      <c r="X29" s="14">
        <f>STDEV(I100:M102)</f>
        <v>1245.3289704508868</v>
      </c>
    </row>
    <row r="30" spans="1:24">
      <c r="A30" s="19">
        <v>0.3</v>
      </c>
      <c r="B30" s="43"/>
      <c r="C30" s="4">
        <v>16.015000000000001</v>
      </c>
      <c r="D30" s="4">
        <v>10.907999999999999</v>
      </c>
      <c r="E30" s="4">
        <v>217.51</v>
      </c>
      <c r="F30" s="4">
        <v>356.26799999999997</v>
      </c>
      <c r="H30" s="19">
        <v>0.3</v>
      </c>
      <c r="I30" s="43"/>
      <c r="J30" s="4">
        <v>85.65</v>
      </c>
      <c r="K30" s="36">
        <v>0.16400000000000001</v>
      </c>
      <c r="L30" s="4">
        <v>358.447</v>
      </c>
      <c r="M30" s="4">
        <v>875.60500000000002</v>
      </c>
      <c r="P30" s="11" t="s">
        <v>7</v>
      </c>
      <c r="Q30" s="11">
        <v>192</v>
      </c>
      <c r="R30" s="14">
        <f>AVERAGE(B104:F106)</f>
        <v>136.47083333333336</v>
      </c>
      <c r="S30" s="14">
        <f>AVERAGE(I104:M106)</f>
        <v>750.76591666666661</v>
      </c>
      <c r="T30" s="13"/>
      <c r="U30" s="11" t="s">
        <v>7</v>
      </c>
      <c r="V30" s="11">
        <v>192</v>
      </c>
      <c r="W30" s="14">
        <f>STDEV(B104:F106)</f>
        <v>237.68923733267323</v>
      </c>
      <c r="X30" s="14">
        <f>STDEV(I104:M106)</f>
        <v>1059.0441558155985</v>
      </c>
    </row>
    <row r="31" spans="1:24">
      <c r="A31" s="19" t="s">
        <v>4</v>
      </c>
      <c r="B31" s="43"/>
      <c r="C31" s="4">
        <v>1.748</v>
      </c>
      <c r="D31" s="34">
        <v>0</v>
      </c>
      <c r="E31" s="34">
        <v>0</v>
      </c>
      <c r="F31" s="34">
        <v>0</v>
      </c>
      <c r="H31" s="19" t="s">
        <v>4</v>
      </c>
      <c r="I31" s="43"/>
      <c r="J31" s="34">
        <v>0</v>
      </c>
      <c r="K31" s="51">
        <v>0</v>
      </c>
      <c r="L31" s="34">
        <v>0</v>
      </c>
      <c r="M31" s="34">
        <v>0</v>
      </c>
      <c r="P31" s="11" t="s">
        <v>8</v>
      </c>
      <c r="Q31" s="11">
        <v>264</v>
      </c>
      <c r="R31" s="14">
        <f>AVERAGE(B108:F110)</f>
        <v>209.87766666666667</v>
      </c>
      <c r="S31" s="14">
        <f>AVERAGE(I108:M110)</f>
        <v>1111.4732222222221</v>
      </c>
      <c r="T31" s="13"/>
      <c r="U31" s="11" t="s">
        <v>8</v>
      </c>
      <c r="V31" s="11">
        <v>264</v>
      </c>
      <c r="W31" s="14">
        <f>STDEV(B108:F110)</f>
        <v>307.66910662471463</v>
      </c>
      <c r="X31" s="14">
        <f>STDEV(I108:M110)</f>
        <v>1570.5050822736757</v>
      </c>
    </row>
    <row r="32" spans="1:24">
      <c r="A32" s="19">
        <v>0.35</v>
      </c>
      <c r="B32" s="43"/>
      <c r="C32" s="4">
        <v>15.612</v>
      </c>
      <c r="D32" s="4">
        <v>11.834</v>
      </c>
      <c r="E32" s="4">
        <v>181.375</v>
      </c>
      <c r="F32" s="4">
        <v>265.90300000000002</v>
      </c>
      <c r="H32" s="19">
        <v>0.35</v>
      </c>
      <c r="I32" s="43"/>
      <c r="J32" s="4">
        <v>81.305000000000007</v>
      </c>
      <c r="K32" s="36">
        <v>0.29799999999999999</v>
      </c>
      <c r="L32" s="4">
        <v>227.13900000000001</v>
      </c>
      <c r="M32" s="4">
        <v>613.20899999999995</v>
      </c>
      <c r="P32" s="11" t="s">
        <v>9</v>
      </c>
      <c r="Q32" s="11">
        <v>336</v>
      </c>
      <c r="R32" s="14">
        <f>AVERAGE(B112:F114)</f>
        <v>61.576555555555565</v>
      </c>
      <c r="S32" s="14">
        <f>AVERAGE(I112:M114)</f>
        <v>706.05277777777769</v>
      </c>
      <c r="T32" s="13"/>
      <c r="U32" s="11" t="s">
        <v>9</v>
      </c>
      <c r="V32" s="11">
        <v>336</v>
      </c>
      <c r="W32" s="14">
        <f>STDEV(B112:F114)</f>
        <v>84.66612425597252</v>
      </c>
      <c r="X32" s="14">
        <f>STDEV(I112:M114)</f>
        <v>980.75449725680301</v>
      </c>
    </row>
    <row r="33" spans="1:24">
      <c r="A33" s="19">
        <v>0.35</v>
      </c>
      <c r="B33" s="43"/>
      <c r="C33" s="4">
        <v>15.689</v>
      </c>
      <c r="D33" s="4">
        <v>11.778</v>
      </c>
      <c r="E33" s="4">
        <v>154.131</v>
      </c>
      <c r="F33" s="4">
        <v>270.15800000000002</v>
      </c>
      <c r="H33" s="19">
        <v>0.35</v>
      </c>
      <c r="I33" s="43"/>
      <c r="J33" s="4">
        <v>80.11</v>
      </c>
      <c r="K33" s="36">
        <v>0.20899999999999999</v>
      </c>
      <c r="L33" s="4">
        <v>225.881</v>
      </c>
      <c r="M33" s="4">
        <v>615.28700000000003</v>
      </c>
      <c r="P33" s="11" t="s">
        <v>10</v>
      </c>
      <c r="Q33" s="11">
        <v>408</v>
      </c>
      <c r="R33" s="14">
        <f>AVERAGE(B116:F118)</f>
        <v>54.398777777777781</v>
      </c>
      <c r="S33" s="14">
        <f>AVERAGE(I116:M118)</f>
        <v>684.71688888888889</v>
      </c>
      <c r="T33" s="13"/>
      <c r="U33" s="11" t="s">
        <v>10</v>
      </c>
      <c r="V33" s="11">
        <v>408</v>
      </c>
      <c r="W33" s="14">
        <f>STDEV(B116:F118)</f>
        <v>74.264174722368267</v>
      </c>
      <c r="X33" s="14">
        <f>STDEV(I116:M118)</f>
        <v>983.31219146088654</v>
      </c>
    </row>
    <row r="34" spans="1:24">
      <c r="A34" s="19">
        <v>0.35</v>
      </c>
      <c r="B34" s="43"/>
      <c r="C34" s="4">
        <v>15.449</v>
      </c>
      <c r="D34" s="4">
        <v>11.849</v>
      </c>
      <c r="E34" s="4">
        <v>179.40799999999999</v>
      </c>
      <c r="F34" s="4">
        <v>272.35000000000002</v>
      </c>
      <c r="H34" s="19">
        <v>0.35</v>
      </c>
      <c r="I34" s="43"/>
      <c r="J34" s="4">
        <v>80.83</v>
      </c>
      <c r="K34" s="36">
        <v>0.24</v>
      </c>
      <c r="L34" s="4">
        <v>224.00200000000001</v>
      </c>
      <c r="M34" s="4">
        <v>559.803</v>
      </c>
      <c r="P34" s="11" t="s">
        <v>11</v>
      </c>
      <c r="Q34" s="11">
        <v>480</v>
      </c>
      <c r="R34" s="14">
        <f>AVERAGE(B120:F122)</f>
        <v>55.13111111111111</v>
      </c>
      <c r="S34" s="14">
        <f>AVERAGE(I120:M122)</f>
        <v>440.42588888888884</v>
      </c>
      <c r="T34" s="13"/>
      <c r="U34" s="11" t="s">
        <v>11</v>
      </c>
      <c r="V34" s="11">
        <v>480</v>
      </c>
      <c r="W34" s="14">
        <f>STDEV(B120:F122)</f>
        <v>75.594380815382777</v>
      </c>
      <c r="X34" s="14">
        <f>STDEV(I120:M122)</f>
        <v>630.64734002956141</v>
      </c>
    </row>
    <row r="35" spans="1:24">
      <c r="A35" s="19" t="s">
        <v>4</v>
      </c>
      <c r="B35" s="43"/>
      <c r="C35" s="4">
        <v>1.7949999999999999</v>
      </c>
      <c r="D35" s="4">
        <v>1.66</v>
      </c>
      <c r="E35" s="34">
        <v>0</v>
      </c>
      <c r="F35" s="34">
        <v>0</v>
      </c>
      <c r="H35" s="19" t="s">
        <v>4</v>
      </c>
      <c r="I35" s="43"/>
      <c r="J35" s="34">
        <v>0</v>
      </c>
      <c r="K35" s="52">
        <v>0</v>
      </c>
      <c r="L35" s="34">
        <v>0</v>
      </c>
      <c r="M35" s="34">
        <v>0</v>
      </c>
      <c r="P35" s="11" t="s">
        <v>12</v>
      </c>
      <c r="Q35" s="11">
        <v>552</v>
      </c>
      <c r="R35" s="14">
        <f>AVERAGE(B124:F126)</f>
        <v>51.773000000000003</v>
      </c>
      <c r="S35" s="14">
        <f>AVERAGE(I124:M126)</f>
        <v>373.16211111111113</v>
      </c>
      <c r="T35" s="13"/>
      <c r="U35" s="11" t="s">
        <v>12</v>
      </c>
      <c r="V35" s="11">
        <v>552</v>
      </c>
      <c r="W35" s="14">
        <f>STDEV(B124:F126)</f>
        <v>70.718503794975746</v>
      </c>
      <c r="X35" s="14">
        <f>STDEV(I124:M126)</f>
        <v>539.78086445993165</v>
      </c>
    </row>
    <row r="36" spans="1:24">
      <c r="A36" s="19">
        <v>0.4</v>
      </c>
      <c r="B36" s="43"/>
      <c r="C36" s="4">
        <v>14.951000000000001</v>
      </c>
      <c r="D36" s="4">
        <v>11.59</v>
      </c>
      <c r="E36" s="4">
        <v>151.56700000000001</v>
      </c>
      <c r="F36" s="4">
        <v>216.96199999999999</v>
      </c>
      <c r="H36" s="19">
        <v>0.4</v>
      </c>
      <c r="I36" s="43"/>
      <c r="J36" s="4">
        <v>80.915000000000006</v>
      </c>
      <c r="K36" s="36">
        <v>4.7E-2</v>
      </c>
      <c r="L36" s="4">
        <v>143.34</v>
      </c>
      <c r="M36" s="4">
        <v>356.56900000000002</v>
      </c>
      <c r="P36" s="11" t="s">
        <v>13</v>
      </c>
      <c r="Q36" s="11">
        <v>624</v>
      </c>
      <c r="R36" s="14">
        <f>AVERAGE(B128:F130)</f>
        <v>46.791444444444444</v>
      </c>
      <c r="S36" s="14">
        <f>AVERAGE(I128:M130)</f>
        <v>220.994</v>
      </c>
      <c r="T36" s="13"/>
      <c r="U36" s="11" t="s">
        <v>13</v>
      </c>
      <c r="V36" s="11">
        <v>624</v>
      </c>
      <c r="W36" s="14">
        <f>STDEV(B128:F130)</f>
        <v>62.832018587482743</v>
      </c>
      <c r="X36" s="14">
        <f>STDEV(I128:M130)</f>
        <v>316.54878279658573</v>
      </c>
    </row>
    <row r="37" spans="1:24">
      <c r="A37" s="19">
        <v>0.4</v>
      </c>
      <c r="B37" s="43"/>
      <c r="C37" s="4">
        <v>15.193</v>
      </c>
      <c r="D37" s="4">
        <v>11.606</v>
      </c>
      <c r="E37" s="4">
        <v>121.13800000000001</v>
      </c>
      <c r="F37" s="4">
        <v>216.23500000000001</v>
      </c>
      <c r="H37" s="19">
        <v>0.4</v>
      </c>
      <c r="I37" s="43"/>
      <c r="J37" s="4">
        <v>81.549000000000007</v>
      </c>
      <c r="K37" s="36">
        <v>0.22800000000000001</v>
      </c>
      <c r="L37" s="4">
        <v>147.32400000000001</v>
      </c>
      <c r="M37" s="4">
        <v>351.47800000000001</v>
      </c>
      <c r="P37" s="11" t="s">
        <v>14</v>
      </c>
      <c r="Q37" s="11">
        <v>696</v>
      </c>
      <c r="R37" s="14">
        <f>AVERAGE(B132:F134)</f>
        <v>33.93588888888889</v>
      </c>
      <c r="S37" s="14">
        <f>AVERAGE(I132:M134)</f>
        <v>196.29111111111112</v>
      </c>
      <c r="T37" s="13"/>
      <c r="U37" s="11" t="s">
        <v>14</v>
      </c>
      <c r="V37" s="11">
        <v>696</v>
      </c>
      <c r="W37" s="14">
        <f>STDEV(B132:F134)</f>
        <v>43.988255251954591</v>
      </c>
      <c r="X37" s="14">
        <f>STDEV(I132:M134)</f>
        <v>285.4474896204398</v>
      </c>
    </row>
    <row r="38" spans="1:24">
      <c r="A38" s="19">
        <v>0.4</v>
      </c>
      <c r="B38" s="43"/>
      <c r="C38" s="4">
        <v>14.522</v>
      </c>
      <c r="D38" s="4">
        <v>11.473000000000001</v>
      </c>
      <c r="E38" s="4">
        <v>122.94199999999999</v>
      </c>
      <c r="F38" s="4">
        <v>218.03700000000001</v>
      </c>
      <c r="H38" s="19">
        <v>0.4</v>
      </c>
      <c r="I38" s="43"/>
      <c r="J38" s="4">
        <v>82.075000000000003</v>
      </c>
      <c r="K38" s="36">
        <v>0</v>
      </c>
      <c r="L38" s="4">
        <v>146.565</v>
      </c>
      <c r="M38" s="4">
        <v>344.73700000000002</v>
      </c>
      <c r="P38" s="11" t="s">
        <v>15</v>
      </c>
      <c r="Q38" s="11">
        <v>768</v>
      </c>
      <c r="R38" s="14">
        <f>AVERAGE(B136:F138)</f>
        <v>28.335222222222221</v>
      </c>
      <c r="S38" s="14">
        <f>AVERAGE(I136:M138)</f>
        <v>166.74288888888884</v>
      </c>
      <c r="T38" s="13"/>
      <c r="U38" s="11" t="s">
        <v>15</v>
      </c>
      <c r="V38" s="11">
        <v>768</v>
      </c>
      <c r="W38" s="14">
        <f>STDEV(B136:F138)</f>
        <v>35.055655516541762</v>
      </c>
      <c r="X38" s="14">
        <f>STDEV(I136:M138)</f>
        <v>240.46329980084511</v>
      </c>
    </row>
    <row r="39" spans="1:24">
      <c r="A39" s="19" t="s">
        <v>4</v>
      </c>
      <c r="B39" s="43"/>
      <c r="C39" s="4">
        <v>1.706</v>
      </c>
      <c r="D39" s="4">
        <v>1.6839999999999999</v>
      </c>
      <c r="E39" s="34">
        <v>0</v>
      </c>
      <c r="F39" s="34">
        <v>0</v>
      </c>
      <c r="H39" s="19" t="s">
        <v>4</v>
      </c>
      <c r="I39" s="43"/>
      <c r="J39" s="34">
        <v>0</v>
      </c>
      <c r="K39" s="53">
        <v>0</v>
      </c>
      <c r="L39" s="34">
        <v>0</v>
      </c>
      <c r="M39" s="34">
        <v>0</v>
      </c>
      <c r="P39" s="11" t="s">
        <v>16</v>
      </c>
      <c r="Q39" s="11">
        <v>840</v>
      </c>
      <c r="R39" s="14">
        <f>AVERAGE(B140:F142)</f>
        <v>15.244333333333335</v>
      </c>
      <c r="S39" s="14">
        <f>AVERAGE(I140:M142)</f>
        <v>52.182666666666677</v>
      </c>
      <c r="T39" s="13"/>
      <c r="U39" s="11" t="s">
        <v>16</v>
      </c>
      <c r="V39" s="11">
        <v>840</v>
      </c>
      <c r="W39" s="14">
        <f>STDEV(B140:F142)</f>
        <v>16.295138960745316</v>
      </c>
      <c r="X39" s="14">
        <f>STDEV(I140:M142)</f>
        <v>69.293656022755783</v>
      </c>
    </row>
    <row r="40" spans="1:24">
      <c r="A40" s="19">
        <v>0.45</v>
      </c>
      <c r="B40" s="43"/>
      <c r="C40" s="4">
        <v>14.28</v>
      </c>
      <c r="D40" s="4">
        <v>10.837</v>
      </c>
      <c r="E40" s="4">
        <v>93.617999999999995</v>
      </c>
      <c r="F40" s="4">
        <v>157.51499999999999</v>
      </c>
      <c r="H40" s="19">
        <v>0.45</v>
      </c>
      <c r="I40" s="43"/>
      <c r="J40" s="4">
        <v>76.56</v>
      </c>
      <c r="K40" s="36">
        <v>0.19700000000000001</v>
      </c>
      <c r="L40" s="4">
        <v>61.103999999999999</v>
      </c>
      <c r="M40" s="4">
        <v>213.45400000000001</v>
      </c>
      <c r="P40" s="11" t="s">
        <v>17</v>
      </c>
      <c r="Q40" s="11">
        <v>912</v>
      </c>
      <c r="R40" s="14">
        <f>AVERAGE(B144:F146)</f>
        <v>13.864444444444445</v>
      </c>
      <c r="S40" s="14">
        <f>AVERAGE(I144:M146)</f>
        <v>28.222888888888885</v>
      </c>
      <c r="T40" s="13"/>
      <c r="U40" s="11" t="s">
        <v>17</v>
      </c>
      <c r="V40" s="11">
        <v>912</v>
      </c>
      <c r="W40" s="14">
        <f>STDEV(B144:F146)</f>
        <v>14.528991354453268</v>
      </c>
      <c r="X40" s="14">
        <f>STDEV(I144:M146)</f>
        <v>33.650651392077258</v>
      </c>
    </row>
    <row r="41" spans="1:24">
      <c r="A41" s="19">
        <v>0.45</v>
      </c>
      <c r="B41" s="43"/>
      <c r="C41" s="4">
        <v>14.173</v>
      </c>
      <c r="D41" s="4">
        <v>10.852</v>
      </c>
      <c r="E41" s="4">
        <v>116.992</v>
      </c>
      <c r="F41" s="4">
        <v>157.39500000000001</v>
      </c>
      <c r="H41" s="19">
        <v>0.45</v>
      </c>
      <c r="I41" s="43"/>
      <c r="J41" s="4">
        <v>76.659000000000006</v>
      </c>
      <c r="K41" s="36">
        <v>0</v>
      </c>
      <c r="L41" s="4">
        <v>55.890999999999998</v>
      </c>
      <c r="M41" s="4">
        <v>216.869</v>
      </c>
      <c r="P41" s="11" t="s">
        <v>18</v>
      </c>
      <c r="Q41" s="11">
        <v>984</v>
      </c>
      <c r="R41" s="14">
        <f>AVERAGE(B148:F150)</f>
        <v>6.673111111111111</v>
      </c>
      <c r="S41" s="14">
        <f>AVERAGE(I148:M150)</f>
        <v>19.529777777777774</v>
      </c>
      <c r="T41" s="13"/>
      <c r="U41" s="11" t="s">
        <v>18</v>
      </c>
      <c r="V41" s="11">
        <v>984</v>
      </c>
      <c r="W41" s="14">
        <f>STDEV(B148:F150)</f>
        <v>4.1833651658815425</v>
      </c>
      <c r="X41" s="14">
        <f>STDEV(I148:M150)</f>
        <v>20.906684228840419</v>
      </c>
    </row>
    <row r="42" spans="1:24">
      <c r="A42" s="19">
        <v>0.45</v>
      </c>
      <c r="B42" s="43"/>
      <c r="C42" s="4">
        <v>14.05</v>
      </c>
      <c r="D42" s="4">
        <v>10.904999999999999</v>
      </c>
      <c r="E42" s="4">
        <v>93.852999999999994</v>
      </c>
      <c r="F42" s="4">
        <v>159.14699999999999</v>
      </c>
      <c r="H42" s="19">
        <v>0.45</v>
      </c>
      <c r="I42" s="43"/>
      <c r="J42" s="4">
        <v>79.534999999999997</v>
      </c>
      <c r="K42" s="36">
        <v>2E-3</v>
      </c>
      <c r="L42" s="4">
        <v>62.780999999999999</v>
      </c>
      <c r="M42" s="4">
        <v>224.48</v>
      </c>
    </row>
    <row r="43" spans="1:24">
      <c r="A43" s="19" t="s">
        <v>4</v>
      </c>
      <c r="B43" s="43"/>
      <c r="C43" s="4">
        <v>1.7390000000000001</v>
      </c>
      <c r="D43" s="4">
        <v>1.66</v>
      </c>
      <c r="E43" s="34">
        <v>0</v>
      </c>
      <c r="F43" s="34">
        <v>0</v>
      </c>
      <c r="H43" s="19" t="s">
        <v>4</v>
      </c>
      <c r="I43" s="43"/>
      <c r="J43" s="34">
        <v>0</v>
      </c>
      <c r="K43" s="52">
        <v>0</v>
      </c>
      <c r="L43" s="34">
        <v>0</v>
      </c>
      <c r="M43" s="34">
        <v>0</v>
      </c>
    </row>
    <row r="44" spans="1:24">
      <c r="A44" s="19">
        <v>0.5</v>
      </c>
      <c r="B44" s="43"/>
      <c r="C44" s="4">
        <v>13.269</v>
      </c>
      <c r="D44" s="4">
        <v>9.5239999999999991</v>
      </c>
      <c r="E44" s="4">
        <v>74.16</v>
      </c>
      <c r="F44" s="4">
        <v>141.62100000000001</v>
      </c>
      <c r="H44" s="19">
        <v>0.5</v>
      </c>
      <c r="I44" s="43"/>
      <c r="J44" s="4">
        <v>74.406000000000006</v>
      </c>
      <c r="K44" s="36">
        <v>0</v>
      </c>
      <c r="L44" s="4">
        <v>22.681000000000001</v>
      </c>
      <c r="M44" s="4">
        <v>124.13</v>
      </c>
    </row>
    <row r="45" spans="1:24">
      <c r="A45" s="19">
        <v>0.5</v>
      </c>
      <c r="B45" s="43"/>
      <c r="C45" s="4">
        <v>13.564</v>
      </c>
      <c r="D45" s="4">
        <v>9.5419999999999998</v>
      </c>
      <c r="E45" s="4">
        <v>75.828000000000003</v>
      </c>
      <c r="F45" s="4">
        <v>143.583</v>
      </c>
      <c r="H45" s="19">
        <v>0.5</v>
      </c>
      <c r="I45" s="43"/>
      <c r="J45" s="4">
        <v>74.731999999999999</v>
      </c>
      <c r="K45" s="36">
        <v>0</v>
      </c>
      <c r="L45" s="4">
        <v>17.07</v>
      </c>
      <c r="M45" s="4">
        <v>126.15600000000001</v>
      </c>
    </row>
    <row r="46" spans="1:24">
      <c r="A46" s="19">
        <v>0.5</v>
      </c>
      <c r="B46" s="43"/>
      <c r="C46" s="4">
        <v>13.138</v>
      </c>
      <c r="D46" s="4">
        <v>9.5350000000000001</v>
      </c>
      <c r="E46" s="4">
        <v>76.256</v>
      </c>
      <c r="F46" s="38">
        <v>143.83600000000001</v>
      </c>
      <c r="H46" s="19">
        <v>0.5</v>
      </c>
      <c r="I46" s="43"/>
      <c r="J46" s="4">
        <v>72.822999999999993</v>
      </c>
      <c r="K46" s="36">
        <v>0</v>
      </c>
      <c r="L46" s="4">
        <v>19.890999999999998</v>
      </c>
      <c r="M46" s="4">
        <v>127.09399999999999</v>
      </c>
    </row>
    <row r="47" spans="1:24">
      <c r="A47" s="19" t="s">
        <v>4</v>
      </c>
      <c r="B47" s="43"/>
      <c r="C47" s="4">
        <v>1.7050000000000001</v>
      </c>
      <c r="D47" s="34">
        <v>0</v>
      </c>
      <c r="E47" s="34">
        <v>0</v>
      </c>
      <c r="F47" s="34">
        <v>0</v>
      </c>
      <c r="H47" s="19" t="s">
        <v>4</v>
      </c>
      <c r="I47" s="43"/>
      <c r="J47" s="34">
        <v>0</v>
      </c>
      <c r="K47" s="52">
        <v>0</v>
      </c>
      <c r="L47" s="34">
        <v>0</v>
      </c>
      <c r="M47" s="34">
        <v>0</v>
      </c>
    </row>
    <row r="48" spans="1:24">
      <c r="A48" s="19">
        <v>0.55000000000000004</v>
      </c>
      <c r="B48" s="43"/>
      <c r="C48" s="4">
        <v>14.026999999999999</v>
      </c>
      <c r="D48" s="4">
        <v>11.721</v>
      </c>
      <c r="E48" s="4">
        <v>25.933</v>
      </c>
      <c r="F48" s="4">
        <v>120.95099999999999</v>
      </c>
      <c r="H48" s="19">
        <v>0.55000000000000004</v>
      </c>
      <c r="I48" s="43"/>
      <c r="J48" s="4">
        <v>83.206000000000003</v>
      </c>
      <c r="K48" s="36">
        <v>5.2999999999999999E-2</v>
      </c>
      <c r="L48" s="34">
        <v>0.81799999999999995</v>
      </c>
      <c r="M48" s="4">
        <v>69.051000000000002</v>
      </c>
    </row>
    <row r="49" spans="1:13">
      <c r="A49" s="19">
        <v>0.55000000000000004</v>
      </c>
      <c r="B49" s="43"/>
      <c r="C49" s="4">
        <v>14.111000000000001</v>
      </c>
      <c r="D49" s="4">
        <v>11.692</v>
      </c>
      <c r="E49" s="4">
        <v>26.2</v>
      </c>
      <c r="F49" s="4">
        <v>120.971</v>
      </c>
      <c r="H49" s="19">
        <v>0.55000000000000004</v>
      </c>
      <c r="I49" s="43"/>
      <c r="J49" s="4">
        <v>81.168999999999997</v>
      </c>
      <c r="K49" s="36">
        <v>0.20300000000000001</v>
      </c>
      <c r="L49" s="4">
        <v>103.857</v>
      </c>
      <c r="M49" s="4">
        <v>68.013999999999996</v>
      </c>
    </row>
    <row r="50" spans="1:13">
      <c r="A50" s="19">
        <v>0.55000000000000004</v>
      </c>
      <c r="B50" s="43"/>
      <c r="C50" s="4">
        <v>13.805</v>
      </c>
      <c r="D50" s="4">
        <v>11.752000000000001</v>
      </c>
      <c r="E50" s="4">
        <v>26.602</v>
      </c>
      <c r="F50" s="4">
        <v>121.307</v>
      </c>
      <c r="H50" s="19">
        <v>0.55000000000000004</v>
      </c>
      <c r="I50" s="43"/>
      <c r="J50" s="4">
        <v>82.522000000000006</v>
      </c>
      <c r="K50" s="36">
        <v>0.11600000000000001</v>
      </c>
      <c r="L50" s="4">
        <v>104.468</v>
      </c>
      <c r="M50" s="4">
        <v>68.722999999999999</v>
      </c>
    </row>
    <row r="51" spans="1:13">
      <c r="A51" s="19" t="s">
        <v>4</v>
      </c>
      <c r="B51" s="43"/>
      <c r="C51" s="34">
        <v>0</v>
      </c>
      <c r="D51" s="4">
        <v>1.675</v>
      </c>
      <c r="E51" s="34">
        <v>0</v>
      </c>
      <c r="F51" s="34">
        <v>0</v>
      </c>
      <c r="H51" s="19" t="s">
        <v>4</v>
      </c>
      <c r="I51" s="43"/>
      <c r="J51" s="34">
        <v>0</v>
      </c>
      <c r="K51" s="52">
        <v>0</v>
      </c>
      <c r="L51" s="34">
        <v>0</v>
      </c>
      <c r="M51" s="34">
        <v>0</v>
      </c>
    </row>
    <row r="52" spans="1:13">
      <c r="A52" s="3">
        <v>1</v>
      </c>
      <c r="B52" s="16">
        <v>993.18100000000004</v>
      </c>
      <c r="C52" s="4">
        <v>14.04</v>
      </c>
      <c r="D52" s="4">
        <v>11.888</v>
      </c>
      <c r="E52" s="4">
        <v>20.82</v>
      </c>
      <c r="F52" s="4">
        <v>104.096</v>
      </c>
      <c r="H52" s="3">
        <v>1</v>
      </c>
      <c r="I52" s="16">
        <v>523.11400000000003</v>
      </c>
      <c r="J52" s="4">
        <v>86.207999999999998</v>
      </c>
      <c r="K52" s="36">
        <v>0.221</v>
      </c>
      <c r="L52" s="34">
        <v>0.48899999999999999</v>
      </c>
      <c r="M52" s="4">
        <v>1.4450000000000001</v>
      </c>
    </row>
    <row r="53" spans="1:13">
      <c r="A53" s="3">
        <v>1</v>
      </c>
      <c r="B53" s="16">
        <v>992.24800000000005</v>
      </c>
      <c r="C53" s="4">
        <v>14.144</v>
      </c>
      <c r="D53" s="4">
        <v>11.954000000000001</v>
      </c>
      <c r="E53" s="4">
        <v>19.968</v>
      </c>
      <c r="F53" s="4">
        <v>103.538</v>
      </c>
      <c r="H53" s="3">
        <v>1</v>
      </c>
      <c r="I53" s="16">
        <v>523.57299999999998</v>
      </c>
      <c r="J53" s="4">
        <v>86.808999999999997</v>
      </c>
      <c r="K53" s="36">
        <v>0.10100000000000001</v>
      </c>
      <c r="L53" s="34">
        <v>0.43099999999999999</v>
      </c>
      <c r="M53" s="4">
        <v>4.407</v>
      </c>
    </row>
    <row r="54" spans="1:13">
      <c r="A54" s="3">
        <v>1</v>
      </c>
      <c r="B54" s="16">
        <v>996.42100000000005</v>
      </c>
      <c r="C54" s="4">
        <v>13.803000000000001</v>
      </c>
      <c r="D54" s="4">
        <v>11.731</v>
      </c>
      <c r="E54" s="4">
        <v>20.63</v>
      </c>
      <c r="F54" s="4">
        <v>104.13500000000001</v>
      </c>
      <c r="H54" s="3">
        <v>1</v>
      </c>
      <c r="I54" s="16">
        <v>515.53099999999995</v>
      </c>
      <c r="J54" s="4">
        <v>85.155000000000001</v>
      </c>
      <c r="K54" s="36">
        <v>0.107</v>
      </c>
      <c r="L54" s="4">
        <v>52.142000000000003</v>
      </c>
      <c r="M54" s="4">
        <v>2.125</v>
      </c>
    </row>
    <row r="55" spans="1:13">
      <c r="A55" s="3" t="s">
        <v>4</v>
      </c>
      <c r="B55" s="49">
        <v>0</v>
      </c>
      <c r="C55" s="4">
        <v>1.7190000000000001</v>
      </c>
      <c r="D55" s="4">
        <v>1.6890000000000001</v>
      </c>
      <c r="E55" s="34">
        <v>0</v>
      </c>
      <c r="F55" s="34">
        <v>0</v>
      </c>
      <c r="H55" s="3" t="s">
        <v>4</v>
      </c>
      <c r="I55" s="49">
        <v>0</v>
      </c>
      <c r="J55" s="34">
        <v>0</v>
      </c>
      <c r="K55" s="52">
        <v>0</v>
      </c>
      <c r="L55" s="34">
        <v>0</v>
      </c>
      <c r="M55" s="34">
        <v>0</v>
      </c>
    </row>
    <row r="56" spans="1:13">
      <c r="A56" s="3">
        <v>2</v>
      </c>
      <c r="B56" s="16">
        <v>597.71199999999999</v>
      </c>
      <c r="C56" s="4">
        <v>15.241</v>
      </c>
      <c r="D56" s="4">
        <v>12.901999999999999</v>
      </c>
      <c r="E56" s="4">
        <v>8.68</v>
      </c>
      <c r="F56" s="4">
        <v>7.4740000000000002</v>
      </c>
      <c r="H56" s="3">
        <v>2</v>
      </c>
      <c r="I56" s="16">
        <v>385.59699999999998</v>
      </c>
      <c r="J56" s="4">
        <v>85.606999999999999</v>
      </c>
      <c r="K56" s="36">
        <v>0.221</v>
      </c>
      <c r="L56" s="4">
        <v>37.26</v>
      </c>
      <c r="M56" s="4">
        <v>35.395000000000003</v>
      </c>
    </row>
    <row r="57" spans="1:13">
      <c r="A57" s="3">
        <v>2</v>
      </c>
      <c r="B57" s="16">
        <v>597.72699999999998</v>
      </c>
      <c r="C57" s="4">
        <v>15.118</v>
      </c>
      <c r="D57" s="4">
        <v>12.862</v>
      </c>
      <c r="E57" s="4">
        <v>8.6989999999999998</v>
      </c>
      <c r="F57" s="4">
        <v>7.5090000000000003</v>
      </c>
      <c r="H57" s="3">
        <v>2</v>
      </c>
      <c r="I57" s="16">
        <v>384.71199999999999</v>
      </c>
      <c r="J57" s="4">
        <v>87.055999999999997</v>
      </c>
      <c r="K57" s="36">
        <v>0</v>
      </c>
      <c r="L57" s="34">
        <v>6.0000000000000001E-3</v>
      </c>
      <c r="M57" s="4">
        <v>35.078000000000003</v>
      </c>
    </row>
    <row r="58" spans="1:13">
      <c r="A58" s="3">
        <v>2</v>
      </c>
      <c r="B58" s="16">
        <v>601.64499999999998</v>
      </c>
      <c r="C58" s="4">
        <v>15.101000000000001</v>
      </c>
      <c r="D58" s="4">
        <v>12.817</v>
      </c>
      <c r="E58" s="4">
        <v>8.8469999999999995</v>
      </c>
      <c r="F58" s="4">
        <v>7.5739999999999998</v>
      </c>
      <c r="H58" s="3">
        <v>2</v>
      </c>
      <c r="I58" s="16">
        <v>393.62299999999999</v>
      </c>
      <c r="J58" s="4">
        <v>86.528999999999996</v>
      </c>
      <c r="K58" s="36">
        <v>2.5999999999999999E-2</v>
      </c>
      <c r="L58" s="34">
        <v>7.5999999999999998E-2</v>
      </c>
      <c r="M58" s="4">
        <v>35.374000000000002</v>
      </c>
    </row>
    <row r="59" spans="1:13">
      <c r="A59" s="3" t="s">
        <v>4</v>
      </c>
      <c r="B59" s="49">
        <v>0</v>
      </c>
      <c r="C59" s="4">
        <v>1.6930000000000001</v>
      </c>
      <c r="D59" s="4">
        <v>1.677</v>
      </c>
      <c r="E59" s="34">
        <v>0</v>
      </c>
      <c r="F59" s="34">
        <v>0</v>
      </c>
      <c r="H59" s="3" t="s">
        <v>4</v>
      </c>
      <c r="I59" s="49">
        <v>0</v>
      </c>
      <c r="J59" s="34">
        <v>0</v>
      </c>
      <c r="K59" s="54">
        <v>0</v>
      </c>
      <c r="L59" s="34">
        <v>0</v>
      </c>
      <c r="M59" s="34">
        <v>0</v>
      </c>
    </row>
    <row r="60" spans="1:13">
      <c r="A60" s="3">
        <v>3</v>
      </c>
      <c r="B60" s="16">
        <v>693.17899999999997</v>
      </c>
      <c r="C60" s="4">
        <v>23.779</v>
      </c>
      <c r="D60" s="4">
        <v>24.396999999999998</v>
      </c>
      <c r="E60" s="4">
        <v>5.5090000000000003</v>
      </c>
      <c r="F60" s="4">
        <v>14.699</v>
      </c>
      <c r="H60" s="3">
        <v>3</v>
      </c>
      <c r="I60" s="16">
        <v>588.70299999999997</v>
      </c>
      <c r="J60" s="4">
        <v>117.84</v>
      </c>
      <c r="K60" s="35">
        <v>141.68600000000001</v>
      </c>
      <c r="L60" s="34">
        <v>0</v>
      </c>
      <c r="M60" s="4">
        <v>77.438999999999993</v>
      </c>
    </row>
    <row r="61" spans="1:13">
      <c r="A61" s="3">
        <v>3</v>
      </c>
      <c r="B61" s="16">
        <v>695.4</v>
      </c>
      <c r="C61" s="4">
        <v>23.899000000000001</v>
      </c>
      <c r="D61" s="4">
        <v>24.24</v>
      </c>
      <c r="E61" s="4">
        <v>5.5190000000000001</v>
      </c>
      <c r="F61" s="4">
        <v>15.106999999999999</v>
      </c>
      <c r="H61" s="3">
        <v>3</v>
      </c>
      <c r="I61" s="16">
        <v>558.27</v>
      </c>
      <c r="J61" s="4">
        <v>116.229</v>
      </c>
      <c r="K61" s="4">
        <v>165.5</v>
      </c>
      <c r="L61" s="34">
        <v>0</v>
      </c>
      <c r="M61" s="4">
        <v>77.018000000000001</v>
      </c>
    </row>
    <row r="62" spans="1:13">
      <c r="A62" s="3">
        <v>3</v>
      </c>
      <c r="B62" s="16">
        <v>695.98500000000001</v>
      </c>
      <c r="C62" s="4">
        <v>23.863</v>
      </c>
      <c r="D62" s="4">
        <v>24.454999999999998</v>
      </c>
      <c r="E62" s="4">
        <v>5.6210000000000004</v>
      </c>
      <c r="F62" s="4">
        <v>14.827</v>
      </c>
      <c r="H62" s="3">
        <v>3</v>
      </c>
      <c r="I62" s="16">
        <v>567.71699999999998</v>
      </c>
      <c r="J62" s="4">
        <v>118.613</v>
      </c>
      <c r="K62" s="4">
        <v>138.52600000000001</v>
      </c>
      <c r="L62" s="34">
        <v>0</v>
      </c>
      <c r="M62" s="4">
        <v>80.402000000000001</v>
      </c>
    </row>
    <row r="63" spans="1:13">
      <c r="A63" s="3" t="s">
        <v>4</v>
      </c>
      <c r="B63" s="49">
        <v>0</v>
      </c>
      <c r="C63" s="34">
        <v>0</v>
      </c>
      <c r="D63" s="4">
        <v>1.7030000000000001</v>
      </c>
      <c r="E63" s="34">
        <v>0</v>
      </c>
      <c r="F63" s="34">
        <v>0</v>
      </c>
      <c r="H63" s="3" t="s">
        <v>4</v>
      </c>
      <c r="I63" s="49">
        <v>0</v>
      </c>
      <c r="J63" s="34">
        <v>0</v>
      </c>
      <c r="K63" s="34">
        <v>0</v>
      </c>
      <c r="L63" s="34">
        <v>0</v>
      </c>
      <c r="M63" s="34">
        <v>0</v>
      </c>
    </row>
    <row r="64" spans="1:13">
      <c r="A64" s="3">
        <v>4</v>
      </c>
      <c r="B64" s="16">
        <v>680.64499999999998</v>
      </c>
      <c r="C64" s="4">
        <v>23.411000000000001</v>
      </c>
      <c r="D64" s="4">
        <v>23.052</v>
      </c>
      <c r="E64" s="4">
        <v>10.856999999999999</v>
      </c>
      <c r="F64" s="4">
        <v>16.579000000000001</v>
      </c>
      <c r="H64" s="3">
        <v>4</v>
      </c>
      <c r="I64" s="16">
        <v>629.47500000000002</v>
      </c>
      <c r="J64" s="4">
        <v>119.59099999999999</v>
      </c>
      <c r="K64" s="4">
        <v>130.566</v>
      </c>
      <c r="L64" s="34">
        <v>0.248</v>
      </c>
      <c r="M64" s="4">
        <v>93.004999999999995</v>
      </c>
    </row>
    <row r="65" spans="1:13">
      <c r="A65" s="3">
        <v>4</v>
      </c>
      <c r="B65" s="16">
        <v>685.40200000000004</v>
      </c>
      <c r="C65" s="4">
        <v>22.997</v>
      </c>
      <c r="D65" s="4">
        <v>23.376000000000001</v>
      </c>
      <c r="E65" s="4">
        <v>10.702</v>
      </c>
      <c r="F65" s="4">
        <v>16.606999999999999</v>
      </c>
      <c r="H65" s="3">
        <v>4</v>
      </c>
      <c r="I65" s="16">
        <v>617.92899999999997</v>
      </c>
      <c r="J65" s="4">
        <v>117.355</v>
      </c>
      <c r="K65" s="4">
        <v>129.77799999999999</v>
      </c>
      <c r="L65" s="34">
        <v>0.42099999999999999</v>
      </c>
      <c r="M65" s="4">
        <v>92.822000000000003</v>
      </c>
    </row>
    <row r="66" spans="1:13">
      <c r="A66" s="3">
        <v>4</v>
      </c>
      <c r="B66" s="16">
        <v>676.56799999999998</v>
      </c>
      <c r="C66" s="4">
        <v>22.989000000000001</v>
      </c>
      <c r="D66" s="4">
        <v>22.975999999999999</v>
      </c>
      <c r="E66" s="4">
        <v>10.731</v>
      </c>
      <c r="F66" s="4">
        <v>16.739000000000001</v>
      </c>
      <c r="H66" s="3">
        <v>4</v>
      </c>
      <c r="I66" s="16">
        <v>612.72699999999998</v>
      </c>
      <c r="J66" s="4">
        <v>118.82599999999999</v>
      </c>
      <c r="K66" s="4">
        <v>153.53299999999999</v>
      </c>
      <c r="L66" s="4">
        <v>60.918999999999997</v>
      </c>
      <c r="M66" s="4">
        <v>91.603999999999999</v>
      </c>
    </row>
    <row r="67" spans="1:13">
      <c r="A67" s="3" t="s">
        <v>4</v>
      </c>
      <c r="B67" s="49">
        <v>0</v>
      </c>
      <c r="C67" s="34">
        <v>0</v>
      </c>
      <c r="D67" s="4">
        <v>1.696</v>
      </c>
      <c r="E67" s="34">
        <v>0</v>
      </c>
      <c r="F67" s="34">
        <v>0</v>
      </c>
      <c r="H67" s="3" t="s">
        <v>4</v>
      </c>
      <c r="I67" s="49">
        <v>0</v>
      </c>
      <c r="J67" s="34">
        <v>0</v>
      </c>
      <c r="K67" s="34">
        <v>0</v>
      </c>
      <c r="L67" s="34">
        <v>0</v>
      </c>
      <c r="M67" s="34">
        <v>0</v>
      </c>
    </row>
    <row r="68" spans="1:13">
      <c r="A68" s="3">
        <v>5</v>
      </c>
      <c r="B68" s="16">
        <v>698.64200000000005</v>
      </c>
      <c r="C68" s="4">
        <v>57.649000000000001</v>
      </c>
      <c r="D68" s="4">
        <v>62.078000000000003</v>
      </c>
      <c r="E68" s="4">
        <v>12.212</v>
      </c>
      <c r="F68" s="4">
        <v>17.498000000000001</v>
      </c>
      <c r="H68" s="3">
        <v>5</v>
      </c>
      <c r="I68" s="16">
        <v>649.524</v>
      </c>
      <c r="J68" s="4">
        <v>163.155</v>
      </c>
      <c r="K68" s="4">
        <v>288.11799999999999</v>
      </c>
      <c r="L68" s="4">
        <v>76.268000000000001</v>
      </c>
      <c r="M68" s="4">
        <v>99.483000000000004</v>
      </c>
    </row>
    <row r="69" spans="1:13">
      <c r="A69" s="3">
        <v>5</v>
      </c>
      <c r="B69" s="16">
        <v>700.52599999999995</v>
      </c>
      <c r="C69" s="4">
        <v>56.927</v>
      </c>
      <c r="D69" s="4">
        <v>62.512</v>
      </c>
      <c r="E69" s="4">
        <v>11.952999999999999</v>
      </c>
      <c r="F69" s="4">
        <v>17.323</v>
      </c>
      <c r="H69" s="3">
        <v>5</v>
      </c>
      <c r="I69" s="16">
        <v>673.73500000000001</v>
      </c>
      <c r="J69" s="4">
        <v>164.34299999999999</v>
      </c>
      <c r="K69" s="4">
        <v>278.88400000000001</v>
      </c>
      <c r="L69" s="34">
        <v>0.498</v>
      </c>
      <c r="M69" s="4">
        <v>98.465999999999994</v>
      </c>
    </row>
    <row r="70" spans="1:13">
      <c r="A70" s="3">
        <v>5</v>
      </c>
      <c r="B70" s="16">
        <v>699.803</v>
      </c>
      <c r="C70" s="4">
        <v>56.566000000000003</v>
      </c>
      <c r="D70" s="4">
        <v>61.808999999999997</v>
      </c>
      <c r="E70" s="4">
        <v>12.157</v>
      </c>
      <c r="F70" s="4">
        <v>17.113</v>
      </c>
      <c r="H70" s="3">
        <v>5</v>
      </c>
      <c r="I70" s="16">
        <v>662.072</v>
      </c>
      <c r="J70" s="4">
        <v>162.286</v>
      </c>
      <c r="K70" s="4">
        <v>261.30500000000001</v>
      </c>
      <c r="L70" s="4">
        <v>75.587999999999994</v>
      </c>
      <c r="M70" s="4">
        <v>103.825</v>
      </c>
    </row>
    <row r="71" spans="1:13">
      <c r="A71" s="3" t="s">
        <v>4</v>
      </c>
      <c r="B71" s="49">
        <v>0</v>
      </c>
      <c r="C71" s="4">
        <v>1.754</v>
      </c>
      <c r="D71" s="4">
        <v>1.861</v>
      </c>
      <c r="E71" s="34">
        <v>0</v>
      </c>
      <c r="F71" s="34">
        <v>0</v>
      </c>
      <c r="H71" s="3" t="s">
        <v>4</v>
      </c>
      <c r="I71" s="49">
        <v>0</v>
      </c>
      <c r="J71" s="34">
        <v>0</v>
      </c>
      <c r="K71" s="34">
        <v>0</v>
      </c>
      <c r="L71" s="34">
        <v>0</v>
      </c>
      <c r="M71" s="34">
        <v>0</v>
      </c>
    </row>
    <row r="72" spans="1:13">
      <c r="A72" s="3">
        <v>6</v>
      </c>
      <c r="B72" s="16">
        <v>718.33299999999997</v>
      </c>
      <c r="C72" s="4">
        <v>59.097000000000001</v>
      </c>
      <c r="D72" s="4">
        <v>65.021000000000001</v>
      </c>
      <c r="E72" s="4">
        <v>13.47</v>
      </c>
      <c r="F72" s="4">
        <v>11.504</v>
      </c>
      <c r="H72" s="3">
        <v>6</v>
      </c>
      <c r="I72" s="16">
        <v>710.76400000000001</v>
      </c>
      <c r="J72" s="4">
        <v>155.84700000000001</v>
      </c>
      <c r="K72" s="4">
        <v>251.33600000000001</v>
      </c>
      <c r="L72" s="4">
        <v>83.39</v>
      </c>
      <c r="M72" s="4">
        <v>71.207999999999998</v>
      </c>
    </row>
    <row r="73" spans="1:13">
      <c r="A73" s="3">
        <v>6</v>
      </c>
      <c r="B73" s="16">
        <v>720.06100000000004</v>
      </c>
      <c r="C73" s="4">
        <v>57.851999999999997</v>
      </c>
      <c r="D73" s="4">
        <v>64.774000000000001</v>
      </c>
      <c r="E73" s="4">
        <v>13.036</v>
      </c>
      <c r="F73" s="4">
        <v>11.46</v>
      </c>
      <c r="H73" s="3">
        <v>6</v>
      </c>
      <c r="I73" s="16">
        <v>737.51499999999999</v>
      </c>
      <c r="J73" s="4">
        <v>146.76499999999999</v>
      </c>
      <c r="K73" s="4">
        <v>248.26900000000001</v>
      </c>
      <c r="L73" s="4">
        <v>84.070999999999998</v>
      </c>
      <c r="M73" s="4">
        <v>70.641999999999996</v>
      </c>
    </row>
    <row r="74" spans="1:13">
      <c r="A74" s="3">
        <v>6</v>
      </c>
      <c r="B74" s="16">
        <v>717.26900000000001</v>
      </c>
      <c r="C74" s="4">
        <v>58.055</v>
      </c>
      <c r="D74" s="4">
        <v>65.004999999999995</v>
      </c>
      <c r="E74" s="4">
        <v>12.987</v>
      </c>
      <c r="F74" s="4">
        <v>11.46</v>
      </c>
      <c r="H74" s="3">
        <v>6</v>
      </c>
      <c r="I74" s="16">
        <v>717.97299999999996</v>
      </c>
      <c r="J74" s="4">
        <v>150.08500000000001</v>
      </c>
      <c r="K74" s="4">
        <v>243.23099999999999</v>
      </c>
      <c r="L74" s="34">
        <v>0.23200000000000001</v>
      </c>
      <c r="M74" s="34">
        <v>0</v>
      </c>
    </row>
    <row r="75" spans="1:13">
      <c r="A75" s="3" t="s">
        <v>4</v>
      </c>
      <c r="B75" s="49">
        <v>0</v>
      </c>
      <c r="C75" s="4">
        <v>1.7390000000000001</v>
      </c>
      <c r="D75" s="4">
        <v>1.867</v>
      </c>
      <c r="E75" s="34">
        <v>0</v>
      </c>
      <c r="F75" s="34">
        <v>0</v>
      </c>
      <c r="H75" s="3" t="s">
        <v>4</v>
      </c>
      <c r="I75" s="49">
        <v>0</v>
      </c>
      <c r="J75" s="34">
        <v>0</v>
      </c>
      <c r="K75" s="34">
        <v>0</v>
      </c>
      <c r="L75" s="34">
        <v>0</v>
      </c>
      <c r="M75" s="34">
        <v>0</v>
      </c>
    </row>
    <row r="76" spans="1:13">
      <c r="A76" s="3">
        <v>7</v>
      </c>
      <c r="B76" s="16">
        <v>665.745</v>
      </c>
      <c r="C76" s="4">
        <v>58.677999999999997</v>
      </c>
      <c r="D76" s="4">
        <v>63.771000000000001</v>
      </c>
      <c r="E76" s="4">
        <v>12.786</v>
      </c>
      <c r="F76" s="4">
        <v>12.167999999999999</v>
      </c>
      <c r="H76" s="3">
        <v>7</v>
      </c>
      <c r="I76" s="16">
        <v>669.31399999999996</v>
      </c>
      <c r="J76" s="4">
        <v>154.04300000000001</v>
      </c>
      <c r="K76" s="4">
        <v>238.43600000000001</v>
      </c>
      <c r="L76" s="4">
        <v>91.462999999999994</v>
      </c>
      <c r="M76" s="4">
        <v>78.346000000000004</v>
      </c>
    </row>
    <row r="77" spans="1:13">
      <c r="A77" s="3">
        <v>7</v>
      </c>
      <c r="B77" s="16">
        <v>673.63</v>
      </c>
      <c r="C77" s="4">
        <v>59.112000000000002</v>
      </c>
      <c r="D77" s="4">
        <v>62.06</v>
      </c>
      <c r="E77" s="4">
        <v>12.651999999999999</v>
      </c>
      <c r="F77" s="4">
        <v>12.198</v>
      </c>
      <c r="H77" s="3">
        <v>7</v>
      </c>
      <c r="I77" s="16">
        <v>666.08600000000001</v>
      </c>
      <c r="J77" s="4">
        <v>148.648</v>
      </c>
      <c r="K77" s="4">
        <v>239.83099999999999</v>
      </c>
      <c r="L77" s="4">
        <v>89.507000000000005</v>
      </c>
      <c r="M77" s="4">
        <v>77.119</v>
      </c>
    </row>
    <row r="78" spans="1:13">
      <c r="A78" s="3">
        <v>7</v>
      </c>
      <c r="B78" s="16">
        <v>670.88699999999994</v>
      </c>
      <c r="C78" s="4">
        <v>57.15</v>
      </c>
      <c r="D78" s="4">
        <v>60.832000000000001</v>
      </c>
      <c r="E78" s="4">
        <v>12.785</v>
      </c>
      <c r="F78" s="4">
        <v>12.141999999999999</v>
      </c>
      <c r="H78" s="3">
        <v>7</v>
      </c>
      <c r="I78" s="16">
        <v>657.428</v>
      </c>
      <c r="J78" s="4">
        <v>147.36000000000001</v>
      </c>
      <c r="K78" s="4">
        <v>228.97300000000001</v>
      </c>
      <c r="L78" s="4">
        <v>87.995000000000005</v>
      </c>
      <c r="M78" s="4">
        <v>77.384</v>
      </c>
    </row>
    <row r="79" spans="1:13">
      <c r="A79" s="3" t="s">
        <v>4</v>
      </c>
      <c r="B79" s="49">
        <v>0</v>
      </c>
      <c r="C79" s="4">
        <v>1.7430000000000001</v>
      </c>
      <c r="D79" s="4">
        <v>1.849</v>
      </c>
      <c r="E79" s="34">
        <v>0</v>
      </c>
      <c r="F79" s="34">
        <v>0</v>
      </c>
      <c r="H79" s="3" t="s">
        <v>4</v>
      </c>
      <c r="I79" s="49">
        <v>0</v>
      </c>
      <c r="J79" s="34">
        <v>0</v>
      </c>
      <c r="K79" s="34">
        <v>0</v>
      </c>
      <c r="L79" s="34">
        <v>0</v>
      </c>
      <c r="M79" s="34">
        <v>0</v>
      </c>
    </row>
    <row r="80" spans="1:13">
      <c r="A80" s="3">
        <v>8</v>
      </c>
      <c r="B80" s="16">
        <v>686.48199999999997</v>
      </c>
      <c r="C80" s="4">
        <v>51.841999999999999</v>
      </c>
      <c r="D80" s="4">
        <v>52.088999999999999</v>
      </c>
      <c r="E80" s="4">
        <v>10.831</v>
      </c>
      <c r="F80" s="33"/>
      <c r="H80" s="3">
        <v>8</v>
      </c>
      <c r="I80" s="16">
        <v>705.62400000000002</v>
      </c>
      <c r="J80" s="4">
        <v>142.53200000000001</v>
      </c>
      <c r="K80" s="4">
        <v>189.709</v>
      </c>
      <c r="L80" s="4">
        <v>82.760999999999996</v>
      </c>
      <c r="M80" s="43"/>
    </row>
    <row r="81" spans="1:13">
      <c r="A81" s="3">
        <v>8</v>
      </c>
      <c r="B81" s="16">
        <v>691.14499999999998</v>
      </c>
      <c r="C81" s="4">
        <v>56.277000000000001</v>
      </c>
      <c r="D81" s="4">
        <v>51.616999999999997</v>
      </c>
      <c r="E81" s="4">
        <v>11.17</v>
      </c>
      <c r="F81" s="33"/>
      <c r="H81" s="3">
        <v>8</v>
      </c>
      <c r="I81" s="16">
        <v>696.13</v>
      </c>
      <c r="J81" s="4">
        <v>142.73599999999999</v>
      </c>
      <c r="K81" s="4">
        <v>188.702</v>
      </c>
      <c r="L81" s="4">
        <v>83.09</v>
      </c>
      <c r="M81" s="43"/>
    </row>
    <row r="82" spans="1:13">
      <c r="A82" s="3">
        <v>8</v>
      </c>
      <c r="B82" s="16">
        <v>684.40800000000002</v>
      </c>
      <c r="C82" s="4">
        <v>54.811</v>
      </c>
      <c r="D82" s="4">
        <v>50.57</v>
      </c>
      <c r="E82" s="4">
        <v>10.906000000000001</v>
      </c>
      <c r="F82" s="43"/>
      <c r="H82" s="3">
        <v>8</v>
      </c>
      <c r="I82" s="16">
        <v>696.13</v>
      </c>
      <c r="J82" s="4">
        <v>138.148</v>
      </c>
      <c r="K82" s="4">
        <v>181.876</v>
      </c>
      <c r="L82" s="34">
        <v>0.61699999999999999</v>
      </c>
      <c r="M82" s="43"/>
    </row>
    <row r="83" spans="1:13">
      <c r="A83" s="3" t="s">
        <v>4</v>
      </c>
      <c r="B83" s="49">
        <v>0</v>
      </c>
      <c r="C83" s="4">
        <v>1.7589999999999999</v>
      </c>
      <c r="D83" s="4">
        <v>1.841</v>
      </c>
      <c r="E83" s="34">
        <v>0</v>
      </c>
      <c r="F83" s="34">
        <v>0</v>
      </c>
      <c r="H83" s="3" t="s">
        <v>4</v>
      </c>
      <c r="I83" s="49">
        <v>0</v>
      </c>
      <c r="J83" s="34">
        <v>0</v>
      </c>
      <c r="K83" s="34">
        <v>0</v>
      </c>
      <c r="L83" s="34">
        <v>0</v>
      </c>
      <c r="M83" s="34">
        <v>0</v>
      </c>
    </row>
    <row r="84" spans="1:13">
      <c r="A84" s="3">
        <v>12</v>
      </c>
      <c r="B84" s="16">
        <v>613.18499999999995</v>
      </c>
      <c r="C84" s="4">
        <v>54.03</v>
      </c>
      <c r="D84" s="4">
        <v>50.649000000000001</v>
      </c>
      <c r="E84" s="4">
        <v>1.522</v>
      </c>
      <c r="F84" s="4">
        <v>14.381</v>
      </c>
      <c r="H84" s="3">
        <v>12</v>
      </c>
      <c r="I84" s="16">
        <v>2915.2559999999999</v>
      </c>
      <c r="J84" s="4">
        <v>140.92500000000001</v>
      </c>
      <c r="K84" s="4">
        <v>184.73099999999999</v>
      </c>
      <c r="L84" s="34">
        <v>0</v>
      </c>
      <c r="M84" s="4">
        <v>133.09200000000001</v>
      </c>
    </row>
    <row r="85" spans="1:13">
      <c r="A85" s="3">
        <v>12</v>
      </c>
      <c r="B85" s="16">
        <v>609.31299999999999</v>
      </c>
      <c r="C85" s="4">
        <v>54.212000000000003</v>
      </c>
      <c r="D85" s="4">
        <v>50.771999999999998</v>
      </c>
      <c r="E85" s="4">
        <v>1.516</v>
      </c>
      <c r="F85" s="4">
        <v>14.615</v>
      </c>
      <c r="H85" s="3">
        <v>12</v>
      </c>
      <c r="I85" s="16">
        <v>2916.2440000000001</v>
      </c>
      <c r="J85" s="4">
        <v>142.16399999999999</v>
      </c>
      <c r="K85" s="4">
        <v>182.482</v>
      </c>
      <c r="L85" s="4">
        <v>47.500999999999998</v>
      </c>
      <c r="M85" s="4">
        <v>130.5</v>
      </c>
    </row>
    <row r="86" spans="1:13">
      <c r="A86" s="3">
        <v>12</v>
      </c>
      <c r="B86" s="16">
        <v>606.91800000000001</v>
      </c>
      <c r="C86" s="4">
        <v>53.777000000000001</v>
      </c>
      <c r="D86" s="4">
        <v>50.210999999999999</v>
      </c>
      <c r="E86" s="4">
        <v>1.494</v>
      </c>
      <c r="F86" s="4">
        <v>14.387</v>
      </c>
      <c r="H86" s="3">
        <v>12</v>
      </c>
      <c r="I86" s="16">
        <v>2882.7260000000001</v>
      </c>
      <c r="J86" s="4">
        <v>138.505</v>
      </c>
      <c r="K86" s="4">
        <v>184.56</v>
      </c>
      <c r="L86" s="4">
        <v>47.509</v>
      </c>
      <c r="M86" s="4">
        <v>166.50200000000001</v>
      </c>
    </row>
    <row r="87" spans="1:13">
      <c r="A87" s="3" t="s">
        <v>4</v>
      </c>
      <c r="B87" s="49">
        <v>0</v>
      </c>
      <c r="C87" s="34">
        <v>0</v>
      </c>
      <c r="D87" s="4">
        <v>1.78</v>
      </c>
      <c r="E87" s="34">
        <v>0</v>
      </c>
      <c r="F87" s="34">
        <v>0</v>
      </c>
      <c r="H87" s="3" t="s">
        <v>4</v>
      </c>
      <c r="I87" s="49">
        <v>0</v>
      </c>
      <c r="J87" s="34">
        <v>0</v>
      </c>
      <c r="K87" s="34">
        <v>0</v>
      </c>
      <c r="L87" s="34">
        <v>0</v>
      </c>
      <c r="M87" s="34">
        <v>0</v>
      </c>
    </row>
    <row r="88" spans="1:13">
      <c r="A88" s="3">
        <v>18</v>
      </c>
      <c r="B88" s="16">
        <v>597.60799999999995</v>
      </c>
      <c r="C88" s="4">
        <v>129.08500000000001</v>
      </c>
      <c r="D88" s="4">
        <v>33.399000000000001</v>
      </c>
      <c r="E88" s="4">
        <v>1.5109999999999999</v>
      </c>
      <c r="F88" s="43"/>
      <c r="H88" s="3">
        <v>18</v>
      </c>
      <c r="I88" s="16">
        <v>2945.8270000000002</v>
      </c>
      <c r="J88" s="4">
        <v>154.10900000000001</v>
      </c>
      <c r="K88" s="4">
        <v>152.93799999999999</v>
      </c>
      <c r="L88" s="4">
        <v>53.573</v>
      </c>
      <c r="M88" s="43"/>
    </row>
    <row r="89" spans="1:13">
      <c r="A89" s="3">
        <v>18</v>
      </c>
      <c r="B89" s="16">
        <v>599.64800000000002</v>
      </c>
      <c r="C89" s="4">
        <v>130.298</v>
      </c>
      <c r="D89" s="4">
        <v>33.341999999999999</v>
      </c>
      <c r="E89" s="4">
        <v>1.4910000000000001</v>
      </c>
      <c r="F89" s="43"/>
      <c r="H89" s="3">
        <v>18</v>
      </c>
      <c r="I89" s="16">
        <v>2965.4189999999999</v>
      </c>
      <c r="J89" s="4">
        <v>160.922</v>
      </c>
      <c r="K89" s="4">
        <v>152.172</v>
      </c>
      <c r="L89" s="4">
        <v>53.835999999999999</v>
      </c>
      <c r="M89" s="43"/>
    </row>
    <row r="90" spans="1:13">
      <c r="A90" s="3">
        <v>18</v>
      </c>
      <c r="B90" s="16">
        <v>599.98099999999999</v>
      </c>
      <c r="C90" s="4">
        <v>129.77500000000001</v>
      </c>
      <c r="D90" s="4">
        <v>33.107999999999997</v>
      </c>
      <c r="E90" s="4">
        <v>1.4910000000000001</v>
      </c>
      <c r="F90" s="43"/>
      <c r="H90" s="3">
        <v>18</v>
      </c>
      <c r="I90" s="16">
        <v>2950.8820000000001</v>
      </c>
      <c r="J90" s="4">
        <v>150.583</v>
      </c>
      <c r="K90" s="4">
        <v>154.327</v>
      </c>
      <c r="L90" s="34">
        <v>0</v>
      </c>
      <c r="M90" s="43"/>
    </row>
    <row r="91" spans="1:13">
      <c r="A91" s="3" t="s">
        <v>4</v>
      </c>
      <c r="B91" s="49">
        <v>0</v>
      </c>
      <c r="C91" s="34">
        <v>0</v>
      </c>
      <c r="D91" s="4">
        <v>1.714</v>
      </c>
      <c r="E91" s="34">
        <v>0</v>
      </c>
      <c r="F91" s="43"/>
      <c r="H91" s="3" t="s">
        <v>4</v>
      </c>
      <c r="I91" s="49">
        <v>0</v>
      </c>
      <c r="J91" s="34">
        <v>0</v>
      </c>
      <c r="K91" s="34">
        <v>0</v>
      </c>
      <c r="L91" s="34">
        <v>0</v>
      </c>
      <c r="M91" s="43"/>
    </row>
    <row r="92" spans="1:13">
      <c r="A92" s="3">
        <v>24</v>
      </c>
      <c r="B92" s="16">
        <v>598.49099999999999</v>
      </c>
      <c r="C92" s="4">
        <v>38.280999999999999</v>
      </c>
      <c r="D92" s="4">
        <v>32.707000000000001</v>
      </c>
      <c r="E92" s="4">
        <v>1.518</v>
      </c>
      <c r="F92" s="4">
        <v>38.155999999999999</v>
      </c>
      <c r="H92" s="3">
        <v>24</v>
      </c>
      <c r="I92" s="16">
        <v>2984.8850000000002</v>
      </c>
      <c r="J92" s="4">
        <v>127.199</v>
      </c>
      <c r="K92" s="4">
        <v>155.27199999999999</v>
      </c>
      <c r="L92" s="4">
        <v>53.86</v>
      </c>
      <c r="M92" s="4">
        <v>608.28899999999999</v>
      </c>
    </row>
    <row r="93" spans="1:13">
      <c r="A93" s="3">
        <v>24</v>
      </c>
      <c r="B93" s="16">
        <v>604.39099999999996</v>
      </c>
      <c r="C93" s="4">
        <v>38.295999999999999</v>
      </c>
      <c r="D93" s="4">
        <v>32.616</v>
      </c>
      <c r="E93" s="4">
        <v>1.508</v>
      </c>
      <c r="F93" s="4">
        <v>37.807000000000002</v>
      </c>
      <c r="H93" s="3">
        <v>24</v>
      </c>
      <c r="I93" s="16">
        <v>2973.67</v>
      </c>
      <c r="J93" s="4">
        <v>124.083</v>
      </c>
      <c r="K93" s="4">
        <v>149.84399999999999</v>
      </c>
      <c r="L93" s="4">
        <v>53.765000000000001</v>
      </c>
      <c r="M93" s="4">
        <v>590.73500000000001</v>
      </c>
    </row>
    <row r="94" spans="1:13">
      <c r="A94" s="3">
        <v>24</v>
      </c>
      <c r="B94" s="16">
        <v>600.70699999999999</v>
      </c>
      <c r="C94" s="4">
        <v>38.112000000000002</v>
      </c>
      <c r="D94" s="4">
        <v>32.701999999999998</v>
      </c>
      <c r="E94" s="4">
        <v>1.5009999999999999</v>
      </c>
      <c r="F94" s="4">
        <v>36.213999999999999</v>
      </c>
      <c r="H94" s="3">
        <v>24</v>
      </c>
      <c r="I94" s="16">
        <v>2947.6819999999998</v>
      </c>
      <c r="J94" s="4">
        <v>125.926</v>
      </c>
      <c r="K94" s="4">
        <v>150.785</v>
      </c>
      <c r="L94" s="34">
        <v>0</v>
      </c>
      <c r="M94" s="4">
        <v>623.66700000000003</v>
      </c>
    </row>
    <row r="95" spans="1:13">
      <c r="A95" s="3" t="s">
        <v>4</v>
      </c>
      <c r="B95" s="49">
        <v>0</v>
      </c>
      <c r="C95" s="34">
        <v>0</v>
      </c>
      <c r="D95" s="4">
        <v>1.7629999999999999</v>
      </c>
      <c r="E95" s="34">
        <v>0</v>
      </c>
      <c r="F95" s="34">
        <v>0</v>
      </c>
      <c r="H95" s="3" t="s">
        <v>4</v>
      </c>
      <c r="I95" s="49">
        <v>0</v>
      </c>
      <c r="J95" s="34">
        <v>0</v>
      </c>
      <c r="K95" s="34">
        <v>0</v>
      </c>
      <c r="L95" s="34">
        <v>0</v>
      </c>
      <c r="M95" s="34">
        <v>0</v>
      </c>
    </row>
    <row r="96" spans="1:13">
      <c r="A96" s="3">
        <v>48</v>
      </c>
      <c r="B96" s="16">
        <v>591.76400000000001</v>
      </c>
      <c r="C96" s="4">
        <v>15.938000000000001</v>
      </c>
      <c r="D96" s="4">
        <v>14.404999999999999</v>
      </c>
      <c r="E96" s="43"/>
      <c r="F96" s="4">
        <v>23.202000000000002</v>
      </c>
      <c r="H96" s="3">
        <v>48</v>
      </c>
      <c r="I96" s="16">
        <v>2955.4409999999998</v>
      </c>
      <c r="J96" s="4">
        <v>99.063999999999993</v>
      </c>
      <c r="K96" s="4">
        <v>115.52</v>
      </c>
      <c r="L96" s="43"/>
      <c r="M96" s="4">
        <v>626.51800000000003</v>
      </c>
    </row>
    <row r="97" spans="1:13">
      <c r="A97" s="3">
        <v>48</v>
      </c>
      <c r="B97" s="16">
        <v>598.495</v>
      </c>
      <c r="C97" s="4">
        <v>16.027999999999999</v>
      </c>
      <c r="D97" s="4">
        <v>14.509</v>
      </c>
      <c r="E97" s="43"/>
      <c r="F97" s="4">
        <v>22.588999999999999</v>
      </c>
      <c r="H97" s="3">
        <v>48</v>
      </c>
      <c r="I97" s="16">
        <v>2949.5070000000001</v>
      </c>
      <c r="J97" s="4">
        <v>100.53</v>
      </c>
      <c r="K97" s="4">
        <v>113.717</v>
      </c>
      <c r="L97" s="43"/>
      <c r="M97" s="4">
        <v>623.25699999999995</v>
      </c>
    </row>
    <row r="98" spans="1:13">
      <c r="A98" s="3">
        <v>48</v>
      </c>
      <c r="B98" s="16">
        <v>597.08799999999997</v>
      </c>
      <c r="C98" s="4">
        <v>16.041</v>
      </c>
      <c r="D98" s="4">
        <v>14.372</v>
      </c>
      <c r="E98" s="43"/>
      <c r="F98" s="4">
        <v>22.544</v>
      </c>
      <c r="H98" s="3">
        <v>48</v>
      </c>
      <c r="I98" s="16">
        <v>2990.41</v>
      </c>
      <c r="J98" s="4">
        <v>97.984999999999999</v>
      </c>
      <c r="K98" s="4">
        <v>116.837</v>
      </c>
      <c r="L98" s="43"/>
      <c r="M98" s="4">
        <v>618.54499999999996</v>
      </c>
    </row>
    <row r="99" spans="1:13">
      <c r="A99" s="3" t="s">
        <v>4</v>
      </c>
      <c r="B99" s="49">
        <v>0</v>
      </c>
      <c r="C99" s="4">
        <v>1.681</v>
      </c>
      <c r="D99" s="4">
        <v>1.7070000000000001</v>
      </c>
      <c r="E99" s="43"/>
      <c r="F99" s="34">
        <v>0</v>
      </c>
      <c r="H99" s="3" t="s">
        <v>4</v>
      </c>
      <c r="I99" s="49">
        <v>0</v>
      </c>
      <c r="J99" s="34">
        <v>0</v>
      </c>
      <c r="K99" s="34">
        <v>0</v>
      </c>
      <c r="L99" s="43"/>
      <c r="M99" s="34">
        <v>0</v>
      </c>
    </row>
    <row r="100" spans="1:13">
      <c r="A100" s="3">
        <v>120</v>
      </c>
      <c r="B100" s="16">
        <v>588.68299999999999</v>
      </c>
      <c r="C100" s="4">
        <v>4.1040000000000001</v>
      </c>
      <c r="D100" s="4">
        <v>3.238</v>
      </c>
      <c r="E100" s="43"/>
      <c r="F100" s="4">
        <v>7.45</v>
      </c>
      <c r="H100" s="3">
        <v>120</v>
      </c>
      <c r="I100" s="16">
        <v>2897.95</v>
      </c>
      <c r="J100" s="4">
        <v>65.793000000000006</v>
      </c>
      <c r="K100" s="4">
        <v>47.448999999999998</v>
      </c>
      <c r="L100" s="43"/>
      <c r="M100" s="4">
        <v>319.93900000000002</v>
      </c>
    </row>
    <row r="101" spans="1:13">
      <c r="A101" s="3">
        <v>120</v>
      </c>
      <c r="B101" s="16">
        <v>586.06700000000001</v>
      </c>
      <c r="C101" s="4">
        <v>4.0940000000000003</v>
      </c>
      <c r="D101" s="4">
        <v>3.32</v>
      </c>
      <c r="E101" s="43"/>
      <c r="F101" s="4">
        <v>7.5</v>
      </c>
      <c r="H101" s="3">
        <v>120</v>
      </c>
      <c r="I101" s="16">
        <v>2905.6619999999998</v>
      </c>
      <c r="J101" s="4">
        <v>77.11</v>
      </c>
      <c r="K101" s="4">
        <v>47.453000000000003</v>
      </c>
      <c r="L101" s="43"/>
      <c r="M101" s="4">
        <v>316.75299999999999</v>
      </c>
    </row>
    <row r="102" spans="1:13">
      <c r="A102" s="3">
        <v>120</v>
      </c>
      <c r="B102" s="16">
        <v>589.32600000000002</v>
      </c>
      <c r="C102" s="4">
        <v>4.109</v>
      </c>
      <c r="D102" s="4">
        <v>3.282</v>
      </c>
      <c r="E102" s="43"/>
      <c r="F102" s="4">
        <v>7.3360000000000003</v>
      </c>
      <c r="H102" s="3">
        <v>120</v>
      </c>
      <c r="I102" s="16">
        <v>2858.0030000000002</v>
      </c>
      <c r="J102" s="4">
        <v>66.412000000000006</v>
      </c>
      <c r="K102" s="4">
        <v>47.671999999999997</v>
      </c>
      <c r="L102" s="43"/>
      <c r="M102" s="4">
        <v>312.90100000000001</v>
      </c>
    </row>
    <row r="103" spans="1:13">
      <c r="A103" s="3" t="s">
        <v>4</v>
      </c>
      <c r="B103" s="49">
        <v>0</v>
      </c>
      <c r="C103" s="4">
        <v>1.659</v>
      </c>
      <c r="D103" s="34">
        <v>0</v>
      </c>
      <c r="E103" s="43"/>
      <c r="F103" s="34">
        <v>0</v>
      </c>
      <c r="H103" s="3" t="s">
        <v>4</v>
      </c>
      <c r="I103" s="49">
        <v>0</v>
      </c>
      <c r="J103" s="34">
        <v>0</v>
      </c>
      <c r="K103" s="34">
        <v>0</v>
      </c>
      <c r="L103" s="43"/>
      <c r="M103" s="34">
        <v>0</v>
      </c>
    </row>
    <row r="104" spans="1:13">
      <c r="A104" s="3">
        <v>192</v>
      </c>
      <c r="B104" s="16">
        <v>527.25400000000002</v>
      </c>
      <c r="C104" s="4">
        <v>3.746</v>
      </c>
      <c r="D104" s="4">
        <v>3.581</v>
      </c>
      <c r="E104" s="43"/>
      <c r="F104" s="4">
        <v>7.8879999999999999</v>
      </c>
      <c r="H104" s="3">
        <v>192</v>
      </c>
      <c r="I104" s="16">
        <v>2492.422</v>
      </c>
      <c r="J104" s="4">
        <v>43.677</v>
      </c>
      <c r="K104" s="4">
        <v>38.561999999999998</v>
      </c>
      <c r="L104" s="43"/>
      <c r="M104" s="4">
        <v>451.26</v>
      </c>
    </row>
    <row r="105" spans="1:13">
      <c r="A105" s="3">
        <v>192</v>
      </c>
      <c r="B105" s="16">
        <v>533.66399999999999</v>
      </c>
      <c r="C105" s="4">
        <v>3.8140000000000001</v>
      </c>
      <c r="D105" s="4">
        <v>3.5830000000000002</v>
      </c>
      <c r="E105" s="43"/>
      <c r="F105" s="4">
        <v>7.9050000000000002</v>
      </c>
      <c r="H105" s="3">
        <v>192</v>
      </c>
      <c r="I105" s="16">
        <v>2524.4609999999998</v>
      </c>
      <c r="J105" s="4">
        <v>43.473999999999997</v>
      </c>
      <c r="K105" s="4">
        <v>38.127000000000002</v>
      </c>
      <c r="L105" s="43"/>
      <c r="M105" s="4">
        <v>438.32900000000001</v>
      </c>
    </row>
    <row r="106" spans="1:13">
      <c r="A106" s="3">
        <v>192</v>
      </c>
      <c r="B106" s="16">
        <v>530.92999999999995</v>
      </c>
      <c r="C106" s="4">
        <v>3.7949999999999999</v>
      </c>
      <c r="D106" s="4">
        <v>3.589</v>
      </c>
      <c r="E106" s="43"/>
      <c r="F106" s="4">
        <v>7.9009999999999998</v>
      </c>
      <c r="H106" s="3">
        <v>192</v>
      </c>
      <c r="I106" s="16">
        <v>2435.6869999999999</v>
      </c>
      <c r="J106" s="4">
        <v>43.597000000000001</v>
      </c>
      <c r="K106" s="4">
        <v>38.158999999999999</v>
      </c>
      <c r="L106" s="43"/>
      <c r="M106" s="4">
        <v>421.43599999999998</v>
      </c>
    </row>
    <row r="107" spans="1:13">
      <c r="A107" s="3" t="s">
        <v>4</v>
      </c>
      <c r="B107" s="49">
        <v>0</v>
      </c>
      <c r="C107" s="34">
        <v>0</v>
      </c>
      <c r="D107" s="34">
        <v>0</v>
      </c>
      <c r="E107" s="43"/>
      <c r="F107" s="34">
        <v>0</v>
      </c>
      <c r="H107" s="3" t="s">
        <v>4</v>
      </c>
      <c r="I107" s="49">
        <v>0</v>
      </c>
      <c r="J107" s="34">
        <v>0</v>
      </c>
      <c r="K107" s="34">
        <v>0</v>
      </c>
      <c r="L107" s="43"/>
      <c r="M107" s="34">
        <v>0</v>
      </c>
    </row>
    <row r="108" spans="1:13">
      <c r="A108" s="3">
        <v>264</v>
      </c>
      <c r="B108" s="16">
        <v>614.52200000000005</v>
      </c>
      <c r="C108" s="4">
        <v>5.0439999999999996</v>
      </c>
      <c r="D108" s="4">
        <v>4.5119999999999996</v>
      </c>
      <c r="E108" s="43"/>
      <c r="F108" s="46"/>
      <c r="H108" s="3">
        <v>264</v>
      </c>
      <c r="I108" s="16">
        <v>3203.0219999999999</v>
      </c>
      <c r="J108" s="4">
        <v>72.494</v>
      </c>
      <c r="K108" s="4">
        <v>57.695</v>
      </c>
      <c r="L108" s="43"/>
      <c r="M108" s="46"/>
    </row>
    <row r="109" spans="1:13">
      <c r="A109" s="3">
        <v>264</v>
      </c>
      <c r="B109" s="16">
        <v>622.48099999999999</v>
      </c>
      <c r="C109" s="4">
        <v>5.0430000000000001</v>
      </c>
      <c r="D109" s="4">
        <v>4.4960000000000004</v>
      </c>
      <c r="E109" s="43"/>
      <c r="F109" s="46"/>
      <c r="H109" s="3">
        <v>264</v>
      </c>
      <c r="I109" s="16">
        <v>3224.5010000000002</v>
      </c>
      <c r="J109" s="4">
        <v>70.405000000000001</v>
      </c>
      <c r="K109" s="4">
        <v>56.74</v>
      </c>
      <c r="L109" s="43"/>
      <c r="M109" s="46"/>
    </row>
    <row r="110" spans="1:13">
      <c r="A110" s="3">
        <v>264</v>
      </c>
      <c r="B110" s="16">
        <v>623.26800000000003</v>
      </c>
      <c r="C110" s="4">
        <v>5.0659999999999998</v>
      </c>
      <c r="D110" s="4">
        <v>4.4669999999999996</v>
      </c>
      <c r="E110" s="43"/>
      <c r="F110" s="46"/>
      <c r="H110" s="3">
        <v>264</v>
      </c>
      <c r="I110" s="16">
        <v>3188.7660000000001</v>
      </c>
      <c r="J110" s="4">
        <v>71.741</v>
      </c>
      <c r="K110" s="4">
        <v>57.895000000000003</v>
      </c>
      <c r="L110" s="43"/>
      <c r="M110" s="46"/>
    </row>
    <row r="111" spans="1:13">
      <c r="A111" s="15" t="s">
        <v>4</v>
      </c>
      <c r="B111" s="49">
        <v>0</v>
      </c>
      <c r="C111" s="34">
        <v>0</v>
      </c>
      <c r="D111" s="38">
        <v>1.667</v>
      </c>
      <c r="E111" s="43"/>
      <c r="F111" s="46"/>
      <c r="H111" s="15" t="s">
        <v>4</v>
      </c>
      <c r="I111" s="49">
        <v>0</v>
      </c>
      <c r="J111" s="34">
        <v>0</v>
      </c>
      <c r="K111" s="34">
        <v>0</v>
      </c>
      <c r="L111" s="43"/>
      <c r="M111" s="46"/>
    </row>
    <row r="112" spans="1:13">
      <c r="A112" s="15">
        <v>336</v>
      </c>
      <c r="B112" s="16">
        <v>175.32599999999999</v>
      </c>
      <c r="C112" s="4">
        <v>5.468</v>
      </c>
      <c r="D112" s="4">
        <v>4.7789999999999999</v>
      </c>
      <c r="E112" s="43"/>
      <c r="F112" s="46"/>
      <c r="H112" s="15">
        <v>336</v>
      </c>
      <c r="I112" s="16">
        <v>1987.3219999999999</v>
      </c>
      <c r="J112" s="4">
        <v>54.866</v>
      </c>
      <c r="K112" s="4">
        <v>47.777999999999999</v>
      </c>
      <c r="L112" s="43"/>
      <c r="M112" s="46"/>
    </row>
    <row r="113" spans="1:13">
      <c r="A113" s="15">
        <v>336</v>
      </c>
      <c r="B113" s="16">
        <v>173.86500000000001</v>
      </c>
      <c r="C113" s="4">
        <v>5.44</v>
      </c>
      <c r="D113" s="4">
        <v>4.8550000000000004</v>
      </c>
      <c r="E113" s="43"/>
      <c r="F113" s="46"/>
      <c r="H113" s="15">
        <v>336</v>
      </c>
      <c r="I113" s="16">
        <v>2035.4269999999999</v>
      </c>
      <c r="J113" s="4">
        <v>53.607999999999997</v>
      </c>
      <c r="K113" s="4">
        <v>48.844000000000001</v>
      </c>
      <c r="L113" s="43"/>
      <c r="M113" s="46"/>
    </row>
    <row r="114" spans="1:13">
      <c r="A114" s="15">
        <v>336</v>
      </c>
      <c r="B114" s="16">
        <v>174.19800000000001</v>
      </c>
      <c r="C114" s="4">
        <v>5.4180000000000001</v>
      </c>
      <c r="D114" s="4">
        <v>4.84</v>
      </c>
      <c r="E114" s="43"/>
      <c r="F114" s="46"/>
      <c r="H114" s="15">
        <v>336</v>
      </c>
      <c r="I114" s="16">
        <v>2018.1</v>
      </c>
      <c r="J114" s="4">
        <v>59.186</v>
      </c>
      <c r="K114" s="4">
        <v>49.344000000000001</v>
      </c>
      <c r="L114" s="43"/>
      <c r="M114" s="46"/>
    </row>
    <row r="115" spans="1:13">
      <c r="A115" s="15" t="s">
        <v>4</v>
      </c>
      <c r="B115" s="16">
        <v>2.109</v>
      </c>
      <c r="C115" s="34">
        <v>0</v>
      </c>
      <c r="D115" s="34">
        <v>0</v>
      </c>
      <c r="E115" s="43"/>
      <c r="F115" s="46"/>
      <c r="H115" s="15" t="s">
        <v>4</v>
      </c>
      <c r="I115" s="49">
        <v>0</v>
      </c>
      <c r="J115" s="34">
        <v>0</v>
      </c>
      <c r="K115" s="34">
        <v>0</v>
      </c>
      <c r="L115" s="43"/>
      <c r="M115" s="46"/>
    </row>
    <row r="116" spans="1:13">
      <c r="A116" s="15">
        <v>408</v>
      </c>
      <c r="B116" s="16">
        <v>156.625</v>
      </c>
      <c r="C116" s="4">
        <v>5.1139999999999999</v>
      </c>
      <c r="D116" s="4">
        <v>4.569</v>
      </c>
      <c r="E116" s="43"/>
      <c r="F116" s="46"/>
      <c r="H116" s="15">
        <v>408</v>
      </c>
      <c r="I116" s="16">
        <v>1980.261</v>
      </c>
      <c r="J116" s="4">
        <v>33.863</v>
      </c>
      <c r="K116" s="16">
        <v>27.117999999999999</v>
      </c>
      <c r="L116" s="43"/>
      <c r="M116" s="47"/>
    </row>
    <row r="117" spans="1:13">
      <c r="A117" s="15">
        <v>408</v>
      </c>
      <c r="B117" s="16">
        <v>151.44800000000001</v>
      </c>
      <c r="C117" s="4">
        <v>5.226</v>
      </c>
      <c r="D117" s="4">
        <v>4.6100000000000003</v>
      </c>
      <c r="E117" s="43"/>
      <c r="F117" s="46"/>
      <c r="H117" s="15">
        <v>408</v>
      </c>
      <c r="I117" s="16">
        <v>2009.114</v>
      </c>
      <c r="J117" s="4">
        <v>30.114000000000001</v>
      </c>
      <c r="K117" s="16">
        <v>26.609000000000002</v>
      </c>
      <c r="L117" s="43"/>
      <c r="M117" s="47"/>
    </row>
    <row r="118" spans="1:13">
      <c r="A118" s="15">
        <v>408</v>
      </c>
      <c r="B118" s="16">
        <v>152.125</v>
      </c>
      <c r="C118" s="4">
        <v>5.22</v>
      </c>
      <c r="D118" s="4">
        <v>4.6520000000000001</v>
      </c>
      <c r="E118" s="43"/>
      <c r="F118" s="46"/>
      <c r="H118" s="15">
        <v>408</v>
      </c>
      <c r="I118" s="16">
        <v>1997.9069999999999</v>
      </c>
      <c r="J118" s="4">
        <v>30.26</v>
      </c>
      <c r="K118" s="16">
        <v>27.206</v>
      </c>
      <c r="L118" s="43"/>
      <c r="M118" s="47"/>
    </row>
    <row r="119" spans="1:13">
      <c r="A119" s="15" t="s">
        <v>4</v>
      </c>
      <c r="B119" s="16">
        <v>2.0880000000000001</v>
      </c>
      <c r="C119" s="34">
        <v>0</v>
      </c>
      <c r="D119" s="34">
        <v>0</v>
      </c>
      <c r="E119" s="43"/>
      <c r="F119" s="46"/>
      <c r="H119" s="15" t="s">
        <v>4</v>
      </c>
      <c r="I119" s="49">
        <v>0</v>
      </c>
      <c r="J119" s="34">
        <v>0</v>
      </c>
      <c r="K119" s="49">
        <v>0</v>
      </c>
      <c r="L119" s="43"/>
      <c r="M119" s="47"/>
    </row>
    <row r="120" spans="1:13">
      <c r="A120" s="15">
        <v>480</v>
      </c>
      <c r="B120" s="16">
        <v>156.51599999999999</v>
      </c>
      <c r="C120" s="4">
        <v>5.0599999999999996</v>
      </c>
      <c r="D120" s="4">
        <v>4.415</v>
      </c>
      <c r="E120" s="43"/>
      <c r="F120" s="46"/>
      <c r="H120" s="15">
        <v>480</v>
      </c>
      <c r="I120" s="16">
        <v>1272.5889999999999</v>
      </c>
      <c r="J120" s="4">
        <v>22.699000000000002</v>
      </c>
      <c r="K120" s="16">
        <v>18.608000000000001</v>
      </c>
      <c r="L120" s="43"/>
      <c r="M120" s="47"/>
    </row>
    <row r="121" spans="1:13">
      <c r="A121" s="15">
        <v>480</v>
      </c>
      <c r="B121" s="16">
        <v>154.71600000000001</v>
      </c>
      <c r="C121" s="4">
        <v>5.05</v>
      </c>
      <c r="D121" s="4">
        <v>4.468</v>
      </c>
      <c r="E121" s="43"/>
      <c r="F121" s="46"/>
      <c r="H121" s="15">
        <v>480</v>
      </c>
      <c r="I121" s="16">
        <v>1300.1020000000001</v>
      </c>
      <c r="J121" s="4">
        <v>20.97</v>
      </c>
      <c r="K121" s="16">
        <v>18.661999999999999</v>
      </c>
      <c r="L121" s="43"/>
      <c r="M121" s="47"/>
    </row>
    <row r="122" spans="1:13">
      <c r="A122" s="15">
        <v>480</v>
      </c>
      <c r="B122" s="16">
        <v>156.53</v>
      </c>
      <c r="C122" s="4">
        <v>4.9589999999999996</v>
      </c>
      <c r="D122" s="4">
        <v>4.4660000000000002</v>
      </c>
      <c r="E122" s="43"/>
      <c r="F122" s="46"/>
      <c r="H122" s="15">
        <v>480</v>
      </c>
      <c r="I122" s="16">
        <v>1270.9580000000001</v>
      </c>
      <c r="J122" s="4">
        <v>20.46</v>
      </c>
      <c r="K122" s="16">
        <v>18.785</v>
      </c>
      <c r="L122" s="43"/>
      <c r="M122" s="47"/>
    </row>
    <row r="123" spans="1:13">
      <c r="A123" s="15" t="s">
        <v>4</v>
      </c>
      <c r="B123" s="16">
        <v>2.09</v>
      </c>
      <c r="C123" s="34">
        <v>0</v>
      </c>
      <c r="D123" s="34">
        <v>0</v>
      </c>
      <c r="E123" s="43"/>
      <c r="F123" s="46"/>
      <c r="H123" s="15" t="s">
        <v>4</v>
      </c>
      <c r="I123" s="49">
        <v>0</v>
      </c>
      <c r="J123" s="34">
        <v>0</v>
      </c>
      <c r="K123" s="49">
        <v>0</v>
      </c>
      <c r="L123" s="43"/>
      <c r="M123" s="47"/>
    </row>
    <row r="124" spans="1:13">
      <c r="A124" s="15">
        <v>552</v>
      </c>
      <c r="B124" s="16">
        <v>147.39699999999999</v>
      </c>
      <c r="C124" s="4">
        <v>4.9829999999999997</v>
      </c>
      <c r="D124" s="4">
        <v>4.2859999999999996</v>
      </c>
      <c r="E124" s="43"/>
      <c r="F124" s="46"/>
      <c r="H124" s="15">
        <v>552</v>
      </c>
      <c r="I124" s="16">
        <v>1079.7470000000001</v>
      </c>
      <c r="J124" s="4">
        <v>14.788</v>
      </c>
      <c r="K124" s="16">
        <v>11.904999999999999</v>
      </c>
      <c r="L124" s="43"/>
      <c r="M124" s="47"/>
    </row>
    <row r="125" spans="1:13">
      <c r="A125" s="15">
        <v>552</v>
      </c>
      <c r="B125" s="16">
        <v>146.405</v>
      </c>
      <c r="C125" s="4">
        <v>4.9580000000000002</v>
      </c>
      <c r="D125" s="4">
        <v>4.3029999999999999</v>
      </c>
      <c r="E125" s="43"/>
      <c r="F125" s="46"/>
      <c r="H125" s="15">
        <v>552</v>
      </c>
      <c r="I125" s="16">
        <v>1103.471</v>
      </c>
      <c r="J125" s="4">
        <v>14.842000000000001</v>
      </c>
      <c r="K125" s="16">
        <v>11.993</v>
      </c>
      <c r="L125" s="43"/>
      <c r="M125" s="47"/>
    </row>
    <row r="126" spans="1:13">
      <c r="A126" s="15">
        <v>552</v>
      </c>
      <c r="B126" s="16">
        <v>144.37200000000001</v>
      </c>
      <c r="C126" s="4">
        <v>4.9139999999999997</v>
      </c>
      <c r="D126" s="4">
        <v>4.3390000000000004</v>
      </c>
      <c r="E126" s="43"/>
      <c r="F126" s="46"/>
      <c r="H126" s="15">
        <v>552</v>
      </c>
      <c r="I126" s="16">
        <v>1095.252</v>
      </c>
      <c r="J126" s="4">
        <v>14.516</v>
      </c>
      <c r="K126" s="16">
        <v>11.945</v>
      </c>
      <c r="L126" s="43"/>
      <c r="M126" s="47"/>
    </row>
    <row r="127" spans="1:13">
      <c r="A127" s="15" t="s">
        <v>4</v>
      </c>
      <c r="B127" s="16">
        <v>2.073</v>
      </c>
      <c r="C127" s="34">
        <v>0</v>
      </c>
      <c r="D127" s="34">
        <v>0</v>
      </c>
      <c r="E127" s="43"/>
      <c r="F127" s="46"/>
      <c r="H127" s="15" t="s">
        <v>4</v>
      </c>
      <c r="I127" s="49">
        <v>0</v>
      </c>
      <c r="J127" s="34">
        <v>0</v>
      </c>
      <c r="K127" s="49">
        <v>0</v>
      </c>
      <c r="L127" s="43"/>
      <c r="M127" s="47"/>
    </row>
    <row r="128" spans="1:13">
      <c r="A128" s="15">
        <v>624</v>
      </c>
      <c r="B128" s="16">
        <v>132.614</v>
      </c>
      <c r="C128" s="4">
        <v>5.2610000000000001</v>
      </c>
      <c r="D128" s="4">
        <v>4.633</v>
      </c>
      <c r="E128" s="43"/>
      <c r="F128" s="46"/>
      <c r="H128" s="15">
        <v>624</v>
      </c>
      <c r="I128" s="16">
        <v>640.351</v>
      </c>
      <c r="J128" s="4">
        <v>11.423</v>
      </c>
      <c r="K128" s="16">
        <v>9.375</v>
      </c>
      <c r="L128" s="43"/>
      <c r="M128" s="47"/>
    </row>
    <row r="129" spans="1:13">
      <c r="A129" s="15">
        <v>624</v>
      </c>
      <c r="B129" s="16">
        <v>128.93</v>
      </c>
      <c r="C129" s="4">
        <v>5.2489999999999997</v>
      </c>
      <c r="D129" s="4">
        <v>4.6109999999999998</v>
      </c>
      <c r="E129" s="43"/>
      <c r="F129" s="46"/>
      <c r="H129" s="15">
        <v>624</v>
      </c>
      <c r="I129" s="16">
        <v>629.99400000000003</v>
      </c>
      <c r="J129" s="4">
        <v>11.492000000000001</v>
      </c>
      <c r="K129" s="16">
        <v>8.2620000000000005</v>
      </c>
      <c r="L129" s="43"/>
      <c r="M129" s="47"/>
    </row>
    <row r="130" spans="1:13">
      <c r="A130" s="15">
        <v>624</v>
      </c>
      <c r="B130" s="16">
        <v>130.12799999999999</v>
      </c>
      <c r="C130" s="4">
        <v>5.1379999999999999</v>
      </c>
      <c r="D130" s="4">
        <v>4.5590000000000002</v>
      </c>
      <c r="E130" s="43"/>
      <c r="F130" s="46"/>
      <c r="H130" s="15">
        <v>624</v>
      </c>
      <c r="I130" s="16">
        <v>658.49300000000005</v>
      </c>
      <c r="J130" s="4">
        <v>11.42</v>
      </c>
      <c r="K130" s="16">
        <v>8.1359999999999992</v>
      </c>
      <c r="L130" s="43"/>
      <c r="M130" s="47"/>
    </row>
    <row r="131" spans="1:13">
      <c r="A131" s="15" t="s">
        <v>4</v>
      </c>
      <c r="B131" s="16">
        <v>2.0670000000000002</v>
      </c>
      <c r="C131" s="34">
        <v>0</v>
      </c>
      <c r="D131" s="34">
        <v>0</v>
      </c>
      <c r="E131" s="43"/>
      <c r="F131" s="46"/>
      <c r="H131" s="15" t="s">
        <v>4</v>
      </c>
      <c r="I131" s="49">
        <v>0</v>
      </c>
      <c r="J131" s="34">
        <v>0</v>
      </c>
      <c r="K131" s="49">
        <v>0</v>
      </c>
      <c r="L131" s="43"/>
      <c r="M131" s="47"/>
    </row>
    <row r="132" spans="1:13">
      <c r="A132" s="15">
        <v>696</v>
      </c>
      <c r="B132" s="16">
        <v>93.766999999999996</v>
      </c>
      <c r="C132" s="4">
        <v>4.8860000000000001</v>
      </c>
      <c r="D132" s="4">
        <v>4.3390000000000004</v>
      </c>
      <c r="E132" s="43"/>
      <c r="F132" s="46"/>
      <c r="H132" s="15">
        <v>696</v>
      </c>
      <c r="I132" s="16">
        <v>584.55799999999999</v>
      </c>
      <c r="J132" s="38">
        <v>6.5250000000000004</v>
      </c>
      <c r="K132" s="16">
        <v>5.1760000000000002</v>
      </c>
      <c r="L132" s="43"/>
      <c r="M132" s="47"/>
    </row>
    <row r="133" spans="1:13">
      <c r="A133" s="15">
        <v>696</v>
      </c>
      <c r="B133" s="16">
        <v>92.442999999999998</v>
      </c>
      <c r="C133" s="4">
        <v>4.8959999999999999</v>
      </c>
      <c r="D133" s="4">
        <v>4.3810000000000002</v>
      </c>
      <c r="E133" s="43"/>
      <c r="F133" s="46"/>
      <c r="H133" s="15">
        <v>696</v>
      </c>
      <c r="I133" s="16">
        <v>566.68799999999999</v>
      </c>
      <c r="J133" s="4">
        <v>6.5510000000000002</v>
      </c>
      <c r="K133" s="16">
        <v>5.3529999999999998</v>
      </c>
      <c r="L133" s="43"/>
      <c r="M133" s="47"/>
    </row>
    <row r="134" spans="1:13">
      <c r="A134" s="15">
        <v>696</v>
      </c>
      <c r="B134" s="16">
        <v>91.534000000000006</v>
      </c>
      <c r="C134" s="4">
        <v>4.843</v>
      </c>
      <c r="D134" s="4">
        <v>4.3339999999999996</v>
      </c>
      <c r="E134" s="43"/>
      <c r="F134" s="46"/>
      <c r="H134" s="15">
        <v>696</v>
      </c>
      <c r="I134" s="16">
        <v>579.26800000000003</v>
      </c>
      <c r="J134" s="4">
        <v>6.4980000000000002</v>
      </c>
      <c r="K134" s="16">
        <v>6.0030000000000001</v>
      </c>
      <c r="L134" s="43"/>
      <c r="M134" s="47"/>
    </row>
    <row r="135" spans="1:13">
      <c r="A135" s="15" t="s">
        <v>4</v>
      </c>
      <c r="B135" s="16">
        <v>2.0339999999999998</v>
      </c>
      <c r="C135" s="34">
        <v>0</v>
      </c>
      <c r="D135" s="34">
        <v>0</v>
      </c>
      <c r="E135" s="43"/>
      <c r="F135" s="46"/>
      <c r="H135" s="15" t="s">
        <v>4</v>
      </c>
      <c r="I135" s="49">
        <v>0</v>
      </c>
      <c r="J135" s="34">
        <v>0</v>
      </c>
      <c r="K135" s="49">
        <v>0</v>
      </c>
      <c r="L135" s="43"/>
      <c r="M135" s="47"/>
    </row>
    <row r="136" spans="1:13">
      <c r="A136" s="15">
        <v>768</v>
      </c>
      <c r="B136" s="16">
        <v>74.918000000000006</v>
      </c>
      <c r="C136" s="4">
        <v>5.33</v>
      </c>
      <c r="D136" s="4">
        <v>4.516</v>
      </c>
      <c r="E136" s="43"/>
      <c r="F136" s="46"/>
      <c r="H136" s="15">
        <v>768</v>
      </c>
      <c r="I136" s="16">
        <v>477.52499999999998</v>
      </c>
      <c r="J136" s="4">
        <v>7.4379999999999997</v>
      </c>
      <c r="K136" s="16">
        <v>5.7149999999999999</v>
      </c>
      <c r="L136" s="43"/>
      <c r="M136" s="47"/>
    </row>
    <row r="137" spans="1:13">
      <c r="A137" s="15">
        <v>768</v>
      </c>
      <c r="B137" s="16">
        <v>74.613</v>
      </c>
      <c r="C137" s="4">
        <v>5.4</v>
      </c>
      <c r="D137" s="4">
        <v>4.6059999999999999</v>
      </c>
      <c r="E137" s="43"/>
      <c r="F137" s="46"/>
      <c r="H137" s="15">
        <v>768</v>
      </c>
      <c r="I137" s="16">
        <v>477.89499999999998</v>
      </c>
      <c r="J137" s="4">
        <v>7.3339999999999996</v>
      </c>
      <c r="K137" s="16">
        <v>5.6319999999999997</v>
      </c>
      <c r="L137" s="43"/>
      <c r="M137" s="47"/>
    </row>
    <row r="138" spans="1:13">
      <c r="A138" s="15">
        <v>768</v>
      </c>
      <c r="B138" s="16">
        <v>75.686000000000007</v>
      </c>
      <c r="C138" s="4">
        <v>5.3730000000000002</v>
      </c>
      <c r="D138" s="4">
        <v>4.5750000000000002</v>
      </c>
      <c r="E138" s="43"/>
      <c r="F138" s="46"/>
      <c r="H138" s="15">
        <v>768</v>
      </c>
      <c r="I138" s="16">
        <v>506.09899999999999</v>
      </c>
      <c r="J138" s="4">
        <v>7.2080000000000002</v>
      </c>
      <c r="K138" s="16">
        <v>5.84</v>
      </c>
      <c r="L138" s="43"/>
      <c r="M138" s="47"/>
    </row>
    <row r="139" spans="1:13">
      <c r="A139" s="15" t="s">
        <v>4</v>
      </c>
      <c r="B139" s="16">
        <v>2.0099999999999998</v>
      </c>
      <c r="C139" s="34">
        <v>0</v>
      </c>
      <c r="D139" s="34">
        <v>0</v>
      </c>
      <c r="E139" s="43"/>
      <c r="F139" s="46"/>
      <c r="H139" s="15" t="s">
        <v>4</v>
      </c>
      <c r="I139" s="49">
        <v>0</v>
      </c>
      <c r="J139" s="34">
        <v>0</v>
      </c>
      <c r="K139" s="49">
        <v>0</v>
      </c>
      <c r="L139" s="43"/>
      <c r="M139" s="47"/>
    </row>
    <row r="140" spans="1:13">
      <c r="A140" s="15">
        <v>840</v>
      </c>
      <c r="B140" s="16">
        <v>37.439</v>
      </c>
      <c r="C140" s="4">
        <v>4.665</v>
      </c>
      <c r="D140" s="4">
        <v>4.1029999999999998</v>
      </c>
      <c r="E140" s="43"/>
      <c r="F140" s="46"/>
      <c r="H140" s="15">
        <v>840</v>
      </c>
      <c r="I140" s="16">
        <v>145.88200000000001</v>
      </c>
      <c r="J140" s="4">
        <v>6.7309999999999999</v>
      </c>
      <c r="K140" s="16">
        <v>5.3559999999999999</v>
      </c>
      <c r="L140" s="43"/>
      <c r="M140" s="47"/>
    </row>
    <row r="141" spans="1:13">
      <c r="A141" s="15">
        <v>840</v>
      </c>
      <c r="B141" s="16">
        <v>36.973999999999997</v>
      </c>
      <c r="C141" s="4">
        <v>4.6710000000000003</v>
      </c>
      <c r="D141" s="4">
        <v>4.101</v>
      </c>
      <c r="E141" s="43"/>
      <c r="F141" s="46"/>
      <c r="H141" s="15">
        <v>840</v>
      </c>
      <c r="I141" s="16">
        <v>144.65</v>
      </c>
      <c r="J141" s="4">
        <v>6.5469999999999997</v>
      </c>
      <c r="K141" s="16">
        <v>5.274</v>
      </c>
      <c r="L141" s="43"/>
      <c r="M141" s="47"/>
    </row>
    <row r="142" spans="1:13">
      <c r="A142" s="15">
        <v>840</v>
      </c>
      <c r="B142" s="16">
        <v>36.485999999999997</v>
      </c>
      <c r="C142" s="4">
        <v>4.6749999999999998</v>
      </c>
      <c r="D142" s="4">
        <v>4.085</v>
      </c>
      <c r="E142" s="43"/>
      <c r="F142" s="46"/>
      <c r="H142" s="15">
        <v>840</v>
      </c>
      <c r="I142" s="16">
        <v>143.167</v>
      </c>
      <c r="J142" s="4">
        <v>6.7519999999999998</v>
      </c>
      <c r="K142" s="16">
        <v>5.2850000000000001</v>
      </c>
      <c r="L142" s="43"/>
      <c r="M142" s="47"/>
    </row>
    <row r="143" spans="1:13">
      <c r="A143" s="15" t="s">
        <v>4</v>
      </c>
      <c r="B143" s="16">
        <v>1.966</v>
      </c>
      <c r="C143" s="34">
        <v>0</v>
      </c>
      <c r="D143" s="34">
        <v>0</v>
      </c>
      <c r="E143" s="43"/>
      <c r="F143" s="46"/>
      <c r="H143" s="15" t="s">
        <v>4</v>
      </c>
      <c r="I143" s="49">
        <v>0</v>
      </c>
      <c r="J143" s="34">
        <v>0</v>
      </c>
      <c r="K143" s="34">
        <v>0</v>
      </c>
      <c r="L143" s="43"/>
      <c r="M143" s="46"/>
    </row>
    <row r="144" spans="1:13">
      <c r="A144" s="15">
        <v>912</v>
      </c>
      <c r="B144" s="16">
        <v>33.64</v>
      </c>
      <c r="C144" s="4">
        <v>4.4640000000000004</v>
      </c>
      <c r="D144" s="4">
        <v>3.89</v>
      </c>
      <c r="E144" s="43"/>
      <c r="F144" s="46"/>
      <c r="H144" s="15">
        <v>912</v>
      </c>
      <c r="I144" s="16">
        <v>73.978999999999999</v>
      </c>
      <c r="J144" s="4">
        <v>6.4349999999999996</v>
      </c>
      <c r="K144" s="4">
        <v>5.2519999999999998</v>
      </c>
      <c r="L144" s="43"/>
      <c r="M144" s="46"/>
    </row>
    <row r="145" spans="1:13">
      <c r="A145" s="15">
        <v>912</v>
      </c>
      <c r="B145" s="16">
        <v>32.817999999999998</v>
      </c>
      <c r="C145" s="4">
        <v>4.3940000000000001</v>
      </c>
      <c r="D145" s="4">
        <v>3.964</v>
      </c>
      <c r="E145" s="43"/>
      <c r="F145" s="46"/>
      <c r="H145" s="15">
        <v>912</v>
      </c>
      <c r="I145" s="16">
        <v>72.27</v>
      </c>
      <c r="J145" s="4">
        <v>6.3659999999999997</v>
      </c>
      <c r="K145" s="4">
        <v>5.1310000000000002</v>
      </c>
      <c r="L145" s="43"/>
      <c r="M145" s="46"/>
    </row>
    <row r="146" spans="1:13">
      <c r="A146" s="15">
        <v>912</v>
      </c>
      <c r="B146" s="16">
        <v>33.238</v>
      </c>
      <c r="C146" s="4">
        <v>4.484</v>
      </c>
      <c r="D146" s="4">
        <v>3.8879999999999999</v>
      </c>
      <c r="E146" s="43"/>
      <c r="F146" s="46"/>
      <c r="H146" s="15">
        <v>912</v>
      </c>
      <c r="I146" s="16">
        <v>72.994</v>
      </c>
      <c r="J146" s="4">
        <v>6.4459999999999997</v>
      </c>
      <c r="K146" s="4">
        <v>5.133</v>
      </c>
      <c r="L146" s="43"/>
      <c r="M146" s="46"/>
    </row>
    <row r="147" spans="1:13">
      <c r="A147" s="15" t="s">
        <v>4</v>
      </c>
      <c r="B147" s="16">
        <v>1.98</v>
      </c>
      <c r="C147" s="34">
        <v>0</v>
      </c>
      <c r="D147" s="34">
        <v>0</v>
      </c>
      <c r="E147" s="43"/>
      <c r="F147" s="46"/>
      <c r="H147" s="15" t="s">
        <v>4</v>
      </c>
      <c r="I147" s="49">
        <v>0</v>
      </c>
      <c r="J147" s="34">
        <v>0</v>
      </c>
      <c r="K147" s="34">
        <v>0</v>
      </c>
      <c r="L147" s="43"/>
      <c r="M147" s="46"/>
    </row>
    <row r="148" spans="1:13">
      <c r="A148" s="15">
        <v>984</v>
      </c>
      <c r="B148" s="16">
        <v>12.436999999999999</v>
      </c>
      <c r="C148" s="4">
        <v>4.2060000000000004</v>
      </c>
      <c r="D148" s="4">
        <v>3.62</v>
      </c>
      <c r="E148" s="43"/>
      <c r="F148" s="46"/>
      <c r="H148" s="15">
        <v>984</v>
      </c>
      <c r="I148" s="16">
        <v>47.305</v>
      </c>
      <c r="J148" s="4">
        <v>6.165</v>
      </c>
      <c r="K148" s="4">
        <v>4.8360000000000003</v>
      </c>
      <c r="L148" s="43"/>
      <c r="M148" s="46"/>
    </row>
    <row r="149" spans="1:13">
      <c r="A149" s="15">
        <v>984</v>
      </c>
      <c r="B149" s="16">
        <v>12.007999999999999</v>
      </c>
      <c r="C149" s="4">
        <v>4.1360000000000001</v>
      </c>
      <c r="D149" s="4">
        <v>3.617</v>
      </c>
      <c r="E149" s="43"/>
      <c r="F149" s="46"/>
      <c r="H149" s="15">
        <v>984</v>
      </c>
      <c r="I149" s="16">
        <v>47.887999999999998</v>
      </c>
      <c r="J149" s="4">
        <v>6.7290000000000001</v>
      </c>
      <c r="K149" s="4">
        <v>4.8879999999999999</v>
      </c>
      <c r="L149" s="43"/>
      <c r="M149" s="46"/>
    </row>
    <row r="150" spans="1:13">
      <c r="A150" s="15">
        <v>984</v>
      </c>
      <c r="B150" s="16">
        <v>12.275</v>
      </c>
      <c r="C150" s="4">
        <v>4.1500000000000004</v>
      </c>
      <c r="D150" s="4">
        <v>3.609</v>
      </c>
      <c r="E150" s="50"/>
      <c r="F150" s="48"/>
      <c r="H150" s="15">
        <v>984</v>
      </c>
      <c r="I150" s="16">
        <v>46.975999999999999</v>
      </c>
      <c r="J150" s="4">
        <v>6.1230000000000002</v>
      </c>
      <c r="K150" s="4">
        <v>4.8579999999999997</v>
      </c>
      <c r="L150" s="43"/>
      <c r="M150" s="48"/>
    </row>
    <row r="151" spans="1:13">
      <c r="A151" s="15" t="s">
        <v>4</v>
      </c>
      <c r="B151" s="49">
        <v>0</v>
      </c>
      <c r="C151" s="34">
        <v>0</v>
      </c>
      <c r="D151" s="34">
        <v>0</v>
      </c>
      <c r="E151" s="43"/>
      <c r="F151" s="46"/>
      <c r="H151" s="15" t="s">
        <v>4</v>
      </c>
      <c r="I151" s="49">
        <v>0</v>
      </c>
      <c r="J151" s="34">
        <v>0</v>
      </c>
      <c r="K151" s="34">
        <v>0</v>
      </c>
      <c r="L151" s="43"/>
      <c r="M151" s="46"/>
    </row>
  </sheetData>
  <mergeCells count="3">
    <mergeCell ref="P1:AF1"/>
    <mergeCell ref="B1:F1"/>
    <mergeCell ref="I1:M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A117F-59FF-40A0-8897-666B8793CBD8}">
  <dimension ref="A1:V151"/>
  <sheetViews>
    <sheetView topLeftCell="F1" zoomScale="110" zoomScaleNormal="110" workbookViewId="0">
      <selection activeCell="H100" sqref="H100:K151"/>
    </sheetView>
  </sheetViews>
  <sheetFormatPr baseColWidth="10" defaultColWidth="8.83203125" defaultRowHeight="15"/>
  <cols>
    <col min="1" max="1" width="8.83203125" style="18"/>
    <col min="7" max="7" width="8.83203125" style="18"/>
  </cols>
  <sheetData>
    <row r="1" spans="1:22" ht="21">
      <c r="B1" s="158" t="s">
        <v>131</v>
      </c>
      <c r="C1" s="158"/>
      <c r="D1" s="158"/>
      <c r="E1" s="158"/>
      <c r="H1" s="159" t="s">
        <v>132</v>
      </c>
      <c r="I1" s="159"/>
      <c r="J1" s="159"/>
      <c r="K1" s="159"/>
      <c r="N1" s="157" t="s">
        <v>34</v>
      </c>
      <c r="O1" s="157"/>
      <c r="P1" s="157"/>
      <c r="Q1" s="157"/>
      <c r="R1" s="157"/>
      <c r="S1" s="157"/>
      <c r="T1" s="157"/>
      <c r="U1" s="157"/>
      <c r="V1" s="157"/>
    </row>
    <row r="2" spans="1:22">
      <c r="B2" s="158"/>
      <c r="C2" s="158"/>
      <c r="D2" s="158"/>
      <c r="E2" s="158"/>
      <c r="H2" s="159"/>
      <c r="I2" s="159"/>
      <c r="J2" s="159"/>
      <c r="K2" s="159"/>
      <c r="O2" s="20" t="s">
        <v>20</v>
      </c>
      <c r="T2" s="20" t="s">
        <v>26</v>
      </c>
    </row>
    <row r="3" spans="1:22">
      <c r="B3" s="20" t="s">
        <v>38</v>
      </c>
      <c r="C3" t="s">
        <v>39</v>
      </c>
      <c r="D3" t="s">
        <v>40</v>
      </c>
      <c r="E3" t="s">
        <v>41</v>
      </c>
      <c r="H3" s="20" t="s">
        <v>38</v>
      </c>
      <c r="I3" t="s">
        <v>39</v>
      </c>
      <c r="J3" t="s">
        <v>40</v>
      </c>
      <c r="K3" t="s">
        <v>41</v>
      </c>
      <c r="O3" s="20"/>
      <c r="T3" s="20"/>
    </row>
    <row r="4" spans="1:22">
      <c r="A4" s="19">
        <v>0</v>
      </c>
      <c r="B4" s="43"/>
      <c r="C4" s="4">
        <v>115.649</v>
      </c>
      <c r="D4" s="43"/>
      <c r="E4" s="43"/>
      <c r="G4" s="19">
        <v>0</v>
      </c>
      <c r="H4" s="43"/>
      <c r="I4" s="4">
        <v>14.249000000000001</v>
      </c>
      <c r="J4" s="43"/>
      <c r="K4" s="43"/>
    </row>
    <row r="5" spans="1:22">
      <c r="A5" s="19">
        <v>0</v>
      </c>
      <c r="B5" s="43"/>
      <c r="C5" s="4">
        <v>115.169</v>
      </c>
      <c r="D5" s="43"/>
      <c r="E5" s="43"/>
      <c r="G5" s="19">
        <v>0</v>
      </c>
      <c r="H5" s="43"/>
      <c r="I5" s="4">
        <v>14.218999999999999</v>
      </c>
      <c r="J5" s="43"/>
      <c r="K5" s="43"/>
      <c r="O5" s="7" t="s">
        <v>2</v>
      </c>
      <c r="P5" s="7" t="s">
        <v>1</v>
      </c>
      <c r="Q5" s="7" t="s">
        <v>25</v>
      </c>
      <c r="T5" s="7" t="s">
        <v>2</v>
      </c>
      <c r="U5" s="7" t="s">
        <v>1</v>
      </c>
      <c r="V5" s="7" t="s">
        <v>25</v>
      </c>
    </row>
    <row r="6" spans="1:22">
      <c r="A6" s="19">
        <v>0</v>
      </c>
      <c r="B6" s="43"/>
      <c r="C6" s="4">
        <v>114.533</v>
      </c>
      <c r="D6" s="43"/>
      <c r="E6" s="43"/>
      <c r="G6" s="19">
        <v>0</v>
      </c>
      <c r="H6" s="43"/>
      <c r="I6" s="4">
        <v>14.004</v>
      </c>
      <c r="J6" s="43"/>
      <c r="K6" s="43"/>
      <c r="O6" s="12">
        <v>0</v>
      </c>
      <c r="P6" s="14">
        <f>AVERAGE(B4:E6)</f>
        <v>115.117</v>
      </c>
      <c r="Q6" s="14">
        <f>AVERAGE(H4:K6)</f>
        <v>14.157333333333334</v>
      </c>
      <c r="R6" s="13"/>
      <c r="T6" s="12">
        <v>0</v>
      </c>
      <c r="U6" s="14">
        <f>STDEV(B4:E6)</f>
        <v>0.55981425490960801</v>
      </c>
      <c r="V6" s="14">
        <f>STDEV(H4:K6)</f>
        <v>0.13363507523600759</v>
      </c>
    </row>
    <row r="7" spans="1:22">
      <c r="A7" s="19" t="s">
        <v>4</v>
      </c>
      <c r="B7" s="43"/>
      <c r="C7" s="34">
        <v>0</v>
      </c>
      <c r="D7" s="43"/>
      <c r="E7" s="43"/>
      <c r="G7" s="19" t="s">
        <v>4</v>
      </c>
      <c r="H7" s="43"/>
      <c r="I7" s="34">
        <v>0</v>
      </c>
      <c r="J7" s="43"/>
      <c r="K7" s="43"/>
      <c r="O7" s="11">
        <v>0.05</v>
      </c>
      <c r="P7" s="14">
        <f>AVERAGE(B8:E10)</f>
        <v>72.012166666666658</v>
      </c>
      <c r="Q7" s="14">
        <f>AVERAGE(H8:K10)</f>
        <v>41.121249999999996</v>
      </c>
      <c r="R7" s="13"/>
      <c r="T7" s="11">
        <v>0.05</v>
      </c>
      <c r="U7" s="14">
        <f>STDEV(B8:E10)</f>
        <v>33.228256778157245</v>
      </c>
      <c r="V7" s="14">
        <f>STDEV(H8:K10)</f>
        <v>22.352323512028089</v>
      </c>
    </row>
    <row r="8" spans="1:22">
      <c r="A8" s="19">
        <v>5</v>
      </c>
      <c r="B8" s="21">
        <v>38.816000000000003</v>
      </c>
      <c r="C8" s="4">
        <v>123.672</v>
      </c>
      <c r="D8" s="4">
        <v>68.844999999999999</v>
      </c>
      <c r="E8" s="4">
        <v>56.968000000000004</v>
      </c>
      <c r="G8" s="19">
        <v>5</v>
      </c>
      <c r="H8" s="21">
        <v>9.8949999999999996</v>
      </c>
      <c r="I8" s="4">
        <v>36.073999999999998</v>
      </c>
      <c r="J8" s="4">
        <v>50.965000000000003</v>
      </c>
      <c r="K8" s="7">
        <v>64.516000000000005</v>
      </c>
      <c r="O8" s="11">
        <v>0.1</v>
      </c>
      <c r="P8" s="14">
        <f>AVERAGE(B12:E14)</f>
        <v>64.006416666666667</v>
      </c>
      <c r="Q8" s="14">
        <f>AVERAGE(H12:K14)</f>
        <v>32.918916666666668</v>
      </c>
      <c r="R8" s="13"/>
      <c r="T8" s="11">
        <v>0.1</v>
      </c>
      <c r="U8" s="14">
        <f>STDEV(B12:E14)</f>
        <v>35.438707211333288</v>
      </c>
      <c r="V8" s="14">
        <f>STDEV(H12:K14)</f>
        <v>15.743246098555939</v>
      </c>
    </row>
    <row r="9" spans="1:22">
      <c r="A9" s="19">
        <v>5</v>
      </c>
      <c r="B9" s="21">
        <v>38.597000000000001</v>
      </c>
      <c r="C9" s="4">
        <v>123.917</v>
      </c>
      <c r="D9" s="4">
        <v>68.298000000000002</v>
      </c>
      <c r="E9" s="4">
        <v>57.000999999999998</v>
      </c>
      <c r="G9" s="19">
        <v>5</v>
      </c>
      <c r="H9" s="21">
        <v>10.175000000000001</v>
      </c>
      <c r="I9" s="4">
        <v>35.978999999999999</v>
      </c>
      <c r="J9" s="4">
        <v>50.462000000000003</v>
      </c>
      <c r="K9" s="7">
        <v>63.210999999999999</v>
      </c>
      <c r="O9" s="11">
        <v>0.15</v>
      </c>
      <c r="P9" s="14">
        <f>AVERAGE(B16:E18)</f>
        <v>58.669249999999998</v>
      </c>
      <c r="Q9" s="14">
        <f>AVERAGE(H16:K18)</f>
        <v>34.662833333333332</v>
      </c>
      <c r="R9" s="13"/>
      <c r="T9" s="11">
        <v>0.15</v>
      </c>
      <c r="U9" s="14">
        <f>STDEV(B16:E18)</f>
        <v>39.166437132564042</v>
      </c>
      <c r="V9" s="14">
        <f>STDEV(H16:K18)</f>
        <v>19.674767850465159</v>
      </c>
    </row>
    <row r="10" spans="1:22">
      <c r="A10" s="19">
        <v>5</v>
      </c>
      <c r="B10" s="21">
        <v>39.078000000000003</v>
      </c>
      <c r="C10" s="4">
        <v>124.447</v>
      </c>
      <c r="D10" s="4">
        <v>67.903999999999996</v>
      </c>
      <c r="E10" s="4">
        <v>56.603000000000002</v>
      </c>
      <c r="G10" s="19">
        <v>5</v>
      </c>
      <c r="H10" s="21">
        <v>9.5540000000000003</v>
      </c>
      <c r="I10" s="4">
        <v>35.945999999999998</v>
      </c>
      <c r="J10" s="4">
        <v>51.48</v>
      </c>
      <c r="K10" s="7">
        <v>75.197999999999993</v>
      </c>
      <c r="O10" s="11">
        <v>0.2</v>
      </c>
      <c r="P10" s="14">
        <f>AVERAGE(B20:E22)</f>
        <v>52.521083333333337</v>
      </c>
      <c r="Q10" s="14">
        <f>AVERAGE(H20:K22)</f>
        <v>22.57641666666667</v>
      </c>
      <c r="R10" s="13"/>
      <c r="T10" s="11">
        <v>0.2</v>
      </c>
      <c r="U10" s="14">
        <f>STDEV(B20:E22)</f>
        <v>39.426692021011569</v>
      </c>
      <c r="V10" s="14">
        <f>STDEV(H20:K22)</f>
        <v>11.022317570673952</v>
      </c>
    </row>
    <row r="11" spans="1:22">
      <c r="A11" s="19" t="s">
        <v>4</v>
      </c>
      <c r="B11" s="21">
        <v>1.194</v>
      </c>
      <c r="C11" s="34">
        <v>0</v>
      </c>
      <c r="D11" s="34">
        <v>0</v>
      </c>
      <c r="E11" s="34">
        <v>0</v>
      </c>
      <c r="G11" s="19" t="s">
        <v>4</v>
      </c>
      <c r="H11" s="36">
        <v>0</v>
      </c>
      <c r="I11" s="34">
        <v>0</v>
      </c>
      <c r="J11" s="34">
        <v>0</v>
      </c>
      <c r="K11" s="36">
        <v>0</v>
      </c>
      <c r="O11" s="11">
        <v>0.25</v>
      </c>
      <c r="P11" s="14">
        <f>AVERAGE(B24:E26)</f>
        <v>45.960499999999996</v>
      </c>
      <c r="Q11" s="14">
        <f>AVERAGE(H24:K26)</f>
        <v>21.514833333333332</v>
      </c>
      <c r="R11" s="13"/>
      <c r="T11" s="11">
        <v>0.25</v>
      </c>
      <c r="U11" s="14">
        <f>STDEV(B24:E26)</f>
        <v>39.905523325839141</v>
      </c>
      <c r="V11" s="14">
        <f>STDEV(H24:K26)</f>
        <v>12.17568864457764</v>
      </c>
    </row>
    <row r="12" spans="1:22">
      <c r="A12" s="19">
        <v>10</v>
      </c>
      <c r="B12" s="21">
        <v>31.530999999999999</v>
      </c>
      <c r="C12" s="4">
        <v>118.187</v>
      </c>
      <c r="D12" s="4">
        <v>66.078999999999994</v>
      </c>
      <c r="E12" s="4">
        <v>40.969000000000001</v>
      </c>
      <c r="G12" s="19">
        <v>10</v>
      </c>
      <c r="H12" s="7">
        <v>7.5220000000000002</v>
      </c>
      <c r="I12" s="4">
        <v>38.116999999999997</v>
      </c>
      <c r="J12" s="4">
        <v>40.936999999999998</v>
      </c>
      <c r="K12" s="7">
        <v>46.292999999999999</v>
      </c>
      <c r="O12" s="11">
        <v>0.3</v>
      </c>
      <c r="P12" s="14">
        <f>AVERAGE(B28:E30)</f>
        <v>16.898</v>
      </c>
      <c r="Q12" s="14">
        <f>AVERAGE(H28:K30)</f>
        <v>14.779250000000003</v>
      </c>
      <c r="R12" s="13"/>
      <c r="T12" s="11">
        <v>0.3</v>
      </c>
      <c r="U12" s="14">
        <f>STDEV(B28:E30)</f>
        <v>6.8979969292805361</v>
      </c>
      <c r="V12" s="14">
        <f>STDEV(H28:K30)</f>
        <v>7.8794396792596144</v>
      </c>
    </row>
    <row r="13" spans="1:22">
      <c r="A13" s="19">
        <v>10</v>
      </c>
      <c r="B13" s="21">
        <v>31.736999999999998</v>
      </c>
      <c r="C13" s="4">
        <v>118.384</v>
      </c>
      <c r="D13" s="4">
        <v>65.704999999999998</v>
      </c>
      <c r="E13" s="4">
        <v>39.787999999999997</v>
      </c>
      <c r="G13" s="19">
        <v>10</v>
      </c>
      <c r="H13" s="7">
        <v>7.09</v>
      </c>
      <c r="I13" s="4">
        <v>37.304000000000002</v>
      </c>
      <c r="J13" s="4">
        <v>40.314</v>
      </c>
      <c r="K13" s="7">
        <v>44.470999999999997</v>
      </c>
      <c r="O13" s="11">
        <v>0.35</v>
      </c>
      <c r="P13" s="14">
        <f>AVERAGE(B32:E34)</f>
        <v>16.218666666666667</v>
      </c>
      <c r="Q13" s="14">
        <f>AVERAGE(H32:K34)</f>
        <v>12.762500000000001</v>
      </c>
      <c r="R13" s="13"/>
      <c r="T13" s="11">
        <v>0.35</v>
      </c>
      <c r="U13" s="14">
        <f>STDEV(B32:E34)</f>
        <v>9.9552701468603875</v>
      </c>
      <c r="V13" s="14">
        <f>STDEV(H32:K34)</f>
        <v>6.0144796117369967</v>
      </c>
    </row>
    <row r="14" spans="1:22">
      <c r="A14" s="19">
        <v>10</v>
      </c>
      <c r="B14" s="21">
        <v>30.504999999999999</v>
      </c>
      <c r="C14" s="4">
        <v>118.768</v>
      </c>
      <c r="D14" s="4">
        <v>66.400000000000006</v>
      </c>
      <c r="E14" s="4">
        <v>40.024000000000001</v>
      </c>
      <c r="G14" s="19">
        <v>10</v>
      </c>
      <c r="H14" s="7">
        <v>7.2919999999999998</v>
      </c>
      <c r="I14" s="4">
        <v>37.932000000000002</v>
      </c>
      <c r="J14" s="4">
        <v>41.173999999999999</v>
      </c>
      <c r="K14" s="7">
        <v>46.581000000000003</v>
      </c>
      <c r="O14" s="11">
        <v>0.4</v>
      </c>
      <c r="P14" s="14">
        <f>AVERAGE(B36:E38)</f>
        <v>13.785416666666668</v>
      </c>
      <c r="Q14" s="14">
        <f>AVERAGE(H36:K38)</f>
        <v>11.877666666666665</v>
      </c>
      <c r="R14" s="13"/>
      <c r="T14" s="11">
        <v>0.4</v>
      </c>
      <c r="U14" s="14">
        <f>STDEV(B36:E38)</f>
        <v>9.367352681796044</v>
      </c>
      <c r="V14" s="14">
        <f>STDEV(H36:K38)</f>
        <v>8.5361231708474552</v>
      </c>
    </row>
    <row r="15" spans="1:22">
      <c r="A15" s="19" t="s">
        <v>4</v>
      </c>
      <c r="B15" s="21">
        <v>1.1830000000000001</v>
      </c>
      <c r="C15" s="34">
        <v>0</v>
      </c>
      <c r="D15" s="34">
        <v>0</v>
      </c>
      <c r="E15" s="34">
        <v>0</v>
      </c>
      <c r="G15" s="19" t="s">
        <v>4</v>
      </c>
      <c r="H15" s="36">
        <v>0</v>
      </c>
      <c r="I15" s="34">
        <v>0</v>
      </c>
      <c r="J15" s="34">
        <v>0</v>
      </c>
      <c r="K15" s="36">
        <v>0</v>
      </c>
      <c r="O15" s="11">
        <v>0.45</v>
      </c>
      <c r="P15" s="14">
        <f>AVERAGE(B40:E42)</f>
        <v>11.96025</v>
      </c>
      <c r="Q15" s="14">
        <f>AVERAGE(H40:K42)</f>
        <v>8.972999999999999</v>
      </c>
      <c r="R15" s="13"/>
      <c r="T15" s="11">
        <v>0.45</v>
      </c>
      <c r="U15" s="14">
        <f>STDEV(B40:E42)</f>
        <v>7.318218289434812</v>
      </c>
      <c r="V15" s="14">
        <f>STDEV(H40:K42)</f>
        <v>4.0386611192774842</v>
      </c>
    </row>
    <row r="16" spans="1:22">
      <c r="A16" s="19">
        <v>15</v>
      </c>
      <c r="B16" s="21">
        <v>17.937000000000001</v>
      </c>
      <c r="C16" s="4">
        <v>115.005</v>
      </c>
      <c r="D16" s="4">
        <v>69.096999999999994</v>
      </c>
      <c r="E16" s="4">
        <v>33.454000000000001</v>
      </c>
      <c r="G16" s="19">
        <v>15</v>
      </c>
      <c r="H16" s="7">
        <v>7.4880000000000004</v>
      </c>
      <c r="I16" s="4">
        <v>28.227</v>
      </c>
      <c r="J16" s="4">
        <v>57.552</v>
      </c>
      <c r="K16" s="7">
        <v>42.081000000000003</v>
      </c>
      <c r="O16" s="11">
        <v>0.5</v>
      </c>
      <c r="P16" s="14">
        <f>AVERAGE(B44:E46)</f>
        <v>10.39625</v>
      </c>
      <c r="Q16" s="14">
        <f>AVERAGE(H44:K46)</f>
        <v>9.0452500000000011</v>
      </c>
      <c r="R16" s="13"/>
      <c r="T16" s="11">
        <v>0.5</v>
      </c>
      <c r="U16" s="14">
        <f>STDEV(B44:E46)</f>
        <v>6.8633012878775634</v>
      </c>
      <c r="V16" s="14">
        <f>STDEV(H44:K46)</f>
        <v>5.8100460509049618</v>
      </c>
    </row>
    <row r="17" spans="1:22">
      <c r="A17" s="19">
        <v>15</v>
      </c>
      <c r="B17" s="21">
        <v>17.864999999999998</v>
      </c>
      <c r="C17" s="4">
        <v>115.259</v>
      </c>
      <c r="D17" s="4">
        <v>68.275999999999996</v>
      </c>
      <c r="E17" s="4">
        <v>33.35</v>
      </c>
      <c r="G17" s="19">
        <v>15</v>
      </c>
      <c r="H17" s="7">
        <v>7.2960000000000003</v>
      </c>
      <c r="I17" s="4">
        <v>28.16</v>
      </c>
      <c r="J17" s="4">
        <v>58.683999999999997</v>
      </c>
      <c r="K17" s="7">
        <v>46.853000000000002</v>
      </c>
      <c r="O17" s="11">
        <v>0.55000000000000004</v>
      </c>
      <c r="P17" s="14">
        <f>AVERAGE(B48:E50)</f>
        <v>9.5254166666666666</v>
      </c>
      <c r="Q17" s="14">
        <f>AVERAGE(H48:K50)</f>
        <v>7.5371666666666668</v>
      </c>
      <c r="R17" s="13"/>
      <c r="T17" s="11">
        <v>0.55000000000000004</v>
      </c>
      <c r="U17" s="14">
        <f>STDEV(B48:E50)</f>
        <v>5.6749745607492841</v>
      </c>
      <c r="V17" s="14">
        <f>STDEV(H48:K50)</f>
        <v>4.9299214604353097</v>
      </c>
    </row>
    <row r="18" spans="1:22">
      <c r="A18" s="19">
        <v>15</v>
      </c>
      <c r="B18" s="21">
        <v>17.645</v>
      </c>
      <c r="C18" s="4">
        <v>116.035</v>
      </c>
      <c r="D18" s="4">
        <v>66.991</v>
      </c>
      <c r="E18" s="4">
        <v>33.116999999999997</v>
      </c>
      <c r="G18" s="19">
        <v>15</v>
      </c>
      <c r="H18" s="7">
        <v>7.6210000000000004</v>
      </c>
      <c r="I18" s="4">
        <v>28.815999999999999</v>
      </c>
      <c r="J18" s="4">
        <v>56.279000000000003</v>
      </c>
      <c r="K18" s="7">
        <v>46.896999999999998</v>
      </c>
      <c r="O18" s="11">
        <v>1</v>
      </c>
      <c r="P18" s="14">
        <f>AVERAGE(B52:E54)</f>
        <v>10.776416666666668</v>
      </c>
      <c r="Q18" s="14">
        <f>AVERAGE(H52:K54)</f>
        <v>7.1704166666666653</v>
      </c>
      <c r="R18" s="13"/>
      <c r="T18" s="11">
        <v>1</v>
      </c>
      <c r="U18" s="14">
        <f>STDEV(B52:E54)</f>
        <v>9.3311173593649759</v>
      </c>
      <c r="V18" s="14">
        <f>STDEV(H52:K54)</f>
        <v>5.8875644209304481</v>
      </c>
    </row>
    <row r="19" spans="1:22">
      <c r="A19" s="19" t="s">
        <v>4</v>
      </c>
      <c r="B19" s="21">
        <v>1.175</v>
      </c>
      <c r="C19" s="34">
        <v>0</v>
      </c>
      <c r="D19" s="36">
        <v>0</v>
      </c>
      <c r="E19" s="34">
        <v>0</v>
      </c>
      <c r="G19" s="19" t="s">
        <v>4</v>
      </c>
      <c r="H19" s="36">
        <v>0</v>
      </c>
      <c r="I19" s="34">
        <v>0</v>
      </c>
      <c r="J19" s="34">
        <v>0</v>
      </c>
      <c r="K19" s="36">
        <v>0</v>
      </c>
      <c r="O19" s="11">
        <v>2</v>
      </c>
      <c r="P19" s="14">
        <f>AVERAGE(B56:E58)</f>
        <v>4.7741666666666669</v>
      </c>
      <c r="Q19" s="14">
        <f>AVERAGE(H56:K58)</f>
        <v>1.4570833333333333</v>
      </c>
      <c r="R19" s="13"/>
      <c r="T19" s="11">
        <v>2</v>
      </c>
      <c r="U19" s="14">
        <f>STDEV(B56:E58)</f>
        <v>2.5351797437920127</v>
      </c>
      <c r="V19" s="14">
        <f>STDEV(H56:K58)</f>
        <v>1.4162265778105456</v>
      </c>
    </row>
    <row r="20" spans="1:22">
      <c r="A20" s="19">
        <v>20</v>
      </c>
      <c r="B20" s="21">
        <v>17.379000000000001</v>
      </c>
      <c r="C20" s="4">
        <v>112.09399999999999</v>
      </c>
      <c r="D20" s="4">
        <v>57.186999999999998</v>
      </c>
      <c r="E20" s="4">
        <v>23.321000000000002</v>
      </c>
      <c r="G20" s="19">
        <v>20</v>
      </c>
      <c r="H20" s="7">
        <v>5.7809999999999997</v>
      </c>
      <c r="I20" s="4">
        <v>21.606000000000002</v>
      </c>
      <c r="J20" s="4">
        <v>30.257000000000001</v>
      </c>
      <c r="K20" s="7">
        <v>31.847000000000001</v>
      </c>
      <c r="O20" s="11">
        <v>3</v>
      </c>
      <c r="P20" s="14">
        <f>AVERAGE(B60:E62)</f>
        <v>4.0885000000000007</v>
      </c>
      <c r="Q20" s="14">
        <f>AVERAGE(H60:K62)</f>
        <v>1.3989166666666668</v>
      </c>
      <c r="R20" s="13"/>
      <c r="T20" s="11">
        <v>3</v>
      </c>
      <c r="U20" s="14">
        <f>STDEV(B60:E62)</f>
        <v>2.069813803659204</v>
      </c>
      <c r="V20" s="14">
        <f>STDEV(H60:K62)</f>
        <v>0.95603189927127508</v>
      </c>
    </row>
    <row r="21" spans="1:22">
      <c r="A21" s="19">
        <v>20</v>
      </c>
      <c r="B21" s="21">
        <v>17.364999999999998</v>
      </c>
      <c r="C21" s="4">
        <v>112.12</v>
      </c>
      <c r="D21" s="4">
        <v>58.643000000000001</v>
      </c>
      <c r="E21" s="4">
        <v>22.646000000000001</v>
      </c>
      <c r="G21" s="19">
        <v>20</v>
      </c>
      <c r="H21" s="7">
        <v>5.7640000000000002</v>
      </c>
      <c r="I21" s="4">
        <v>20.927</v>
      </c>
      <c r="J21" s="4">
        <v>30.748999999999999</v>
      </c>
      <c r="K21" s="7">
        <v>33.600999999999999</v>
      </c>
      <c r="O21" s="11">
        <v>4</v>
      </c>
      <c r="P21" s="14">
        <f>AVERAGE(B64:E66)</f>
        <v>5.385416666666667</v>
      </c>
      <c r="Q21" s="14">
        <f>AVERAGE(H64:K66)</f>
        <v>2.6094166666666667</v>
      </c>
      <c r="R21" s="13"/>
      <c r="T21" s="11">
        <v>4</v>
      </c>
      <c r="U21" s="14">
        <f>STDEV(B64:E66)</f>
        <v>3.9821036573498167</v>
      </c>
      <c r="V21" s="14">
        <f>STDEV(H64:K66)</f>
        <v>2.0951366828197555</v>
      </c>
    </row>
    <row r="22" spans="1:22">
      <c r="A22" s="19">
        <v>20</v>
      </c>
      <c r="B22" s="21">
        <v>17.050999999999998</v>
      </c>
      <c r="C22" s="4">
        <v>112.227</v>
      </c>
      <c r="D22" s="4">
        <v>57.311999999999998</v>
      </c>
      <c r="E22" s="4">
        <v>22.908000000000001</v>
      </c>
      <c r="G22" s="19">
        <v>20</v>
      </c>
      <c r="H22" s="7">
        <v>5.9130000000000003</v>
      </c>
      <c r="I22" s="4">
        <v>21.652999999999999</v>
      </c>
      <c r="J22" s="4">
        <v>31.123000000000001</v>
      </c>
      <c r="K22" s="7">
        <v>31.696000000000002</v>
      </c>
      <c r="O22" s="11">
        <v>5</v>
      </c>
      <c r="P22" s="14">
        <f>AVERAGE(B68:E70)</f>
        <v>5.8425833333333337</v>
      </c>
      <c r="Q22" s="14">
        <f>AVERAGE(H68:K70)</f>
        <v>1.8400833333333331</v>
      </c>
      <c r="R22" s="13"/>
      <c r="T22" s="11">
        <v>5</v>
      </c>
      <c r="U22" s="14">
        <f>STDEV(B68:E70)</f>
        <v>3.6252624596731113</v>
      </c>
      <c r="V22" s="14">
        <f>STDEV(H68:K70)</f>
        <v>1.8586217013657946</v>
      </c>
    </row>
    <row r="23" spans="1:22">
      <c r="A23" s="19" t="s">
        <v>4</v>
      </c>
      <c r="B23" s="21">
        <v>1.179</v>
      </c>
      <c r="C23" s="34">
        <v>0</v>
      </c>
      <c r="D23" s="36">
        <v>0</v>
      </c>
      <c r="E23" s="34">
        <v>0</v>
      </c>
      <c r="G23" s="19" t="s">
        <v>4</v>
      </c>
      <c r="H23" s="36">
        <v>0</v>
      </c>
      <c r="I23" s="34">
        <v>0</v>
      </c>
      <c r="J23" s="34">
        <v>0</v>
      </c>
      <c r="K23" s="36">
        <v>0</v>
      </c>
      <c r="O23" s="11">
        <v>6</v>
      </c>
      <c r="P23" s="14">
        <f>AVERAGE(B72:E74)</f>
        <v>5.9011666666666658</v>
      </c>
      <c r="Q23" s="14">
        <f>AVERAGE(H72:K74)</f>
        <v>1.718</v>
      </c>
      <c r="R23" s="13"/>
      <c r="T23" s="11">
        <v>6</v>
      </c>
      <c r="U23" s="14">
        <f>STDEV(B72:E74)</f>
        <v>4.6965760029531252</v>
      </c>
      <c r="V23" s="14">
        <f>STDEV(H72:K74)</f>
        <v>2.6448511214330113</v>
      </c>
    </row>
    <row r="24" spans="1:22">
      <c r="A24" s="19">
        <v>25</v>
      </c>
      <c r="B24" s="21">
        <v>12.205</v>
      </c>
      <c r="C24" s="4">
        <v>107.979</v>
      </c>
      <c r="D24" s="4">
        <v>46.066000000000003</v>
      </c>
      <c r="E24" s="4">
        <v>17.616</v>
      </c>
      <c r="G24" s="19">
        <v>25</v>
      </c>
      <c r="H24" s="7">
        <v>5.0810000000000004</v>
      </c>
      <c r="I24" s="4">
        <v>17.443999999999999</v>
      </c>
      <c r="J24" s="4">
        <v>36.823</v>
      </c>
      <c r="K24" s="7">
        <v>27.872</v>
      </c>
      <c r="O24" s="11">
        <v>7</v>
      </c>
      <c r="P24" s="14">
        <f>AVERAGE(B76:E78)</f>
        <v>6.9637500000000001</v>
      </c>
      <c r="Q24" s="14">
        <f>AVERAGE(H76:K78)</f>
        <v>1.5175000000000001</v>
      </c>
      <c r="R24" s="13"/>
      <c r="T24" s="11">
        <v>7</v>
      </c>
      <c r="U24" s="14">
        <f>STDEV(B76:E78)</f>
        <v>4.2839975835024182</v>
      </c>
      <c r="V24" s="14">
        <f>STDEV(H76:K78)</f>
        <v>2.2319314301946891</v>
      </c>
    </row>
    <row r="25" spans="1:22">
      <c r="A25" s="19">
        <v>25</v>
      </c>
      <c r="B25" s="21">
        <v>11.912000000000001</v>
      </c>
      <c r="C25" s="4">
        <v>108.34</v>
      </c>
      <c r="D25" s="4">
        <v>46.877000000000002</v>
      </c>
      <c r="E25" s="4">
        <v>17.206</v>
      </c>
      <c r="G25" s="19">
        <v>25</v>
      </c>
      <c r="H25" s="7">
        <v>5.0419999999999998</v>
      </c>
      <c r="I25" s="4">
        <v>17.137</v>
      </c>
      <c r="J25" s="4">
        <v>35.545999999999999</v>
      </c>
      <c r="K25" s="7">
        <v>27.417999999999999</v>
      </c>
      <c r="O25" s="11">
        <v>8</v>
      </c>
      <c r="P25" s="14">
        <f>AVERAGE(B80:E82)</f>
        <v>6.9622222222222225</v>
      </c>
      <c r="Q25" s="14">
        <f>AVERAGE(H80:K82)</f>
        <v>7.641333333333332</v>
      </c>
      <c r="R25" s="13"/>
      <c r="T25" s="11">
        <v>8</v>
      </c>
      <c r="U25" s="14">
        <f>STDEV(B80:E82)</f>
        <v>3.0760208784149103</v>
      </c>
      <c r="V25" s="14">
        <f>STDEV(H80:K82)</f>
        <v>8.7394649006675476</v>
      </c>
    </row>
    <row r="26" spans="1:22">
      <c r="A26" s="19">
        <v>25</v>
      </c>
      <c r="B26" s="21">
        <v>12.019</v>
      </c>
      <c r="C26" s="4">
        <v>108.173</v>
      </c>
      <c r="D26" s="4">
        <v>45.933999999999997</v>
      </c>
      <c r="E26" s="4">
        <v>17.199000000000002</v>
      </c>
      <c r="G26" s="19">
        <v>25</v>
      </c>
      <c r="H26" s="7">
        <v>4.8010000000000002</v>
      </c>
      <c r="I26" s="4">
        <v>17.145</v>
      </c>
      <c r="J26" s="4">
        <v>35.902999999999999</v>
      </c>
      <c r="K26" s="7">
        <v>27.966000000000001</v>
      </c>
      <c r="O26" s="11">
        <v>12</v>
      </c>
      <c r="P26" s="14">
        <f>AVERAGE(B84:E86)</f>
        <v>5.0438333333333336</v>
      </c>
      <c r="Q26" s="14">
        <f>AVERAGE(H84:K86)</f>
        <v>2.3763333333333332</v>
      </c>
      <c r="R26" s="13"/>
      <c r="T26" s="11">
        <v>12</v>
      </c>
      <c r="U26" s="14">
        <f>STDEV(B84:E86)</f>
        <v>1.677279769222302</v>
      </c>
      <c r="V26" s="14">
        <f>STDEV(H84:K86)</f>
        <v>2.2766288607713312</v>
      </c>
    </row>
    <row r="27" spans="1:22">
      <c r="A27" s="19" t="s">
        <v>4</v>
      </c>
      <c r="B27" s="21">
        <v>1.177</v>
      </c>
      <c r="C27" s="36">
        <v>0</v>
      </c>
      <c r="D27" s="36">
        <v>0</v>
      </c>
      <c r="E27" s="34">
        <v>0</v>
      </c>
      <c r="G27" s="19" t="s">
        <v>4</v>
      </c>
      <c r="H27" s="36">
        <v>0</v>
      </c>
      <c r="I27" s="34">
        <v>0</v>
      </c>
      <c r="J27" s="34">
        <v>0</v>
      </c>
      <c r="K27" s="36">
        <v>0</v>
      </c>
      <c r="O27" s="11">
        <v>18</v>
      </c>
      <c r="P27" s="14">
        <f>AVERAGE(B88:E90)</f>
        <v>8.2193333333333332</v>
      </c>
      <c r="Q27" s="58">
        <f>AVERAGE(H88:K90)</f>
        <v>0.69644444444444453</v>
      </c>
      <c r="R27" s="13"/>
      <c r="T27" s="11">
        <v>18</v>
      </c>
      <c r="U27" s="14">
        <f>STDEV(B88:E90)</f>
        <v>5.1267053260354256</v>
      </c>
      <c r="V27" s="14">
        <f>STDEV(H88:K90)</f>
        <v>0.61394444193084585</v>
      </c>
    </row>
    <row r="28" spans="1:22">
      <c r="A28" s="19">
        <v>30</v>
      </c>
      <c r="B28" s="21">
        <v>11.584</v>
      </c>
      <c r="C28" s="4">
        <v>12.476000000000001</v>
      </c>
      <c r="D28" s="4">
        <v>28.518000000000001</v>
      </c>
      <c r="E28" s="4">
        <v>15.512</v>
      </c>
      <c r="G28" s="19">
        <v>30</v>
      </c>
      <c r="H28" s="7">
        <v>5.444</v>
      </c>
      <c r="I28" s="4">
        <v>12.34</v>
      </c>
      <c r="J28" s="4">
        <v>14.801</v>
      </c>
      <c r="K28" s="7">
        <v>26.524000000000001</v>
      </c>
      <c r="O28" s="11">
        <v>24</v>
      </c>
      <c r="P28" s="14">
        <f>AVERAGE(B92:E94)</f>
        <v>11.395250000000003</v>
      </c>
      <c r="Q28" s="14">
        <f>AVERAGE(H92:K94)</f>
        <v>6.0206666666666671</v>
      </c>
      <c r="R28" s="13"/>
      <c r="T28" s="11">
        <v>24</v>
      </c>
      <c r="U28" s="14">
        <f>STDEV(B92:E94)</f>
        <v>8.404636416612826</v>
      </c>
      <c r="V28" s="14">
        <f>STDEV(H92:K94)</f>
        <v>10.362400242602039</v>
      </c>
    </row>
    <row r="29" spans="1:22">
      <c r="A29" s="19">
        <v>30</v>
      </c>
      <c r="B29" s="21">
        <v>11.602</v>
      </c>
      <c r="C29" s="4">
        <v>12.616</v>
      </c>
      <c r="D29" s="4">
        <v>28.242000000000001</v>
      </c>
      <c r="E29" s="4">
        <v>15.382</v>
      </c>
      <c r="G29" s="19">
        <v>30</v>
      </c>
      <c r="H29" s="7">
        <v>5.4610000000000003</v>
      </c>
      <c r="I29" s="4">
        <v>12.634</v>
      </c>
      <c r="J29" s="4">
        <v>15.007</v>
      </c>
      <c r="K29" s="7">
        <v>26.134</v>
      </c>
      <c r="O29" s="11">
        <v>48</v>
      </c>
      <c r="P29" s="14">
        <f>AVERAGE(B96:E98)</f>
        <v>7.6106666666666669</v>
      </c>
      <c r="Q29" s="14">
        <f>AVERAGE(H96:K98)</f>
        <v>4.7905000000000006</v>
      </c>
      <c r="R29" s="13"/>
      <c r="T29" s="11">
        <v>48</v>
      </c>
      <c r="U29" s="14">
        <f>STDEV(B96:E98)</f>
        <v>5.2660389921331436</v>
      </c>
      <c r="V29" s="14">
        <f>STDEV(H96:K98)</f>
        <v>5.2481662607047808</v>
      </c>
    </row>
    <row r="30" spans="1:22">
      <c r="A30" s="19">
        <v>30</v>
      </c>
      <c r="B30" s="21">
        <v>11.569000000000001</v>
      </c>
      <c r="C30" s="4">
        <v>12.611000000000001</v>
      </c>
      <c r="D30" s="4">
        <v>27.463999999999999</v>
      </c>
      <c r="E30" s="4">
        <v>15.2</v>
      </c>
      <c r="G30" s="19">
        <v>30</v>
      </c>
      <c r="H30" s="7">
        <v>5.2229999999999999</v>
      </c>
      <c r="I30" s="4">
        <v>12.192</v>
      </c>
      <c r="J30" s="4">
        <v>15.269</v>
      </c>
      <c r="K30" s="7">
        <v>26.321999999999999</v>
      </c>
      <c r="N30" s="11" t="s">
        <v>6</v>
      </c>
      <c r="O30" s="11">
        <v>120</v>
      </c>
      <c r="P30" s="14">
        <f>AVERAGE(B100:E102)</f>
        <v>9.0333333333333332</v>
      </c>
      <c r="Q30" s="14">
        <f>AVERAGE(H100:K102)</f>
        <v>4.3838888888888885</v>
      </c>
      <c r="R30" s="13"/>
      <c r="S30" s="11" t="s">
        <v>6</v>
      </c>
      <c r="T30" s="11">
        <v>120</v>
      </c>
      <c r="U30" s="14">
        <f>STDEV(B100:E102)</f>
        <v>7.4349173330979283</v>
      </c>
      <c r="V30" s="14">
        <f>STDEV(H100:K102)</f>
        <v>5.0404273986549102</v>
      </c>
    </row>
    <row r="31" spans="1:22">
      <c r="A31" s="19" t="s">
        <v>4</v>
      </c>
      <c r="B31" s="55">
        <v>0</v>
      </c>
      <c r="C31" s="36">
        <v>0</v>
      </c>
      <c r="D31" s="36">
        <v>0</v>
      </c>
      <c r="E31" s="34">
        <v>0</v>
      </c>
      <c r="G31" s="19" t="s">
        <v>4</v>
      </c>
      <c r="H31" s="36">
        <v>0</v>
      </c>
      <c r="I31" s="34">
        <v>0</v>
      </c>
      <c r="J31" s="34">
        <v>0</v>
      </c>
      <c r="K31" s="36">
        <v>0</v>
      </c>
      <c r="N31" s="11" t="s">
        <v>7</v>
      </c>
      <c r="O31" s="11">
        <v>192</v>
      </c>
      <c r="P31" s="14">
        <f>AVERAGE(B104:E106)</f>
        <v>9.1263333333333332</v>
      </c>
      <c r="Q31" s="14">
        <f>AVERAGE(H104:K106)</f>
        <v>6.2632222222222227</v>
      </c>
      <c r="R31" s="13"/>
      <c r="S31" s="11" t="s">
        <v>7</v>
      </c>
      <c r="T31" s="11">
        <v>192</v>
      </c>
      <c r="U31" s="14">
        <f>STDEV(B104:E106)</f>
        <v>5.4777781535947589</v>
      </c>
      <c r="V31" s="14">
        <f>STDEV(H104:K106)</f>
        <v>4.3480050246572208</v>
      </c>
    </row>
    <row r="32" spans="1:22">
      <c r="A32" s="19">
        <v>35</v>
      </c>
      <c r="B32" s="21">
        <v>8.6880000000000006</v>
      </c>
      <c r="C32" s="4">
        <v>12.353</v>
      </c>
      <c r="D32" s="4">
        <v>32.880000000000003</v>
      </c>
      <c r="E32" s="4">
        <v>11.67</v>
      </c>
      <c r="G32" s="19">
        <v>35</v>
      </c>
      <c r="H32" s="7">
        <v>3.0070000000000001</v>
      </c>
      <c r="I32" s="4">
        <v>15.494999999999999</v>
      </c>
      <c r="J32" s="4">
        <v>17.440999999999999</v>
      </c>
      <c r="K32" s="7">
        <v>15.034000000000001</v>
      </c>
      <c r="N32" s="11" t="s">
        <v>8</v>
      </c>
      <c r="O32" s="11">
        <v>264</v>
      </c>
      <c r="P32" s="14">
        <f>AVERAGE(B108:E110)</f>
        <v>8.8320000000000007</v>
      </c>
      <c r="Q32" s="14">
        <f>AVERAGE(H108:K110)</f>
        <v>4.5796666666666672</v>
      </c>
      <c r="R32" s="13"/>
      <c r="S32" s="11" t="s">
        <v>8</v>
      </c>
      <c r="T32" s="11">
        <v>264</v>
      </c>
      <c r="U32" s="14">
        <f>STDEV(B108:E110)</f>
        <v>8.0839533645364376</v>
      </c>
      <c r="V32" s="14">
        <f>STDEV(H108:K110)</f>
        <v>4.6763579275614324</v>
      </c>
    </row>
    <row r="33" spans="1:22">
      <c r="A33" s="19">
        <v>35</v>
      </c>
      <c r="B33" s="21">
        <v>8.5749999999999993</v>
      </c>
      <c r="C33" s="4">
        <v>11.949</v>
      </c>
      <c r="D33" s="4">
        <v>32.496000000000002</v>
      </c>
      <c r="E33" s="4">
        <v>11.532999999999999</v>
      </c>
      <c r="G33" s="19">
        <v>35</v>
      </c>
      <c r="H33" s="7">
        <v>2.8410000000000002</v>
      </c>
      <c r="I33" s="4">
        <v>15.776999999999999</v>
      </c>
      <c r="J33" s="4">
        <v>17.734999999999999</v>
      </c>
      <c r="K33" s="7">
        <v>15.199</v>
      </c>
      <c r="N33" s="11" t="s">
        <v>9</v>
      </c>
      <c r="O33" s="11">
        <v>336</v>
      </c>
      <c r="P33" s="14">
        <f>AVERAGE(B112:E114)</f>
        <v>8.7781666666666656</v>
      </c>
      <c r="Q33" s="14">
        <f>AVERAGE(H112:K114)</f>
        <v>1.6566666666666665</v>
      </c>
      <c r="R33" s="13"/>
      <c r="S33" s="11" t="s">
        <v>9</v>
      </c>
      <c r="T33" s="11">
        <v>336</v>
      </c>
      <c r="U33" s="14">
        <f>STDEV(B112:E114)</f>
        <v>6.9600726840074527</v>
      </c>
      <c r="V33" s="14">
        <f>STDEV(H112:K114)</f>
        <v>1.6688962420314415</v>
      </c>
    </row>
    <row r="34" spans="1:22">
      <c r="A34" s="19">
        <v>35</v>
      </c>
      <c r="B34" s="21">
        <v>8.6240000000000006</v>
      </c>
      <c r="C34" s="4">
        <v>12.122</v>
      </c>
      <c r="D34" s="4">
        <v>32.317</v>
      </c>
      <c r="E34" s="4">
        <v>11.417</v>
      </c>
      <c r="G34" s="19">
        <v>35</v>
      </c>
      <c r="H34" s="7">
        <v>2.87</v>
      </c>
      <c r="I34" s="4">
        <v>15.073</v>
      </c>
      <c r="J34" s="4">
        <v>17.132999999999999</v>
      </c>
      <c r="K34" s="7">
        <v>15.545</v>
      </c>
      <c r="N34" s="11" t="s">
        <v>10</v>
      </c>
      <c r="O34" s="11">
        <v>408</v>
      </c>
      <c r="P34" s="14">
        <f>AVERAGE(B116:E118)</f>
        <v>5.4264999999999999</v>
      </c>
      <c r="Q34" s="14">
        <f>AVERAGE(H116:K118)</f>
        <v>2.2293333333333334</v>
      </c>
      <c r="R34" s="13"/>
      <c r="S34" s="11" t="s">
        <v>10</v>
      </c>
      <c r="T34" s="11">
        <v>408</v>
      </c>
      <c r="U34" s="14">
        <f>STDEV(B116:E118)</f>
        <v>4.5146119545316408</v>
      </c>
      <c r="V34" s="14">
        <f>STDEV(H116:K118)</f>
        <v>2.8709623938092026</v>
      </c>
    </row>
    <row r="35" spans="1:22">
      <c r="A35" s="19" t="s">
        <v>4</v>
      </c>
      <c r="B35" s="55">
        <v>0</v>
      </c>
      <c r="C35" s="36">
        <v>0</v>
      </c>
      <c r="D35" s="36">
        <v>0</v>
      </c>
      <c r="E35" s="34">
        <v>0</v>
      </c>
      <c r="G35" s="19" t="s">
        <v>4</v>
      </c>
      <c r="H35" s="36">
        <v>0</v>
      </c>
      <c r="I35" s="34">
        <v>0</v>
      </c>
      <c r="J35" s="34">
        <v>0</v>
      </c>
      <c r="K35" s="36">
        <v>0</v>
      </c>
      <c r="N35" s="11" t="s">
        <v>11</v>
      </c>
      <c r="O35" s="11">
        <v>480</v>
      </c>
      <c r="P35" s="14">
        <f>AVERAGE(B120:E122)</f>
        <v>3.9516666666666667</v>
      </c>
      <c r="Q35" s="14">
        <f>AVERAGE(H120:K122)</f>
        <v>2.6739999999999999</v>
      </c>
      <c r="R35" s="13"/>
      <c r="S35" s="11" t="s">
        <v>11</v>
      </c>
      <c r="T35" s="11">
        <v>480</v>
      </c>
      <c r="U35" s="14">
        <f>STDEV(B120:E122)</f>
        <v>2.115870096831717</v>
      </c>
      <c r="V35" s="14">
        <f>STDEV(H120:K122)</f>
        <v>2.0817479194177189</v>
      </c>
    </row>
    <row r="36" spans="1:22">
      <c r="A36" s="19">
        <v>40</v>
      </c>
      <c r="B36" s="21">
        <v>6.694</v>
      </c>
      <c r="C36" s="4">
        <v>10.507999999999999</v>
      </c>
      <c r="D36" s="4">
        <v>29.192</v>
      </c>
      <c r="E36" s="4">
        <v>8.9749999999999996</v>
      </c>
      <c r="G36" s="19">
        <v>40</v>
      </c>
      <c r="H36" s="7">
        <v>1.0860000000000001</v>
      </c>
      <c r="I36" s="4">
        <v>9.2330000000000005</v>
      </c>
      <c r="J36" s="4">
        <v>23.591999999999999</v>
      </c>
      <c r="K36" s="7">
        <v>13.699</v>
      </c>
      <c r="N36" s="11" t="s">
        <v>12</v>
      </c>
      <c r="O36" s="11">
        <v>552</v>
      </c>
      <c r="P36" s="14">
        <f>AVERAGE(B124:E126)</f>
        <v>4.1606666666666667</v>
      </c>
      <c r="Q36" s="14">
        <f>AVERAGE(H124:K126)</f>
        <v>2.4535</v>
      </c>
      <c r="R36" s="13"/>
      <c r="S36" s="11" t="s">
        <v>12</v>
      </c>
      <c r="T36" s="11">
        <v>552</v>
      </c>
      <c r="U36" s="14">
        <f>STDEV(B124:E126)</f>
        <v>2.260548399540844</v>
      </c>
      <c r="V36" s="14">
        <f>STDEV(H124:K126)</f>
        <v>1.533355764328683</v>
      </c>
    </row>
    <row r="37" spans="1:22">
      <c r="A37" s="19">
        <v>40</v>
      </c>
      <c r="B37" s="21">
        <v>6.5679999999999996</v>
      </c>
      <c r="C37" s="4">
        <v>10.387</v>
      </c>
      <c r="D37" s="4">
        <v>29.045000000000002</v>
      </c>
      <c r="E37" s="4">
        <v>8.7989999999999995</v>
      </c>
      <c r="G37" s="19">
        <v>40</v>
      </c>
      <c r="H37" s="7">
        <v>1.1659999999999999</v>
      </c>
      <c r="I37" s="4">
        <v>8.5060000000000002</v>
      </c>
      <c r="J37" s="4">
        <v>23.45</v>
      </c>
      <c r="K37" s="7">
        <v>13.701000000000001</v>
      </c>
      <c r="N37" s="11" t="s">
        <v>13</v>
      </c>
      <c r="O37" s="11">
        <v>624</v>
      </c>
      <c r="P37" s="14">
        <f>AVERAGE(B128:E130)</f>
        <v>3.3811666666666667</v>
      </c>
      <c r="Q37" s="14">
        <f>AVERAGE(H128:K130)</f>
        <v>2.5401666666666665</v>
      </c>
      <c r="R37" s="13"/>
      <c r="S37" s="11" t="s">
        <v>13</v>
      </c>
      <c r="T37" s="11">
        <v>624</v>
      </c>
      <c r="U37" s="14">
        <f>STDEV(B128:E130)</f>
        <v>2.0078702564325885</v>
      </c>
      <c r="V37" s="14">
        <f>STDEV(H128:K130)</f>
        <v>1.0333315860200285</v>
      </c>
    </row>
    <row r="38" spans="1:22">
      <c r="A38" s="19">
        <v>40</v>
      </c>
      <c r="B38" s="21">
        <v>6.5730000000000004</v>
      </c>
      <c r="C38" s="4">
        <v>10.391999999999999</v>
      </c>
      <c r="D38" s="4">
        <v>29.178999999999998</v>
      </c>
      <c r="E38" s="4">
        <v>9.1129999999999995</v>
      </c>
      <c r="G38" s="19">
        <v>40</v>
      </c>
      <c r="H38" s="7">
        <v>1.3240000000000001</v>
      </c>
      <c r="I38" s="4">
        <v>8.8780000000000001</v>
      </c>
      <c r="J38" s="4">
        <v>24.135000000000002</v>
      </c>
      <c r="K38" s="7">
        <v>13.762</v>
      </c>
      <c r="N38" s="11" t="s">
        <v>14</v>
      </c>
      <c r="O38" s="11">
        <v>696</v>
      </c>
      <c r="P38" s="14">
        <f>AVERAGE(B132:E134)</f>
        <v>3.1986666666666665</v>
      </c>
      <c r="Q38" s="14">
        <f>AVERAGE(H132:K134)</f>
        <v>1.2153333333333334</v>
      </c>
      <c r="R38" s="13"/>
      <c r="S38" s="11" t="s">
        <v>14</v>
      </c>
      <c r="T38" s="11">
        <v>696</v>
      </c>
      <c r="U38" s="14">
        <f>STDEV(B132:E134)</f>
        <v>1.3880851078614256</v>
      </c>
      <c r="V38" s="14">
        <f>STDEV(H132:K134)</f>
        <v>0.96927574336030231</v>
      </c>
    </row>
    <row r="39" spans="1:22">
      <c r="A39" s="19" t="s">
        <v>4</v>
      </c>
      <c r="B39" s="55">
        <v>0</v>
      </c>
      <c r="C39" s="36">
        <v>0</v>
      </c>
      <c r="D39" s="36">
        <v>0</v>
      </c>
      <c r="E39" s="34">
        <v>0</v>
      </c>
      <c r="G39" s="19" t="s">
        <v>4</v>
      </c>
      <c r="H39" s="36">
        <v>0</v>
      </c>
      <c r="I39" s="34">
        <v>0</v>
      </c>
      <c r="J39" s="34">
        <v>0</v>
      </c>
      <c r="K39" s="36">
        <v>0</v>
      </c>
      <c r="N39" s="11" t="s">
        <v>15</v>
      </c>
      <c r="O39" s="11">
        <v>768</v>
      </c>
      <c r="P39" s="14">
        <f>AVERAGE(B136:E138)</f>
        <v>3.1788333333333334</v>
      </c>
      <c r="Q39" s="14">
        <f>AVERAGE(H136:K138)</f>
        <v>1.0265</v>
      </c>
      <c r="R39" s="13"/>
      <c r="S39" s="11" t="s">
        <v>15</v>
      </c>
      <c r="T39" s="11">
        <v>768</v>
      </c>
      <c r="U39" s="14">
        <f>STDEV(B136:E138)</f>
        <v>1.4740935406773443</v>
      </c>
      <c r="V39" s="14">
        <f>STDEV(H136:K138)</f>
        <v>1.1246223810684188</v>
      </c>
    </row>
    <row r="40" spans="1:22">
      <c r="A40" s="19">
        <v>45</v>
      </c>
      <c r="B40" s="21">
        <v>6.5289999999999999</v>
      </c>
      <c r="C40" s="4">
        <v>10.127000000000001</v>
      </c>
      <c r="D40" s="4">
        <v>23.765000000000001</v>
      </c>
      <c r="E40" s="4">
        <v>7.62</v>
      </c>
      <c r="G40" s="19">
        <v>45</v>
      </c>
      <c r="H40" s="7">
        <v>2.8180000000000001</v>
      </c>
      <c r="I40" s="4">
        <v>9.5909999999999993</v>
      </c>
      <c r="J40" s="4">
        <v>13.176</v>
      </c>
      <c r="K40" s="7">
        <v>10.272</v>
      </c>
      <c r="N40" s="11" t="s">
        <v>16</v>
      </c>
      <c r="O40" s="11">
        <v>840</v>
      </c>
      <c r="P40" s="14">
        <f>AVERAGE(B140:E142)</f>
        <v>3.6940000000000004</v>
      </c>
      <c r="Q40" s="14">
        <f>AVERAGE(H140:K142)</f>
        <v>2.5683333333333334</v>
      </c>
      <c r="R40" s="13"/>
      <c r="S40" s="11" t="s">
        <v>16</v>
      </c>
      <c r="T40" s="11">
        <v>840</v>
      </c>
      <c r="U40" s="14">
        <f>STDEV(B140:E142)</f>
        <v>1.8678332902055252</v>
      </c>
      <c r="V40" s="14">
        <f>STDEV(H140:K142)</f>
        <v>2.8135002162194098</v>
      </c>
    </row>
    <row r="41" spans="1:22">
      <c r="A41" s="19">
        <v>45</v>
      </c>
      <c r="B41" s="21">
        <v>6.391</v>
      </c>
      <c r="C41" s="4">
        <v>10.026</v>
      </c>
      <c r="D41" s="4">
        <v>23.933</v>
      </c>
      <c r="E41" s="4">
        <v>7.5190000000000001</v>
      </c>
      <c r="G41" s="19">
        <v>45</v>
      </c>
      <c r="H41" s="7">
        <v>2.8450000000000002</v>
      </c>
      <c r="I41" s="4">
        <v>9.5350000000000001</v>
      </c>
      <c r="J41" s="4">
        <v>13.462999999999999</v>
      </c>
      <c r="K41" s="7">
        <v>10.289</v>
      </c>
      <c r="N41" s="11" t="s">
        <v>17</v>
      </c>
      <c r="O41" s="11">
        <v>912</v>
      </c>
      <c r="P41" s="14">
        <f>AVERAGE(B144:E146)</f>
        <v>3.4356666666666666</v>
      </c>
      <c r="Q41" s="14">
        <f>AVERAGE(H144:K146)</f>
        <v>3.044</v>
      </c>
      <c r="R41" s="13"/>
      <c r="S41" s="11" t="s">
        <v>17</v>
      </c>
      <c r="T41" s="11">
        <v>912</v>
      </c>
      <c r="U41" s="14">
        <f>STDEV(B144:E146)</f>
        <v>2.1484771040592139</v>
      </c>
      <c r="V41" s="14">
        <f>STDEV(H144:K146)</f>
        <v>2.5393392053839525</v>
      </c>
    </row>
    <row r="42" spans="1:22">
      <c r="A42" s="19">
        <v>45</v>
      </c>
      <c r="B42" s="21">
        <v>6.2450000000000001</v>
      </c>
      <c r="C42" s="4">
        <v>9.8879999999999999</v>
      </c>
      <c r="D42" s="4">
        <v>23.946999999999999</v>
      </c>
      <c r="E42" s="4">
        <v>7.5330000000000004</v>
      </c>
      <c r="G42" s="19">
        <v>45</v>
      </c>
      <c r="H42" s="7">
        <v>2.609</v>
      </c>
      <c r="I42" s="4">
        <v>9.4190000000000005</v>
      </c>
      <c r="J42" s="4">
        <v>13.414</v>
      </c>
      <c r="K42" s="7">
        <v>10.244999999999999</v>
      </c>
      <c r="N42" s="11" t="s">
        <v>18</v>
      </c>
      <c r="O42" s="11">
        <v>984</v>
      </c>
      <c r="P42" s="14">
        <f>AVERAGE(B148:E150)</f>
        <v>3.5754999999999999</v>
      </c>
      <c r="Q42" s="14">
        <f>AVERAGE(H148:K150)</f>
        <v>3.6795000000000004</v>
      </c>
      <c r="R42" s="13"/>
      <c r="S42" s="11" t="s">
        <v>18</v>
      </c>
      <c r="T42" s="11">
        <v>984</v>
      </c>
      <c r="U42" s="14">
        <f>STDEV(B148:E150)</f>
        <v>1.7725243862920479</v>
      </c>
      <c r="V42" s="14">
        <f>STDEV(H148:K150)</f>
        <v>3.4154225360853956</v>
      </c>
    </row>
    <row r="43" spans="1:22">
      <c r="A43" s="19" t="s">
        <v>4</v>
      </c>
      <c r="B43" s="55">
        <v>0</v>
      </c>
      <c r="C43" s="36">
        <v>0</v>
      </c>
      <c r="D43" s="34">
        <v>0</v>
      </c>
      <c r="E43" s="34">
        <v>0</v>
      </c>
      <c r="G43" s="19" t="s">
        <v>4</v>
      </c>
      <c r="H43" s="36">
        <v>0</v>
      </c>
      <c r="I43" s="34">
        <v>0</v>
      </c>
      <c r="J43" s="34">
        <v>0</v>
      </c>
      <c r="K43" s="36">
        <v>0</v>
      </c>
    </row>
    <row r="44" spans="1:22">
      <c r="A44" s="19">
        <v>50</v>
      </c>
      <c r="B44" s="21">
        <v>4.2430000000000003</v>
      </c>
      <c r="C44" s="4">
        <v>10.377000000000001</v>
      </c>
      <c r="D44" s="4">
        <v>20.878</v>
      </c>
      <c r="E44" s="4">
        <v>5.8760000000000003</v>
      </c>
      <c r="G44" s="19">
        <v>50</v>
      </c>
      <c r="H44" s="36">
        <v>0.36599999999999999</v>
      </c>
      <c r="I44" s="4">
        <v>10.253</v>
      </c>
      <c r="J44" s="4">
        <v>15.981999999999999</v>
      </c>
      <c r="K44" s="7">
        <v>9.9339999999999993</v>
      </c>
    </row>
    <row r="45" spans="1:22">
      <c r="A45" s="19">
        <v>50</v>
      </c>
      <c r="B45" s="21">
        <v>4.2709999999999999</v>
      </c>
      <c r="C45" s="4">
        <v>10.385999999999999</v>
      </c>
      <c r="D45" s="4">
        <v>21.132999999999999</v>
      </c>
      <c r="E45" s="4">
        <v>5.85</v>
      </c>
      <c r="G45" s="19">
        <v>50</v>
      </c>
      <c r="H45" s="36">
        <v>0.35599999999999998</v>
      </c>
      <c r="I45" s="4">
        <v>9.7059999999999995</v>
      </c>
      <c r="J45" s="4">
        <v>15.615</v>
      </c>
      <c r="K45" s="7">
        <v>10.007999999999999</v>
      </c>
    </row>
    <row r="46" spans="1:22">
      <c r="A46" s="19">
        <v>50</v>
      </c>
      <c r="B46" s="21">
        <v>4.2030000000000003</v>
      </c>
      <c r="C46" s="4">
        <v>10.391</v>
      </c>
      <c r="D46" s="4">
        <v>21.254000000000001</v>
      </c>
      <c r="E46" s="4">
        <v>5.8929999999999998</v>
      </c>
      <c r="G46" s="19">
        <v>50</v>
      </c>
      <c r="H46" s="36">
        <v>0.27200000000000002</v>
      </c>
      <c r="I46" s="4">
        <v>10.186999999999999</v>
      </c>
      <c r="J46" s="4">
        <v>15.856999999999999</v>
      </c>
      <c r="K46" s="7">
        <v>10.007</v>
      </c>
    </row>
    <row r="47" spans="1:22">
      <c r="A47" s="19" t="s">
        <v>4</v>
      </c>
      <c r="B47" s="55">
        <v>0</v>
      </c>
      <c r="C47" s="36">
        <v>0</v>
      </c>
      <c r="D47" s="34">
        <v>0</v>
      </c>
      <c r="E47" s="34">
        <v>0</v>
      </c>
      <c r="G47" s="19" t="s">
        <v>4</v>
      </c>
      <c r="H47" s="36">
        <v>0</v>
      </c>
      <c r="I47" s="34">
        <v>0</v>
      </c>
      <c r="J47" s="34">
        <v>0</v>
      </c>
      <c r="K47" s="36">
        <v>0</v>
      </c>
    </row>
    <row r="48" spans="1:22">
      <c r="A48" s="19">
        <v>55</v>
      </c>
      <c r="B48" s="21">
        <v>4.0270000000000001</v>
      </c>
      <c r="C48" s="4">
        <v>11.797000000000001</v>
      </c>
      <c r="D48" s="4">
        <v>17.308</v>
      </c>
      <c r="E48" s="4">
        <v>4.9059999999999997</v>
      </c>
      <c r="G48" s="19">
        <v>55</v>
      </c>
      <c r="H48" s="36">
        <v>0.71799999999999997</v>
      </c>
      <c r="I48" s="4">
        <v>12.861000000000001</v>
      </c>
      <c r="J48" s="4">
        <v>10.885999999999999</v>
      </c>
      <c r="K48" s="7">
        <v>5.89</v>
      </c>
    </row>
    <row r="49" spans="1:11">
      <c r="A49" s="19">
        <v>55</v>
      </c>
      <c r="B49" s="21">
        <v>4.0780000000000003</v>
      </c>
      <c r="C49" s="4">
        <v>11.816000000000001</v>
      </c>
      <c r="D49" s="4">
        <v>17.442</v>
      </c>
      <c r="E49" s="4">
        <v>4.8979999999999997</v>
      </c>
      <c r="G49" s="19">
        <v>55</v>
      </c>
      <c r="H49" s="36">
        <v>0.64700000000000002</v>
      </c>
      <c r="I49" s="4">
        <v>12.590999999999999</v>
      </c>
      <c r="J49" s="4">
        <v>10.866</v>
      </c>
      <c r="K49" s="7">
        <v>5.6630000000000003</v>
      </c>
    </row>
    <row r="50" spans="1:11">
      <c r="A50" s="19">
        <v>55</v>
      </c>
      <c r="B50" s="21">
        <v>4.024</v>
      </c>
      <c r="C50" s="4">
        <v>11.731999999999999</v>
      </c>
      <c r="D50" s="4">
        <v>17.367999999999999</v>
      </c>
      <c r="E50" s="4">
        <v>4.9089999999999998</v>
      </c>
      <c r="G50" s="19">
        <v>55</v>
      </c>
      <c r="H50" s="36">
        <v>0.71099999999999997</v>
      </c>
      <c r="I50" s="4">
        <v>13.034000000000001</v>
      </c>
      <c r="J50" s="4">
        <v>10.840999999999999</v>
      </c>
      <c r="K50" s="7">
        <v>5.7380000000000004</v>
      </c>
    </row>
    <row r="51" spans="1:11">
      <c r="A51" s="19" t="s">
        <v>4</v>
      </c>
      <c r="B51" s="55">
        <v>0</v>
      </c>
      <c r="C51" s="36">
        <v>0</v>
      </c>
      <c r="D51" s="34">
        <v>0</v>
      </c>
      <c r="E51" s="34">
        <v>0</v>
      </c>
      <c r="G51" s="19" t="s">
        <v>4</v>
      </c>
      <c r="H51" s="36">
        <v>0</v>
      </c>
      <c r="I51" s="34">
        <v>0</v>
      </c>
      <c r="J51" s="34">
        <v>0</v>
      </c>
      <c r="K51" s="36">
        <v>0</v>
      </c>
    </row>
    <row r="52" spans="1:11">
      <c r="A52" s="19">
        <v>60</v>
      </c>
      <c r="B52" s="21">
        <v>3.8340000000000001</v>
      </c>
      <c r="C52" s="4">
        <v>9.2210000000000001</v>
      </c>
      <c r="D52" s="4">
        <v>25.890999999999998</v>
      </c>
      <c r="E52" s="4">
        <v>4.1360000000000001</v>
      </c>
      <c r="G52" s="19">
        <v>60</v>
      </c>
      <c r="H52" s="36">
        <v>0.2</v>
      </c>
      <c r="I52" s="4">
        <v>9.4350000000000005</v>
      </c>
      <c r="J52" s="4">
        <v>15.176</v>
      </c>
      <c r="K52" s="7">
        <v>3.8109999999999999</v>
      </c>
    </row>
    <row r="53" spans="1:11">
      <c r="A53" s="19">
        <v>60</v>
      </c>
      <c r="B53" s="21">
        <v>3.9049999999999998</v>
      </c>
      <c r="C53" s="4">
        <v>9.4190000000000005</v>
      </c>
      <c r="D53" s="4">
        <v>25.852</v>
      </c>
      <c r="E53" s="4">
        <v>4.1180000000000003</v>
      </c>
      <c r="G53" s="19">
        <v>60</v>
      </c>
      <c r="H53" s="36">
        <v>0.29599999999999999</v>
      </c>
      <c r="I53" s="4">
        <v>9.6739999999999995</v>
      </c>
      <c r="J53" s="4">
        <v>15.087999999999999</v>
      </c>
      <c r="K53" s="7">
        <v>3.9119999999999999</v>
      </c>
    </row>
    <row r="54" spans="1:11">
      <c r="A54" s="19">
        <v>60</v>
      </c>
      <c r="B54" s="21">
        <v>3.847</v>
      </c>
      <c r="C54" s="4">
        <v>9.4060000000000006</v>
      </c>
      <c r="D54" s="4">
        <v>25.59</v>
      </c>
      <c r="E54" s="4">
        <v>4.0979999999999999</v>
      </c>
      <c r="G54" s="19">
        <v>60</v>
      </c>
      <c r="H54" s="36">
        <v>0.253</v>
      </c>
      <c r="I54" s="38">
        <v>9.3439999999999994</v>
      </c>
      <c r="J54" s="4">
        <v>15.023</v>
      </c>
      <c r="K54" s="7">
        <v>3.8330000000000002</v>
      </c>
    </row>
    <row r="55" spans="1:11">
      <c r="A55" s="19" t="s">
        <v>4</v>
      </c>
      <c r="B55" s="55">
        <v>0</v>
      </c>
      <c r="C55" s="36">
        <v>0</v>
      </c>
      <c r="D55" s="34">
        <v>0</v>
      </c>
      <c r="E55" s="34">
        <v>0</v>
      </c>
      <c r="G55" s="19" t="s">
        <v>4</v>
      </c>
      <c r="H55" s="36">
        <v>0</v>
      </c>
      <c r="I55" s="34">
        <v>0</v>
      </c>
      <c r="J55" s="34">
        <v>0</v>
      </c>
      <c r="K55" s="36">
        <v>0</v>
      </c>
    </row>
    <row r="56" spans="1:11">
      <c r="A56" s="19">
        <v>2</v>
      </c>
      <c r="B56" s="21">
        <v>2.94</v>
      </c>
      <c r="C56" s="4">
        <v>3.8380000000000001</v>
      </c>
      <c r="D56" s="4">
        <v>9.0380000000000003</v>
      </c>
      <c r="E56" s="4">
        <v>3.3639999999999999</v>
      </c>
      <c r="G56" s="19">
        <v>2</v>
      </c>
      <c r="H56" s="36">
        <v>0</v>
      </c>
      <c r="I56" s="34">
        <v>0.69499999999999995</v>
      </c>
      <c r="J56" s="4">
        <v>3.5230000000000001</v>
      </c>
      <c r="K56" s="7">
        <v>1.629</v>
      </c>
    </row>
    <row r="57" spans="1:11">
      <c r="A57" s="19">
        <v>2</v>
      </c>
      <c r="B57" s="21">
        <v>3.0640000000000001</v>
      </c>
      <c r="C57" s="4">
        <v>3.7749999999999999</v>
      </c>
      <c r="D57" s="4">
        <v>9.0190000000000001</v>
      </c>
      <c r="E57" s="4">
        <v>3.363</v>
      </c>
      <c r="G57" s="19">
        <v>2</v>
      </c>
      <c r="H57" s="36">
        <v>0</v>
      </c>
      <c r="I57" s="34">
        <v>0.66500000000000004</v>
      </c>
      <c r="J57" s="4">
        <v>3.55</v>
      </c>
      <c r="K57" s="7">
        <v>1.57</v>
      </c>
    </row>
    <row r="58" spans="1:11">
      <c r="A58" s="19">
        <v>2</v>
      </c>
      <c r="B58" s="21">
        <v>3.028</v>
      </c>
      <c r="C58" s="4">
        <v>3.6880000000000002</v>
      </c>
      <c r="D58" s="23">
        <v>8.7959999999999994</v>
      </c>
      <c r="E58" s="4">
        <v>3.3769999999999998</v>
      </c>
      <c r="G58" s="19">
        <v>2</v>
      </c>
      <c r="H58" s="36">
        <v>0</v>
      </c>
      <c r="I58" s="34">
        <v>0.63200000000000001</v>
      </c>
      <c r="J58" s="4">
        <v>3.718</v>
      </c>
      <c r="K58" s="7">
        <v>1.5029999999999999</v>
      </c>
    </row>
    <row r="59" spans="1:11">
      <c r="A59" s="19" t="s">
        <v>4</v>
      </c>
      <c r="B59" s="55">
        <v>0</v>
      </c>
      <c r="C59" s="36">
        <v>0</v>
      </c>
      <c r="D59" s="36">
        <v>0</v>
      </c>
      <c r="E59" s="34">
        <v>0</v>
      </c>
      <c r="G59" s="19" t="s">
        <v>4</v>
      </c>
      <c r="H59" s="36">
        <v>0</v>
      </c>
      <c r="I59" s="34">
        <v>0</v>
      </c>
      <c r="J59" s="34">
        <v>0</v>
      </c>
      <c r="K59" s="36">
        <v>0</v>
      </c>
    </row>
    <row r="60" spans="1:11">
      <c r="A60" s="19">
        <v>3</v>
      </c>
      <c r="B60" s="21">
        <v>1.83</v>
      </c>
      <c r="C60" s="4">
        <v>3.2810000000000001</v>
      </c>
      <c r="D60" s="24">
        <v>7.2910000000000004</v>
      </c>
      <c r="E60" s="4">
        <v>4.0439999999999996</v>
      </c>
      <c r="G60" s="19">
        <v>3</v>
      </c>
      <c r="H60" s="36">
        <v>0.59799999999999998</v>
      </c>
      <c r="I60" s="34">
        <v>0.79900000000000004</v>
      </c>
      <c r="J60" s="4">
        <v>1.4630000000000001</v>
      </c>
      <c r="K60" s="7">
        <v>3.0019999999999998</v>
      </c>
    </row>
    <row r="61" spans="1:11">
      <c r="A61" s="19">
        <v>3</v>
      </c>
      <c r="B61" s="21">
        <v>1.8260000000000001</v>
      </c>
      <c r="C61" s="4">
        <v>3.2909999999999999</v>
      </c>
      <c r="D61" s="4">
        <v>7.2140000000000004</v>
      </c>
      <c r="E61" s="4">
        <v>3.9609999999999999</v>
      </c>
      <c r="G61" s="19">
        <v>3</v>
      </c>
      <c r="H61" s="36">
        <v>0.53100000000000003</v>
      </c>
      <c r="I61" s="34">
        <v>0.77200000000000002</v>
      </c>
      <c r="J61" s="4">
        <v>1.327</v>
      </c>
      <c r="K61" s="7">
        <v>2.85</v>
      </c>
    </row>
    <row r="62" spans="1:11">
      <c r="A62" s="19">
        <v>3</v>
      </c>
      <c r="B62" s="21">
        <v>1.8260000000000001</v>
      </c>
      <c r="C62" s="4">
        <v>3.246</v>
      </c>
      <c r="D62" s="23">
        <v>7.21</v>
      </c>
      <c r="E62" s="4">
        <v>4.0419999999999998</v>
      </c>
      <c r="G62" s="19">
        <v>3</v>
      </c>
      <c r="H62" s="36">
        <v>0.54</v>
      </c>
      <c r="I62" s="34">
        <v>0.872</v>
      </c>
      <c r="J62" s="4">
        <v>1.167</v>
      </c>
      <c r="K62" s="7">
        <v>2.8660000000000001</v>
      </c>
    </row>
    <row r="63" spans="1:11">
      <c r="A63" s="19" t="s">
        <v>19</v>
      </c>
      <c r="B63" s="55">
        <v>0</v>
      </c>
      <c r="C63" s="36">
        <v>0</v>
      </c>
      <c r="D63" s="36">
        <v>0</v>
      </c>
      <c r="E63" s="34">
        <v>0</v>
      </c>
      <c r="G63" s="19" t="s">
        <v>19</v>
      </c>
      <c r="H63" s="36">
        <v>0</v>
      </c>
      <c r="I63" s="34">
        <v>0</v>
      </c>
      <c r="J63" s="34">
        <v>0</v>
      </c>
      <c r="K63" s="36">
        <v>0</v>
      </c>
    </row>
    <row r="64" spans="1:11">
      <c r="A64" s="19">
        <v>4</v>
      </c>
      <c r="B64" s="21">
        <v>1.9670000000000001</v>
      </c>
      <c r="C64" s="4">
        <v>3.2360000000000002</v>
      </c>
      <c r="D64" s="7">
        <v>11.784000000000001</v>
      </c>
      <c r="E64" s="4">
        <v>4.593</v>
      </c>
      <c r="G64" s="19">
        <v>4</v>
      </c>
      <c r="H64" s="36">
        <v>0.60299999999999998</v>
      </c>
      <c r="I64" s="34">
        <v>0.79900000000000004</v>
      </c>
      <c r="J64" s="4">
        <v>5.3010000000000002</v>
      </c>
      <c r="K64" s="7">
        <v>3.6379999999999999</v>
      </c>
    </row>
    <row r="65" spans="1:11">
      <c r="A65" s="19">
        <v>4</v>
      </c>
      <c r="B65" s="21">
        <v>1.925</v>
      </c>
      <c r="C65" s="4">
        <v>3.278</v>
      </c>
      <c r="D65" s="7">
        <v>11.936999999999999</v>
      </c>
      <c r="E65" s="4">
        <v>4.5599999999999996</v>
      </c>
      <c r="G65" s="19">
        <v>4</v>
      </c>
      <c r="H65" s="36">
        <v>0.61399999999999999</v>
      </c>
      <c r="I65" s="34">
        <v>0.84199999999999997</v>
      </c>
      <c r="J65" s="4">
        <v>5.4569999999999999</v>
      </c>
      <c r="K65" s="7">
        <v>3.4769999999999999</v>
      </c>
    </row>
    <row r="66" spans="1:11">
      <c r="A66" s="19">
        <v>4</v>
      </c>
      <c r="B66" s="21">
        <v>1.9219999999999999</v>
      </c>
      <c r="C66" s="4">
        <v>3.26</v>
      </c>
      <c r="D66" s="7">
        <v>11.651</v>
      </c>
      <c r="E66" s="4">
        <v>4.5119999999999996</v>
      </c>
      <c r="G66" s="19">
        <v>4</v>
      </c>
      <c r="H66" s="36">
        <v>0.59399999999999997</v>
      </c>
      <c r="I66" s="34">
        <v>0.83599999999999997</v>
      </c>
      <c r="J66" s="4">
        <v>5.5170000000000003</v>
      </c>
      <c r="K66" s="7">
        <v>3.6349999999999998</v>
      </c>
    </row>
    <row r="67" spans="1:11">
      <c r="A67" s="19" t="s">
        <v>19</v>
      </c>
      <c r="B67" s="55">
        <v>0</v>
      </c>
      <c r="C67" s="36">
        <v>0</v>
      </c>
      <c r="D67" s="34">
        <v>0</v>
      </c>
      <c r="E67" s="34">
        <v>0</v>
      </c>
      <c r="G67" s="19" t="s">
        <v>19</v>
      </c>
      <c r="H67" s="36">
        <v>0</v>
      </c>
      <c r="I67" s="57">
        <v>0</v>
      </c>
      <c r="J67" s="34">
        <v>0</v>
      </c>
      <c r="K67" s="36">
        <v>0</v>
      </c>
    </row>
    <row r="68" spans="1:11">
      <c r="A68" s="19">
        <v>5</v>
      </c>
      <c r="B68" s="21">
        <v>4.0990000000000002</v>
      </c>
      <c r="C68" s="4">
        <v>2.7949999999999999</v>
      </c>
      <c r="D68" s="4">
        <v>11.731</v>
      </c>
      <c r="E68" s="4">
        <v>4.7489999999999997</v>
      </c>
      <c r="G68" s="19">
        <v>5</v>
      </c>
      <c r="H68" s="36">
        <v>0.437</v>
      </c>
      <c r="I68" s="57">
        <v>0</v>
      </c>
      <c r="J68" s="4">
        <v>3.8479999999999999</v>
      </c>
      <c r="K68" s="7">
        <v>3.48</v>
      </c>
    </row>
    <row r="69" spans="1:11">
      <c r="A69" s="19">
        <v>5</v>
      </c>
      <c r="B69" s="21">
        <v>4.0209999999999999</v>
      </c>
      <c r="C69" s="4">
        <v>2.7890000000000001</v>
      </c>
      <c r="D69" s="4">
        <v>11.734999999999999</v>
      </c>
      <c r="E69" s="4">
        <v>4.8339999999999996</v>
      </c>
      <c r="G69" s="19">
        <v>5</v>
      </c>
      <c r="H69" s="36">
        <v>0</v>
      </c>
      <c r="I69" s="57">
        <v>0</v>
      </c>
      <c r="J69" s="4">
        <v>3.819</v>
      </c>
      <c r="K69" s="7">
        <v>3.3250000000000002</v>
      </c>
    </row>
    <row r="70" spans="1:11">
      <c r="A70" s="19">
        <v>5</v>
      </c>
      <c r="B70" s="21">
        <v>4.1239999999999997</v>
      </c>
      <c r="C70" s="4">
        <v>2.76</v>
      </c>
      <c r="D70" s="4">
        <v>11.706</v>
      </c>
      <c r="E70" s="4">
        <v>4.7679999999999998</v>
      </c>
      <c r="G70" s="19">
        <v>5</v>
      </c>
      <c r="H70" s="36">
        <v>0</v>
      </c>
      <c r="I70" s="57">
        <v>0</v>
      </c>
      <c r="J70" s="4">
        <v>3.871</v>
      </c>
      <c r="K70" s="7">
        <v>3.3010000000000002</v>
      </c>
    </row>
    <row r="71" spans="1:11">
      <c r="A71" s="19" t="s">
        <v>19</v>
      </c>
      <c r="B71" s="55">
        <v>0</v>
      </c>
      <c r="C71" s="36">
        <v>0</v>
      </c>
      <c r="D71" s="34">
        <v>0</v>
      </c>
      <c r="E71" s="34">
        <v>0</v>
      </c>
      <c r="G71" s="19" t="s">
        <v>19</v>
      </c>
      <c r="H71" s="36">
        <v>0</v>
      </c>
      <c r="I71" s="57">
        <v>0</v>
      </c>
      <c r="J71" s="34">
        <v>0</v>
      </c>
      <c r="K71" s="36">
        <v>0</v>
      </c>
    </row>
    <row r="72" spans="1:11">
      <c r="A72" s="19">
        <v>6</v>
      </c>
      <c r="B72" s="21">
        <v>4.3259999999999996</v>
      </c>
      <c r="C72" s="4">
        <v>2.4529999999999998</v>
      </c>
      <c r="D72" s="4">
        <v>13.808999999999999</v>
      </c>
      <c r="E72" s="4">
        <v>3.3460000000000001</v>
      </c>
      <c r="G72" s="19">
        <v>6</v>
      </c>
      <c r="H72" s="36">
        <v>0</v>
      </c>
      <c r="I72" s="57">
        <v>0</v>
      </c>
      <c r="J72" s="4">
        <v>5.9390000000000001</v>
      </c>
      <c r="K72" s="36">
        <v>0.83</v>
      </c>
    </row>
    <row r="73" spans="1:11">
      <c r="A73" s="19">
        <v>6</v>
      </c>
      <c r="B73" s="21">
        <v>4.1379999999999999</v>
      </c>
      <c r="C73" s="4">
        <v>2.4380000000000002</v>
      </c>
      <c r="D73" s="4">
        <v>13.702</v>
      </c>
      <c r="E73" s="4">
        <v>3.3370000000000002</v>
      </c>
      <c r="G73" s="19">
        <v>6</v>
      </c>
      <c r="H73" s="36">
        <v>0</v>
      </c>
      <c r="I73" s="57">
        <v>0</v>
      </c>
      <c r="J73" s="4">
        <v>6.2050000000000001</v>
      </c>
      <c r="K73" s="36">
        <v>0.76300000000000001</v>
      </c>
    </row>
    <row r="74" spans="1:11">
      <c r="A74" s="19">
        <v>6</v>
      </c>
      <c r="B74" s="21">
        <v>4.1479999999999997</v>
      </c>
      <c r="C74" s="4">
        <v>2.4359999999999999</v>
      </c>
      <c r="D74" s="4">
        <v>13.324999999999999</v>
      </c>
      <c r="E74" s="4">
        <v>3.3559999999999999</v>
      </c>
      <c r="G74" s="19">
        <v>6</v>
      </c>
      <c r="H74" s="36">
        <v>0</v>
      </c>
      <c r="I74" s="57">
        <v>0</v>
      </c>
      <c r="J74" s="4">
        <v>6.0529999999999999</v>
      </c>
      <c r="K74" s="36">
        <v>0.82599999999999996</v>
      </c>
    </row>
    <row r="75" spans="1:11">
      <c r="A75" s="19" t="s">
        <v>19</v>
      </c>
      <c r="B75" s="55">
        <v>0</v>
      </c>
      <c r="C75" s="36">
        <v>0</v>
      </c>
      <c r="D75" s="34">
        <v>0</v>
      </c>
      <c r="E75" s="34">
        <v>0</v>
      </c>
      <c r="G75" s="19" t="s">
        <v>19</v>
      </c>
      <c r="H75" s="36">
        <v>0</v>
      </c>
      <c r="I75" s="57">
        <v>0</v>
      </c>
      <c r="J75" s="34">
        <v>0</v>
      </c>
      <c r="K75" s="36">
        <v>0</v>
      </c>
    </row>
    <row r="76" spans="1:11">
      <c r="A76" s="19">
        <v>7</v>
      </c>
      <c r="B76" s="21">
        <v>10.727</v>
      </c>
      <c r="C76" s="4">
        <v>2.4470000000000001</v>
      </c>
      <c r="D76" s="4">
        <v>11.502000000000001</v>
      </c>
      <c r="E76" s="4">
        <v>3.327</v>
      </c>
      <c r="G76" s="19">
        <v>7</v>
      </c>
      <c r="H76" s="36">
        <v>0</v>
      </c>
      <c r="I76" s="57">
        <v>0</v>
      </c>
      <c r="J76" s="4">
        <v>4.9770000000000003</v>
      </c>
      <c r="K76" s="36">
        <v>0.91500000000000004</v>
      </c>
    </row>
    <row r="77" spans="1:11">
      <c r="A77" s="19">
        <v>7</v>
      </c>
      <c r="B77" s="21">
        <v>10.576000000000001</v>
      </c>
      <c r="C77" s="4">
        <v>2.456</v>
      </c>
      <c r="D77" s="4">
        <v>11.46</v>
      </c>
      <c r="E77" s="4">
        <v>3.3119999999999998</v>
      </c>
      <c r="G77" s="19">
        <v>7</v>
      </c>
      <c r="H77" s="36">
        <v>0</v>
      </c>
      <c r="I77" s="57">
        <v>0</v>
      </c>
      <c r="J77" s="4">
        <v>5.2770000000000001</v>
      </c>
      <c r="K77" s="36">
        <v>0.89200000000000002</v>
      </c>
    </row>
    <row r="78" spans="1:11">
      <c r="A78" s="19">
        <v>7</v>
      </c>
      <c r="B78" s="21">
        <v>10.516999999999999</v>
      </c>
      <c r="C78" s="4">
        <v>2.46</v>
      </c>
      <c r="D78" s="4">
        <v>11.471</v>
      </c>
      <c r="E78" s="4">
        <v>3.31</v>
      </c>
      <c r="G78" s="19">
        <v>7</v>
      </c>
      <c r="H78" s="36">
        <v>0</v>
      </c>
      <c r="I78" s="57">
        <v>0</v>
      </c>
      <c r="J78" s="4">
        <v>5.2279999999999998</v>
      </c>
      <c r="K78" s="36">
        <v>0.92100000000000004</v>
      </c>
    </row>
    <row r="79" spans="1:11">
      <c r="A79" s="19" t="s">
        <v>19</v>
      </c>
      <c r="B79" s="55">
        <v>0</v>
      </c>
      <c r="C79" s="36">
        <v>0</v>
      </c>
      <c r="D79" s="34">
        <v>0</v>
      </c>
      <c r="E79" s="34">
        <v>0</v>
      </c>
      <c r="G79" s="19" t="s">
        <v>19</v>
      </c>
      <c r="H79" s="36">
        <v>0</v>
      </c>
      <c r="I79" s="57">
        <v>0</v>
      </c>
      <c r="J79" s="34">
        <v>0</v>
      </c>
      <c r="K79" s="36">
        <v>0</v>
      </c>
    </row>
    <row r="80" spans="1:11">
      <c r="A80" s="19">
        <v>8</v>
      </c>
      <c r="B80" s="21">
        <v>4.7590000000000003</v>
      </c>
      <c r="C80" s="4">
        <v>4.9539999999999997</v>
      </c>
      <c r="D80" s="4">
        <v>11.112</v>
      </c>
      <c r="E80" s="33"/>
      <c r="G80" s="19">
        <v>8</v>
      </c>
      <c r="H80" s="36">
        <v>0</v>
      </c>
      <c r="I80" s="4">
        <v>19.132999999999999</v>
      </c>
      <c r="J80" s="4">
        <v>3.88</v>
      </c>
      <c r="K80" s="43"/>
    </row>
    <row r="81" spans="1:11">
      <c r="A81" s="19">
        <v>8</v>
      </c>
      <c r="B81" s="21">
        <v>4.8730000000000002</v>
      </c>
      <c r="C81" s="4">
        <v>5.0309999999999997</v>
      </c>
      <c r="D81" s="4">
        <v>11.035</v>
      </c>
      <c r="E81" s="33"/>
      <c r="G81" s="19">
        <v>8</v>
      </c>
      <c r="H81" s="36">
        <v>0</v>
      </c>
      <c r="I81" s="4">
        <v>19.04</v>
      </c>
      <c r="J81" s="4">
        <v>3.83</v>
      </c>
      <c r="K81" s="43"/>
    </row>
    <row r="82" spans="1:11">
      <c r="A82" s="19">
        <v>8</v>
      </c>
      <c r="B82" s="21">
        <v>4.7720000000000002</v>
      </c>
      <c r="C82" s="4">
        <v>5.0880000000000001</v>
      </c>
      <c r="D82" s="4">
        <v>11.036</v>
      </c>
      <c r="E82" s="33"/>
      <c r="G82" s="19">
        <v>8</v>
      </c>
      <c r="H82" s="36">
        <v>0</v>
      </c>
      <c r="I82" s="4">
        <v>19.068999999999999</v>
      </c>
      <c r="J82" s="4">
        <v>3.82</v>
      </c>
      <c r="K82" s="43"/>
    </row>
    <row r="83" spans="1:11">
      <c r="A83" s="19" t="s">
        <v>19</v>
      </c>
      <c r="B83" s="21">
        <v>1.1779999999999999</v>
      </c>
      <c r="C83" s="36">
        <v>0</v>
      </c>
      <c r="D83" s="34">
        <v>0</v>
      </c>
      <c r="E83" s="34">
        <v>0</v>
      </c>
      <c r="G83" s="19" t="s">
        <v>19</v>
      </c>
      <c r="H83" s="36">
        <v>0</v>
      </c>
      <c r="I83" s="34">
        <v>0</v>
      </c>
      <c r="J83" s="34">
        <v>0</v>
      </c>
      <c r="K83" s="36">
        <v>0</v>
      </c>
    </row>
    <row r="84" spans="1:11">
      <c r="A84" s="19">
        <v>12</v>
      </c>
      <c r="B84" s="21">
        <v>6.4560000000000004</v>
      </c>
      <c r="C84" s="4">
        <v>3.2789999999999999</v>
      </c>
      <c r="D84" s="4">
        <v>5.851</v>
      </c>
      <c r="E84" s="4">
        <v>3.9380000000000002</v>
      </c>
      <c r="G84" s="19">
        <v>12</v>
      </c>
      <c r="H84" s="36">
        <v>0</v>
      </c>
      <c r="I84" s="4">
        <v>6.016</v>
      </c>
      <c r="J84" s="4">
        <v>1.468</v>
      </c>
      <c r="K84" s="7">
        <v>2.1179999999999999</v>
      </c>
    </row>
    <row r="85" spans="1:11">
      <c r="A85" s="19">
        <v>12</v>
      </c>
      <c r="B85" s="21">
        <v>6.3840000000000003</v>
      </c>
      <c r="C85" s="4">
        <v>3.3</v>
      </c>
      <c r="D85" s="4">
        <v>5.843</v>
      </c>
      <c r="E85" s="4">
        <v>3.8919999999999999</v>
      </c>
      <c r="G85" s="19">
        <v>12</v>
      </c>
      <c r="H85" s="36">
        <v>0</v>
      </c>
      <c r="I85" s="4">
        <v>5.9930000000000003</v>
      </c>
      <c r="J85" s="4">
        <v>1.421</v>
      </c>
      <c r="K85" s="7">
        <v>2.0659999999999998</v>
      </c>
    </row>
    <row r="86" spans="1:11">
      <c r="A86" s="19">
        <v>12</v>
      </c>
      <c r="B86" s="21">
        <v>8.5210000000000008</v>
      </c>
      <c r="C86" s="4">
        <v>3.2970000000000002</v>
      </c>
      <c r="D86" s="4">
        <v>5.8739999999999997</v>
      </c>
      <c r="E86" s="4">
        <v>3.891</v>
      </c>
      <c r="G86" s="19">
        <v>12</v>
      </c>
      <c r="H86" s="36">
        <v>0</v>
      </c>
      <c r="I86" s="38">
        <v>5.7160000000000002</v>
      </c>
      <c r="J86" s="4">
        <v>1.58</v>
      </c>
      <c r="K86" s="7">
        <v>2.1379999999999999</v>
      </c>
    </row>
    <row r="87" spans="1:11">
      <c r="A87" s="19" t="s">
        <v>19</v>
      </c>
      <c r="B87" s="21">
        <v>1.194</v>
      </c>
      <c r="C87" s="36">
        <v>0</v>
      </c>
      <c r="D87" s="34">
        <v>0</v>
      </c>
      <c r="E87" s="34">
        <v>0</v>
      </c>
      <c r="G87" s="19" t="s">
        <v>19</v>
      </c>
      <c r="H87" s="36">
        <v>0</v>
      </c>
      <c r="I87" s="34">
        <v>0</v>
      </c>
      <c r="J87" s="34">
        <v>0</v>
      </c>
      <c r="K87" s="36">
        <v>0</v>
      </c>
    </row>
    <row r="88" spans="1:11">
      <c r="A88" s="19">
        <v>18</v>
      </c>
      <c r="B88" s="21">
        <v>15.06</v>
      </c>
      <c r="C88" s="4">
        <v>3.669</v>
      </c>
      <c r="D88" s="4">
        <v>6.0679999999999996</v>
      </c>
      <c r="E88" s="33"/>
      <c r="G88" s="19">
        <v>18</v>
      </c>
      <c r="H88" s="36">
        <v>0</v>
      </c>
      <c r="I88" s="34">
        <v>0.67500000000000004</v>
      </c>
      <c r="J88" s="4">
        <v>1.4450000000000001</v>
      </c>
      <c r="K88" s="43"/>
    </row>
    <row r="89" spans="1:11">
      <c r="A89" s="19">
        <v>18</v>
      </c>
      <c r="B89" s="21">
        <v>14.907999999999999</v>
      </c>
      <c r="C89" s="4">
        <v>3.6949999999999998</v>
      </c>
      <c r="D89" s="4">
        <v>6.0789999999999997</v>
      </c>
      <c r="E89" s="33"/>
      <c r="G89" s="19">
        <v>18</v>
      </c>
      <c r="H89" s="36">
        <v>0</v>
      </c>
      <c r="I89" s="34">
        <v>0.73899999999999999</v>
      </c>
      <c r="J89" s="4">
        <v>1.466</v>
      </c>
      <c r="K89" s="43"/>
    </row>
    <row r="90" spans="1:11">
      <c r="A90" s="19">
        <v>18</v>
      </c>
      <c r="B90" s="21">
        <v>14.773999999999999</v>
      </c>
      <c r="C90" s="4">
        <v>3.673</v>
      </c>
      <c r="D90" s="4">
        <v>6.048</v>
      </c>
      <c r="E90" s="33"/>
      <c r="G90" s="19">
        <v>18</v>
      </c>
      <c r="H90" s="36">
        <v>0</v>
      </c>
      <c r="I90" s="34">
        <v>0.61499999999999999</v>
      </c>
      <c r="J90" s="4">
        <v>1.3280000000000001</v>
      </c>
      <c r="K90" s="43"/>
    </row>
    <row r="91" spans="1:11">
      <c r="A91" s="19" t="s">
        <v>19</v>
      </c>
      <c r="B91" s="21">
        <v>1.202</v>
      </c>
      <c r="C91" s="36">
        <v>0</v>
      </c>
      <c r="D91" s="34">
        <v>0</v>
      </c>
      <c r="E91" s="34">
        <v>0</v>
      </c>
      <c r="G91" s="19" t="s">
        <v>19</v>
      </c>
      <c r="H91" s="36">
        <v>0</v>
      </c>
      <c r="I91" s="34">
        <v>0</v>
      </c>
      <c r="J91" s="34">
        <v>0</v>
      </c>
      <c r="K91" s="36">
        <v>0</v>
      </c>
    </row>
    <row r="92" spans="1:11">
      <c r="A92" s="19">
        <v>24</v>
      </c>
      <c r="B92" s="21">
        <v>13.77</v>
      </c>
      <c r="C92" s="4">
        <v>3.528</v>
      </c>
      <c r="D92" s="4">
        <v>5.5890000000000004</v>
      </c>
      <c r="E92" s="4">
        <v>23.95</v>
      </c>
      <c r="G92" s="19">
        <v>24</v>
      </c>
      <c r="H92" s="36">
        <v>0</v>
      </c>
      <c r="I92" s="34">
        <v>0.88600000000000001</v>
      </c>
      <c r="J92" s="36">
        <v>0</v>
      </c>
      <c r="K92" s="7">
        <v>23.285</v>
      </c>
    </row>
    <row r="93" spans="1:11">
      <c r="A93" s="19">
        <v>24</v>
      </c>
      <c r="B93" s="21">
        <v>11.287000000000001</v>
      </c>
      <c r="C93" s="4">
        <v>3.5510000000000002</v>
      </c>
      <c r="D93" s="4">
        <v>5.6040000000000001</v>
      </c>
      <c r="E93" s="4">
        <v>24.364000000000001</v>
      </c>
      <c r="G93" s="19">
        <v>24</v>
      </c>
      <c r="H93" s="36">
        <v>0</v>
      </c>
      <c r="I93" s="34">
        <v>0.88600000000000001</v>
      </c>
      <c r="J93" s="36">
        <v>0</v>
      </c>
      <c r="K93" s="7">
        <v>23.045000000000002</v>
      </c>
    </row>
    <row r="94" spans="1:11">
      <c r="A94" s="19">
        <v>24</v>
      </c>
      <c r="B94" s="21">
        <v>11.933</v>
      </c>
      <c r="C94" s="4">
        <v>3.532</v>
      </c>
      <c r="D94" s="4">
        <v>5.6159999999999997</v>
      </c>
      <c r="E94" s="4">
        <v>24.018999999999998</v>
      </c>
      <c r="G94" s="19">
        <v>24</v>
      </c>
      <c r="H94" s="36">
        <v>0</v>
      </c>
      <c r="I94" s="34">
        <v>0.89700000000000002</v>
      </c>
      <c r="J94" s="36">
        <v>0</v>
      </c>
      <c r="K94" s="7">
        <v>23.248999999999999</v>
      </c>
    </row>
    <row r="95" spans="1:11">
      <c r="A95" s="19" t="s">
        <v>19</v>
      </c>
      <c r="B95" s="55">
        <v>0</v>
      </c>
      <c r="C95" s="36">
        <v>0</v>
      </c>
      <c r="D95" s="34">
        <v>0</v>
      </c>
      <c r="E95" s="34">
        <v>0</v>
      </c>
      <c r="G95" s="19" t="s">
        <v>19</v>
      </c>
      <c r="H95" s="36">
        <v>0</v>
      </c>
      <c r="I95" s="34">
        <v>0</v>
      </c>
      <c r="J95" s="36">
        <v>0</v>
      </c>
      <c r="K95" s="36">
        <v>0</v>
      </c>
    </row>
    <row r="96" spans="1:11">
      <c r="A96" s="19">
        <v>48</v>
      </c>
      <c r="B96" s="21">
        <v>2.8090000000000002</v>
      </c>
      <c r="C96" s="59"/>
      <c r="D96" s="43"/>
      <c r="E96" s="4">
        <v>12.625</v>
      </c>
      <c r="G96" s="19">
        <v>48</v>
      </c>
      <c r="H96" s="36">
        <v>0</v>
      </c>
      <c r="I96" s="60"/>
      <c r="J96" s="43"/>
      <c r="K96" s="7">
        <v>9.5790000000000006</v>
      </c>
    </row>
    <row r="97" spans="1:11">
      <c r="A97" s="19">
        <v>48</v>
      </c>
      <c r="B97" s="21">
        <v>2.7930000000000001</v>
      </c>
      <c r="C97" s="59"/>
      <c r="D97" s="43"/>
      <c r="E97" s="4">
        <v>12.361000000000001</v>
      </c>
      <c r="G97" s="19">
        <v>48</v>
      </c>
      <c r="H97" s="36">
        <v>0</v>
      </c>
      <c r="I97" s="60"/>
      <c r="J97" s="43"/>
      <c r="K97" s="7">
        <v>9.6890000000000001</v>
      </c>
    </row>
    <row r="98" spans="1:11">
      <c r="A98" s="19">
        <v>48</v>
      </c>
      <c r="B98" s="21">
        <v>2.8119999999999998</v>
      </c>
      <c r="C98" s="59"/>
      <c r="D98" s="43"/>
      <c r="E98" s="4">
        <v>12.263999999999999</v>
      </c>
      <c r="G98" s="19">
        <v>48</v>
      </c>
      <c r="H98" s="36">
        <v>0</v>
      </c>
      <c r="I98" s="60"/>
      <c r="J98" s="43"/>
      <c r="K98" s="7">
        <v>9.4749999999999996</v>
      </c>
    </row>
    <row r="99" spans="1:11">
      <c r="A99" s="19" t="s">
        <v>19</v>
      </c>
      <c r="B99" s="55">
        <v>0</v>
      </c>
      <c r="C99" s="33"/>
      <c r="D99" s="43"/>
      <c r="E99" s="34">
        <v>0</v>
      </c>
      <c r="G99" s="19" t="s">
        <v>19</v>
      </c>
      <c r="H99" s="36">
        <v>0</v>
      </c>
      <c r="I99" s="43"/>
      <c r="J99" s="43"/>
      <c r="K99" s="36">
        <v>0</v>
      </c>
    </row>
    <row r="100" spans="1:11">
      <c r="A100" s="19" t="s">
        <v>6</v>
      </c>
      <c r="B100" s="21">
        <v>4.4429999999999996</v>
      </c>
      <c r="C100" s="4">
        <v>18.626999999999999</v>
      </c>
      <c r="D100" s="43"/>
      <c r="E100" s="4">
        <v>3.7810000000000001</v>
      </c>
      <c r="G100" s="19" t="s">
        <v>6</v>
      </c>
      <c r="H100" s="36">
        <v>0</v>
      </c>
      <c r="I100" s="4">
        <v>11.052</v>
      </c>
      <c r="J100" s="43"/>
      <c r="K100" s="7">
        <v>2.23</v>
      </c>
    </row>
    <row r="101" spans="1:11">
      <c r="A101" s="19" t="s">
        <v>6</v>
      </c>
      <c r="B101" s="21">
        <v>4.3159999999999998</v>
      </c>
      <c r="C101" s="4">
        <v>19.274999999999999</v>
      </c>
      <c r="D101" s="43"/>
      <c r="E101" s="4">
        <v>3.83</v>
      </c>
      <c r="G101" s="19" t="s">
        <v>6</v>
      </c>
      <c r="H101" s="36">
        <v>0</v>
      </c>
      <c r="I101" s="4">
        <v>11.042999999999999</v>
      </c>
      <c r="J101" s="43"/>
      <c r="K101" s="7">
        <v>2.0950000000000002</v>
      </c>
    </row>
    <row r="102" spans="1:11">
      <c r="A102" s="19" t="s">
        <v>6</v>
      </c>
      <c r="B102" s="21">
        <v>4.3330000000000002</v>
      </c>
      <c r="C102" s="4">
        <v>18.914000000000001</v>
      </c>
      <c r="D102" s="43"/>
      <c r="E102" s="4">
        <v>3.7810000000000001</v>
      </c>
      <c r="G102" s="19" t="s">
        <v>6</v>
      </c>
      <c r="H102" s="36">
        <v>0</v>
      </c>
      <c r="I102" s="4">
        <v>10.865</v>
      </c>
      <c r="J102" s="43"/>
      <c r="K102" s="7">
        <v>2.17</v>
      </c>
    </row>
    <row r="103" spans="1:11">
      <c r="A103" s="19" t="s">
        <v>19</v>
      </c>
      <c r="B103" s="55">
        <v>0</v>
      </c>
      <c r="C103" s="34">
        <v>0</v>
      </c>
      <c r="D103" s="43"/>
      <c r="E103" s="34">
        <v>0</v>
      </c>
      <c r="G103" s="19" t="s">
        <v>19</v>
      </c>
      <c r="H103" s="36">
        <v>0</v>
      </c>
      <c r="I103" s="34">
        <v>0</v>
      </c>
      <c r="J103" s="43"/>
      <c r="K103" s="36">
        <v>0</v>
      </c>
    </row>
    <row r="104" spans="1:11">
      <c r="A104" s="19" t="s">
        <v>7</v>
      </c>
      <c r="B104" s="21">
        <v>3.6419999999999999</v>
      </c>
      <c r="C104" s="4">
        <v>16.224</v>
      </c>
      <c r="D104" s="43"/>
      <c r="E104" s="4">
        <v>7.6719999999999997</v>
      </c>
      <c r="G104" s="19" t="s">
        <v>7</v>
      </c>
      <c r="H104" s="36">
        <v>0.745</v>
      </c>
      <c r="I104" s="4">
        <v>10.509</v>
      </c>
      <c r="J104" s="43"/>
      <c r="K104" s="7">
        <v>7.4240000000000004</v>
      </c>
    </row>
    <row r="105" spans="1:11">
      <c r="A105" s="19" t="s">
        <v>7</v>
      </c>
      <c r="B105" s="21">
        <v>3.64</v>
      </c>
      <c r="C105" s="4">
        <v>15.89</v>
      </c>
      <c r="D105" s="43"/>
      <c r="E105" s="4">
        <v>7.6909999999999998</v>
      </c>
      <c r="G105" s="19" t="s">
        <v>7</v>
      </c>
      <c r="H105" s="36">
        <v>0.754</v>
      </c>
      <c r="I105" s="4">
        <v>10.571</v>
      </c>
      <c r="J105" s="43"/>
      <c r="K105" s="7">
        <v>7.5090000000000003</v>
      </c>
    </row>
    <row r="106" spans="1:11">
      <c r="A106" s="19" t="s">
        <v>7</v>
      </c>
      <c r="B106" s="21">
        <v>3.62</v>
      </c>
      <c r="C106" s="4">
        <v>16.007999999999999</v>
      </c>
      <c r="D106" s="43"/>
      <c r="E106" s="4">
        <v>7.75</v>
      </c>
      <c r="G106" s="19" t="s">
        <v>7</v>
      </c>
      <c r="H106" s="36">
        <v>0.68500000000000005</v>
      </c>
      <c r="I106" s="4">
        <v>10.483000000000001</v>
      </c>
      <c r="J106" s="43"/>
      <c r="K106" s="7">
        <v>7.6890000000000001</v>
      </c>
    </row>
    <row r="107" spans="1:11">
      <c r="A107" s="19" t="s">
        <v>19</v>
      </c>
      <c r="B107" s="55">
        <v>0</v>
      </c>
      <c r="C107" s="34">
        <v>0</v>
      </c>
      <c r="D107" s="43"/>
      <c r="E107" s="34">
        <v>0</v>
      </c>
      <c r="G107" s="19" t="s">
        <v>19</v>
      </c>
      <c r="H107" s="36">
        <v>0</v>
      </c>
      <c r="I107" s="34">
        <v>0</v>
      </c>
      <c r="J107" s="43"/>
      <c r="K107" s="36">
        <v>0</v>
      </c>
    </row>
    <row r="108" spans="1:11">
      <c r="A108" s="19" t="s">
        <v>8</v>
      </c>
      <c r="B108" s="21">
        <v>1.454</v>
      </c>
      <c r="C108" s="4">
        <v>16.295000000000002</v>
      </c>
      <c r="D108" s="43"/>
      <c r="E108" s="33"/>
      <c r="G108" s="19" t="s">
        <v>8</v>
      </c>
      <c r="H108" s="36">
        <v>0.33800000000000002</v>
      </c>
      <c r="I108" s="4">
        <v>9.2799999999999994</v>
      </c>
      <c r="J108" s="43"/>
      <c r="K108" s="43"/>
    </row>
    <row r="109" spans="1:11">
      <c r="A109" s="19" t="s">
        <v>8</v>
      </c>
      <c r="B109" s="21">
        <v>1.448</v>
      </c>
      <c r="C109" s="4">
        <v>16.251999999999999</v>
      </c>
      <c r="D109" s="43"/>
      <c r="E109" s="33"/>
      <c r="G109" s="19" t="s">
        <v>8</v>
      </c>
      <c r="H109" s="36">
        <v>0.30299999999999999</v>
      </c>
      <c r="I109" s="4">
        <v>8.843</v>
      </c>
      <c r="J109" s="43"/>
      <c r="K109" s="43"/>
    </row>
    <row r="110" spans="1:11">
      <c r="A110" s="19" t="s">
        <v>8</v>
      </c>
      <c r="B110" s="21">
        <v>1.456</v>
      </c>
      <c r="C110" s="4">
        <v>16.087</v>
      </c>
      <c r="D110" s="43"/>
      <c r="E110" s="33"/>
      <c r="G110" s="19" t="s">
        <v>8</v>
      </c>
      <c r="H110" s="36">
        <v>0.314</v>
      </c>
      <c r="I110" s="4">
        <v>8.4</v>
      </c>
      <c r="J110" s="43"/>
      <c r="K110" s="43"/>
    </row>
    <row r="111" spans="1:11">
      <c r="A111" s="19" t="s">
        <v>19</v>
      </c>
      <c r="B111" s="55">
        <v>0</v>
      </c>
      <c r="C111" s="34">
        <v>0</v>
      </c>
      <c r="D111" s="43"/>
      <c r="E111" s="33"/>
      <c r="G111" s="19" t="s">
        <v>19</v>
      </c>
      <c r="H111" s="36">
        <v>0</v>
      </c>
      <c r="I111" s="34">
        <v>0</v>
      </c>
      <c r="J111" s="43"/>
      <c r="K111" s="43"/>
    </row>
    <row r="112" spans="1:11">
      <c r="A112" s="19" t="s">
        <v>9</v>
      </c>
      <c r="B112" s="21">
        <v>2.4500000000000002</v>
      </c>
      <c r="C112" s="4">
        <v>15.316000000000001</v>
      </c>
      <c r="D112" s="43"/>
      <c r="E112" s="33"/>
      <c r="G112" s="19" t="s">
        <v>9</v>
      </c>
      <c r="H112" s="36">
        <v>0.42099999999999999</v>
      </c>
      <c r="I112" s="4">
        <v>3.1190000000000002</v>
      </c>
      <c r="J112" s="43"/>
      <c r="K112" s="43"/>
    </row>
    <row r="113" spans="1:11">
      <c r="A113" s="19" t="s">
        <v>9</v>
      </c>
      <c r="B113" s="21">
        <v>2.423</v>
      </c>
      <c r="C113" s="4">
        <v>15.108000000000001</v>
      </c>
      <c r="D113" s="43"/>
      <c r="E113" s="33"/>
      <c r="G113" s="19" t="s">
        <v>9</v>
      </c>
      <c r="H113" s="36">
        <v>0</v>
      </c>
      <c r="I113" s="4">
        <v>3.2629999999999999</v>
      </c>
      <c r="J113" s="43"/>
      <c r="K113" s="43"/>
    </row>
    <row r="114" spans="1:11">
      <c r="A114" s="19" t="s">
        <v>9</v>
      </c>
      <c r="B114" s="21">
        <v>2.403</v>
      </c>
      <c r="C114" s="4">
        <v>14.968999999999999</v>
      </c>
      <c r="D114" s="43"/>
      <c r="E114" s="33"/>
      <c r="G114" s="19" t="s">
        <v>9</v>
      </c>
      <c r="H114" s="36">
        <v>0</v>
      </c>
      <c r="I114" s="4">
        <v>3.137</v>
      </c>
      <c r="J114" s="43"/>
      <c r="K114" s="43"/>
    </row>
    <row r="115" spans="1:11">
      <c r="A115" s="19" t="s">
        <v>19</v>
      </c>
      <c r="B115" s="55">
        <v>0</v>
      </c>
      <c r="C115" s="34">
        <v>0</v>
      </c>
      <c r="D115" s="43"/>
      <c r="E115" s="33"/>
      <c r="G115" s="19" t="s">
        <v>19</v>
      </c>
      <c r="H115" s="36">
        <v>0</v>
      </c>
      <c r="I115" s="34">
        <v>0</v>
      </c>
      <c r="J115" s="43"/>
      <c r="K115" s="43"/>
    </row>
    <row r="116" spans="1:11">
      <c r="A116" s="19" t="s">
        <v>10</v>
      </c>
      <c r="B116" s="21">
        <v>1.3160000000000001</v>
      </c>
      <c r="C116" s="4">
        <v>9.6649999999999991</v>
      </c>
      <c r="D116" s="43"/>
      <c r="E116" s="33"/>
      <c r="G116" s="19" t="s">
        <v>10</v>
      </c>
      <c r="H116" s="36">
        <v>0.52900000000000003</v>
      </c>
      <c r="I116" s="34">
        <v>0</v>
      </c>
      <c r="J116" s="43"/>
      <c r="K116" s="43"/>
    </row>
    <row r="117" spans="1:11">
      <c r="A117" s="19" t="s">
        <v>10</v>
      </c>
      <c r="B117" s="21">
        <v>1.298</v>
      </c>
      <c r="C117" s="4">
        <v>9.4830000000000005</v>
      </c>
      <c r="D117" s="43"/>
      <c r="E117" s="33"/>
      <c r="G117" s="19" t="s">
        <v>10</v>
      </c>
      <c r="H117" s="36">
        <v>0.51300000000000001</v>
      </c>
      <c r="I117" s="4">
        <v>5.8540000000000001</v>
      </c>
      <c r="J117" s="43"/>
      <c r="K117" s="43"/>
    </row>
    <row r="118" spans="1:11">
      <c r="A118" s="19" t="s">
        <v>10</v>
      </c>
      <c r="B118" s="21">
        <v>1.3029999999999999</v>
      </c>
      <c r="C118" s="4">
        <v>9.4939999999999998</v>
      </c>
      <c r="D118" s="43"/>
      <c r="E118" s="33"/>
      <c r="G118" s="19" t="s">
        <v>10</v>
      </c>
      <c r="H118" s="36">
        <v>0.48099999999999998</v>
      </c>
      <c r="I118" s="4">
        <v>5.9989999999999997</v>
      </c>
      <c r="J118" s="43"/>
      <c r="K118" s="43"/>
    </row>
    <row r="119" spans="1:11">
      <c r="A119" s="19" t="s">
        <v>19</v>
      </c>
      <c r="B119" s="55">
        <v>0</v>
      </c>
      <c r="C119" s="36">
        <v>0</v>
      </c>
      <c r="D119" s="43"/>
      <c r="E119" s="33"/>
      <c r="G119" s="19" t="s">
        <v>19</v>
      </c>
      <c r="H119" s="36">
        <v>0</v>
      </c>
      <c r="I119" s="34">
        <v>0</v>
      </c>
      <c r="J119" s="43"/>
      <c r="K119" s="43"/>
    </row>
    <row r="120" spans="1:11">
      <c r="A120" s="19" t="s">
        <v>11</v>
      </c>
      <c r="B120" s="21">
        <v>1.9970000000000001</v>
      </c>
      <c r="C120" s="4">
        <v>5.9240000000000004</v>
      </c>
      <c r="D120" s="43"/>
      <c r="E120" s="33"/>
      <c r="G120" s="19" t="s">
        <v>11</v>
      </c>
      <c r="H120" s="7">
        <v>1.4139999999999999</v>
      </c>
      <c r="I120" s="4">
        <v>4.6550000000000002</v>
      </c>
      <c r="J120" s="43"/>
      <c r="K120" s="43"/>
    </row>
    <row r="121" spans="1:11">
      <c r="A121" s="19" t="s">
        <v>11</v>
      </c>
      <c r="B121" s="21">
        <v>2.04</v>
      </c>
      <c r="C121" s="4">
        <v>5.9269999999999996</v>
      </c>
      <c r="D121" s="43"/>
      <c r="E121" s="33"/>
      <c r="G121" s="19" t="s">
        <v>11</v>
      </c>
      <c r="H121" s="36">
        <v>0.51</v>
      </c>
      <c r="I121" s="4">
        <v>4.5490000000000004</v>
      </c>
      <c r="J121" s="43"/>
      <c r="K121" s="43"/>
    </row>
    <row r="122" spans="1:11">
      <c r="A122" s="19" t="s">
        <v>11</v>
      </c>
      <c r="B122" s="21">
        <v>2.0249999999999999</v>
      </c>
      <c r="C122" s="4">
        <v>5.7969999999999997</v>
      </c>
      <c r="D122" s="43"/>
      <c r="E122" s="33"/>
      <c r="G122" s="19" t="s">
        <v>11</v>
      </c>
      <c r="H122" s="36">
        <v>0.47499999999999998</v>
      </c>
      <c r="I122" s="4">
        <v>4.4409999999999998</v>
      </c>
      <c r="J122" s="43"/>
      <c r="K122" s="43"/>
    </row>
    <row r="123" spans="1:11">
      <c r="A123" s="19" t="s">
        <v>19</v>
      </c>
      <c r="B123" s="55">
        <v>0</v>
      </c>
      <c r="C123" s="36">
        <v>0</v>
      </c>
      <c r="D123" s="43"/>
      <c r="E123" s="33"/>
      <c r="G123" s="19" t="s">
        <v>19</v>
      </c>
      <c r="H123" s="36">
        <v>0</v>
      </c>
      <c r="I123" s="34">
        <v>0</v>
      </c>
      <c r="J123" s="43"/>
      <c r="K123" s="43"/>
    </row>
    <row r="124" spans="1:11">
      <c r="A124" s="19" t="s">
        <v>12</v>
      </c>
      <c r="B124" s="21">
        <v>2.117</v>
      </c>
      <c r="C124" s="4">
        <v>6.2839999999999998</v>
      </c>
      <c r="D124" s="43"/>
      <c r="E124" s="33"/>
      <c r="G124" s="19" t="s">
        <v>12</v>
      </c>
      <c r="H124" s="7">
        <v>1.0429999999999999</v>
      </c>
      <c r="I124" s="4">
        <v>3.9020000000000001</v>
      </c>
      <c r="J124" s="43"/>
      <c r="K124" s="43"/>
    </row>
    <row r="125" spans="1:11">
      <c r="A125" s="19" t="s">
        <v>12</v>
      </c>
      <c r="B125" s="21">
        <v>2.0819999999999999</v>
      </c>
      <c r="C125" s="4">
        <v>6.1820000000000004</v>
      </c>
      <c r="D125" s="43"/>
      <c r="E125" s="33"/>
      <c r="G125" s="19" t="s">
        <v>12</v>
      </c>
      <c r="H125" s="7">
        <v>1.109</v>
      </c>
      <c r="I125" s="4">
        <v>3.8530000000000002</v>
      </c>
      <c r="J125" s="43"/>
      <c r="K125" s="43"/>
    </row>
    <row r="126" spans="1:11">
      <c r="A126" s="19" t="s">
        <v>12</v>
      </c>
      <c r="B126" s="21">
        <v>2.093</v>
      </c>
      <c r="C126" s="4">
        <v>6.2060000000000004</v>
      </c>
      <c r="D126" s="43"/>
      <c r="E126" s="33"/>
      <c r="G126" s="19" t="s">
        <v>12</v>
      </c>
      <c r="H126" s="7">
        <v>1.0109999999999999</v>
      </c>
      <c r="I126" s="4">
        <v>3.8029999999999999</v>
      </c>
      <c r="J126" s="43"/>
      <c r="K126" s="43"/>
    </row>
    <row r="127" spans="1:11">
      <c r="A127" s="19" t="s">
        <v>19</v>
      </c>
      <c r="B127" s="55">
        <v>0</v>
      </c>
      <c r="C127" s="36">
        <v>0</v>
      </c>
      <c r="D127" s="43"/>
      <c r="E127" s="33"/>
      <c r="G127" s="19" t="s">
        <v>19</v>
      </c>
      <c r="H127" s="36">
        <v>0</v>
      </c>
      <c r="I127" s="34">
        <v>0</v>
      </c>
      <c r="J127" s="43"/>
      <c r="K127" s="43"/>
    </row>
    <row r="128" spans="1:11">
      <c r="A128" s="19" t="s">
        <v>13</v>
      </c>
      <c r="B128" s="21">
        <v>1.542</v>
      </c>
      <c r="C128" s="4">
        <v>5.1189999999999998</v>
      </c>
      <c r="D128" s="43"/>
      <c r="E128" s="33"/>
      <c r="G128" s="19" t="s">
        <v>13</v>
      </c>
      <c r="H128" s="7">
        <v>1.585</v>
      </c>
      <c r="I128" s="4">
        <v>3.4060000000000001</v>
      </c>
      <c r="J128" s="43"/>
      <c r="K128" s="43"/>
    </row>
    <row r="129" spans="1:11">
      <c r="A129" s="19" t="s">
        <v>13</v>
      </c>
      <c r="B129" s="21">
        <v>1.554</v>
      </c>
      <c r="C129" s="4">
        <v>5.22</v>
      </c>
      <c r="D129" s="43"/>
      <c r="E129" s="33"/>
      <c r="G129" s="19" t="s">
        <v>13</v>
      </c>
      <c r="H129" s="7">
        <v>1.6180000000000001</v>
      </c>
      <c r="I129" s="4">
        <v>3.4790000000000001</v>
      </c>
      <c r="J129" s="43"/>
      <c r="K129" s="43"/>
    </row>
    <row r="130" spans="1:11">
      <c r="A130" s="19" t="s">
        <v>13</v>
      </c>
      <c r="B130" s="21">
        <v>1.5509999999999999</v>
      </c>
      <c r="C130" s="4">
        <v>5.3010000000000002</v>
      </c>
      <c r="D130" s="43"/>
      <c r="E130" s="33"/>
      <c r="G130" s="19" t="s">
        <v>13</v>
      </c>
      <c r="H130" s="7">
        <v>1.591</v>
      </c>
      <c r="I130" s="4">
        <v>3.5619999999999998</v>
      </c>
      <c r="J130" s="43"/>
      <c r="K130" s="43"/>
    </row>
    <row r="131" spans="1:11">
      <c r="A131" s="19" t="s">
        <v>19</v>
      </c>
      <c r="B131" s="55">
        <v>0</v>
      </c>
      <c r="C131" s="36">
        <v>0</v>
      </c>
      <c r="D131" s="43"/>
      <c r="E131" s="33"/>
      <c r="G131" s="19" t="s">
        <v>19</v>
      </c>
      <c r="H131" s="36">
        <v>0</v>
      </c>
      <c r="I131" s="34">
        <v>0</v>
      </c>
      <c r="J131" s="43"/>
      <c r="K131" s="43"/>
    </row>
    <row r="132" spans="1:11">
      <c r="A132" s="19" t="s">
        <v>14</v>
      </c>
      <c r="B132" s="21">
        <v>1.9490000000000001</v>
      </c>
      <c r="C132" s="4">
        <v>4.4610000000000003</v>
      </c>
      <c r="D132" s="43"/>
      <c r="E132" s="33"/>
      <c r="G132" s="19" t="s">
        <v>14</v>
      </c>
      <c r="H132" s="36">
        <v>0.34399999999999997</v>
      </c>
      <c r="I132" s="4">
        <v>2.105</v>
      </c>
      <c r="J132" s="43"/>
      <c r="K132" s="43"/>
    </row>
    <row r="133" spans="1:11">
      <c r="A133" s="19" t="s">
        <v>14</v>
      </c>
      <c r="B133" s="21">
        <v>1.9219999999999999</v>
      </c>
      <c r="C133" s="4">
        <v>4.4969999999999999</v>
      </c>
      <c r="D133" s="43"/>
      <c r="E133" s="33"/>
      <c r="G133" s="19" t="s">
        <v>14</v>
      </c>
      <c r="H133" s="36">
        <v>0.315</v>
      </c>
      <c r="I133" s="4">
        <v>2.1219999999999999</v>
      </c>
      <c r="J133" s="43"/>
      <c r="K133" s="43"/>
    </row>
    <row r="134" spans="1:11">
      <c r="A134" s="19" t="s">
        <v>14</v>
      </c>
      <c r="B134" s="21">
        <v>1.9239999999999999</v>
      </c>
      <c r="C134" s="4">
        <v>4.4390000000000001</v>
      </c>
      <c r="D134" s="43"/>
      <c r="E134" s="33"/>
      <c r="G134" s="19" t="s">
        <v>14</v>
      </c>
      <c r="H134" s="36">
        <v>0.33300000000000002</v>
      </c>
      <c r="I134" s="4">
        <v>2.073</v>
      </c>
      <c r="J134" s="43"/>
      <c r="K134" s="43"/>
    </row>
    <row r="135" spans="1:11">
      <c r="A135" s="19" t="s">
        <v>19</v>
      </c>
      <c r="B135" s="55">
        <v>0</v>
      </c>
      <c r="C135" s="36">
        <v>0</v>
      </c>
      <c r="D135" s="43"/>
      <c r="E135" s="33"/>
      <c r="G135" s="19" t="s">
        <v>19</v>
      </c>
      <c r="H135" s="36">
        <v>0</v>
      </c>
      <c r="I135" s="34">
        <v>0</v>
      </c>
      <c r="J135" s="43"/>
      <c r="K135" s="43"/>
    </row>
    <row r="136" spans="1:11">
      <c r="A136" s="19" t="s">
        <v>15</v>
      </c>
      <c r="B136" s="22">
        <v>1.845</v>
      </c>
      <c r="C136" s="4">
        <v>4.5460000000000003</v>
      </c>
      <c r="D136" s="43"/>
      <c r="E136" s="43"/>
      <c r="G136" s="19" t="s">
        <v>15</v>
      </c>
      <c r="H136" s="36">
        <v>0</v>
      </c>
      <c r="I136" s="4">
        <v>2.085</v>
      </c>
      <c r="J136" s="43"/>
      <c r="K136" s="43"/>
    </row>
    <row r="137" spans="1:11">
      <c r="A137" s="19" t="s">
        <v>15</v>
      </c>
      <c r="B137" s="22">
        <v>1.829</v>
      </c>
      <c r="C137" s="4">
        <v>4.5419999999999998</v>
      </c>
      <c r="D137" s="43"/>
      <c r="E137" s="43"/>
      <c r="G137" s="19" t="s">
        <v>15</v>
      </c>
      <c r="H137" s="36">
        <v>0</v>
      </c>
      <c r="I137" s="4">
        <v>2.0449999999999999</v>
      </c>
      <c r="J137" s="43"/>
      <c r="K137" s="43"/>
    </row>
    <row r="138" spans="1:11">
      <c r="A138" s="19" t="s">
        <v>15</v>
      </c>
      <c r="B138" s="22">
        <v>1.8260000000000001</v>
      </c>
      <c r="C138" s="4">
        <v>4.4850000000000003</v>
      </c>
      <c r="D138" s="43"/>
      <c r="E138" s="43"/>
      <c r="G138" s="19" t="s">
        <v>15</v>
      </c>
      <c r="H138" s="36">
        <v>0</v>
      </c>
      <c r="I138" s="4">
        <v>2.0289999999999999</v>
      </c>
      <c r="J138" s="43"/>
      <c r="K138" s="43"/>
    </row>
    <row r="139" spans="1:11">
      <c r="A139" s="19" t="s">
        <v>19</v>
      </c>
      <c r="B139" s="55">
        <v>0</v>
      </c>
      <c r="C139" s="36">
        <v>0</v>
      </c>
      <c r="D139" s="43"/>
      <c r="E139" s="33"/>
      <c r="G139" s="19" t="s">
        <v>19</v>
      </c>
      <c r="H139" s="36">
        <v>0</v>
      </c>
      <c r="I139" s="34">
        <v>0</v>
      </c>
      <c r="J139" s="43"/>
      <c r="K139" s="43"/>
    </row>
    <row r="140" spans="1:11">
      <c r="A140" s="19" t="s">
        <v>16</v>
      </c>
      <c r="B140" s="21">
        <v>2.0030000000000001</v>
      </c>
      <c r="C140" s="4">
        <v>5.38</v>
      </c>
      <c r="D140" s="43"/>
      <c r="E140" s="33"/>
      <c r="G140" s="19" t="s">
        <v>16</v>
      </c>
      <c r="H140" s="36">
        <v>0</v>
      </c>
      <c r="I140" s="4">
        <v>5.1609999999999996</v>
      </c>
      <c r="J140" s="43"/>
      <c r="K140" s="43"/>
    </row>
    <row r="141" spans="1:11">
      <c r="A141" s="19" t="s">
        <v>16</v>
      </c>
      <c r="B141" s="21">
        <v>1.984</v>
      </c>
      <c r="C141" s="4">
        <v>5.431</v>
      </c>
      <c r="D141" s="43"/>
      <c r="E141" s="33"/>
      <c r="G141" s="19" t="s">
        <v>16</v>
      </c>
      <c r="H141" s="36">
        <v>0</v>
      </c>
      <c r="I141" s="4">
        <v>5.1269999999999998</v>
      </c>
      <c r="J141" s="43"/>
      <c r="K141" s="43"/>
    </row>
    <row r="142" spans="1:11">
      <c r="A142" s="19" t="s">
        <v>16</v>
      </c>
      <c r="B142" s="21">
        <v>1.98</v>
      </c>
      <c r="C142" s="4">
        <v>5.3860000000000001</v>
      </c>
      <c r="D142" s="43"/>
      <c r="E142" s="33"/>
      <c r="G142" s="19" t="s">
        <v>16</v>
      </c>
      <c r="H142" s="36">
        <v>0</v>
      </c>
      <c r="I142" s="4">
        <v>5.1219999999999999</v>
      </c>
      <c r="J142" s="43"/>
      <c r="K142" s="43"/>
    </row>
    <row r="143" spans="1:11">
      <c r="A143" s="19" t="s">
        <v>19</v>
      </c>
      <c r="B143" s="55">
        <v>0</v>
      </c>
      <c r="C143" s="36">
        <v>0</v>
      </c>
      <c r="D143" s="43"/>
      <c r="E143" s="33"/>
      <c r="G143" s="19" t="s">
        <v>19</v>
      </c>
      <c r="H143" s="55">
        <v>0</v>
      </c>
      <c r="I143" s="34">
        <v>0</v>
      </c>
      <c r="J143" s="43"/>
      <c r="K143" s="43"/>
    </row>
    <row r="144" spans="1:11">
      <c r="A144" s="19" t="s">
        <v>17</v>
      </c>
      <c r="B144" s="21">
        <v>1.472</v>
      </c>
      <c r="C144" s="4">
        <v>5.3929999999999998</v>
      </c>
      <c r="D144" s="43"/>
      <c r="E144" s="33"/>
      <c r="G144" s="19" t="s">
        <v>17</v>
      </c>
      <c r="H144" s="55">
        <v>0.752</v>
      </c>
      <c r="I144" s="4">
        <v>5.3310000000000004</v>
      </c>
      <c r="J144" s="43"/>
      <c r="K144" s="43"/>
    </row>
    <row r="145" spans="1:11">
      <c r="A145" s="19" t="s">
        <v>17</v>
      </c>
      <c r="B145" s="21">
        <v>1.476</v>
      </c>
      <c r="C145" s="4">
        <v>5.4560000000000004</v>
      </c>
      <c r="D145" s="43"/>
      <c r="E145" s="33"/>
      <c r="G145" s="19" t="s">
        <v>17</v>
      </c>
      <c r="H145" s="55">
        <v>0.71599999999999997</v>
      </c>
      <c r="I145" s="4">
        <v>5.3769999999999998</v>
      </c>
      <c r="J145" s="43"/>
      <c r="K145" s="43"/>
    </row>
    <row r="146" spans="1:11">
      <c r="A146" s="19" t="s">
        <v>17</v>
      </c>
      <c r="B146" s="21">
        <v>1.476</v>
      </c>
      <c r="C146" s="4">
        <v>5.3410000000000002</v>
      </c>
      <c r="D146" s="43"/>
      <c r="E146" s="33"/>
      <c r="G146" s="19" t="s">
        <v>17</v>
      </c>
      <c r="H146" s="55">
        <v>0.71</v>
      </c>
      <c r="I146" s="4">
        <v>5.3780000000000001</v>
      </c>
      <c r="J146" s="43"/>
      <c r="K146" s="43"/>
    </row>
    <row r="147" spans="1:11">
      <c r="A147" s="19" t="s">
        <v>19</v>
      </c>
      <c r="B147" s="55">
        <v>0</v>
      </c>
      <c r="C147" s="36">
        <v>0</v>
      </c>
      <c r="D147" s="43"/>
      <c r="E147" s="33"/>
      <c r="G147" s="19" t="s">
        <v>19</v>
      </c>
      <c r="H147" s="55">
        <v>0</v>
      </c>
      <c r="I147" s="34">
        <v>0</v>
      </c>
      <c r="J147" s="43"/>
      <c r="K147" s="43"/>
    </row>
    <row r="148" spans="1:11">
      <c r="A148" s="19" t="s">
        <v>18</v>
      </c>
      <c r="B148" s="21">
        <v>1.9610000000000001</v>
      </c>
      <c r="C148" s="4">
        <v>5.109</v>
      </c>
      <c r="D148" s="43"/>
      <c r="E148" s="33"/>
      <c r="G148" s="19" t="s">
        <v>18</v>
      </c>
      <c r="H148" s="55">
        <v>0.90800000000000003</v>
      </c>
      <c r="I148" s="4">
        <v>6.5960000000000001</v>
      </c>
      <c r="J148" s="43"/>
      <c r="K148" s="43"/>
    </row>
    <row r="149" spans="1:11">
      <c r="A149" s="19" t="s">
        <v>18</v>
      </c>
      <c r="B149" s="21">
        <v>1.976</v>
      </c>
      <c r="C149" s="4">
        <v>5.2320000000000002</v>
      </c>
      <c r="D149" s="43"/>
      <c r="E149" s="33"/>
      <c r="G149" s="19" t="s">
        <v>18</v>
      </c>
      <c r="H149" s="55">
        <v>0.82199999999999995</v>
      </c>
      <c r="I149" s="4">
        <v>6.8230000000000004</v>
      </c>
      <c r="J149" s="43"/>
      <c r="K149" s="43"/>
    </row>
    <row r="150" spans="1:11">
      <c r="A150" s="19" t="s">
        <v>18</v>
      </c>
      <c r="B150" s="21">
        <v>1.9370000000000001</v>
      </c>
      <c r="C150" s="4">
        <v>5.2380000000000004</v>
      </c>
      <c r="D150" s="43"/>
      <c r="E150" s="33"/>
      <c r="G150" s="19" t="s">
        <v>18</v>
      </c>
      <c r="H150" s="56">
        <v>0</v>
      </c>
      <c r="I150" s="4">
        <v>6.9279999999999999</v>
      </c>
      <c r="J150" s="43"/>
      <c r="K150" s="43"/>
    </row>
    <row r="151" spans="1:11">
      <c r="A151" s="15" t="s">
        <v>19</v>
      </c>
      <c r="B151" s="55">
        <v>0</v>
      </c>
      <c r="C151" s="36">
        <v>0</v>
      </c>
      <c r="D151" s="43"/>
      <c r="E151" s="33"/>
      <c r="G151" s="15" t="s">
        <v>19</v>
      </c>
      <c r="H151" s="55">
        <v>0</v>
      </c>
      <c r="I151" s="34">
        <v>0</v>
      </c>
      <c r="J151" s="43"/>
      <c r="K151" s="43"/>
    </row>
  </sheetData>
  <mergeCells count="3">
    <mergeCell ref="N1:V1"/>
    <mergeCell ref="B1:E2"/>
    <mergeCell ref="H1:K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DBA87-E620-426C-8A1B-A38BF1638A50}">
  <dimension ref="A1:W151"/>
  <sheetViews>
    <sheetView zoomScale="111" zoomScaleNormal="70" workbookViewId="0">
      <selection activeCell="K21" sqref="K21"/>
    </sheetView>
  </sheetViews>
  <sheetFormatPr baseColWidth="10" defaultColWidth="8.83203125" defaultRowHeight="15"/>
  <cols>
    <col min="1" max="1" width="8.83203125" style="18"/>
    <col min="2" max="2" width="8.83203125" style="20"/>
    <col min="6" max="6" width="8.83203125" style="18"/>
    <col min="7" max="7" width="8.83203125" style="20"/>
  </cols>
  <sheetData>
    <row r="1" spans="1:23" ht="21">
      <c r="B1" s="163" t="s">
        <v>133</v>
      </c>
      <c r="C1" s="163"/>
      <c r="D1" s="163"/>
      <c r="G1" s="163" t="s">
        <v>132</v>
      </c>
      <c r="H1" s="163"/>
      <c r="I1" s="163"/>
      <c r="K1" s="160" t="s">
        <v>33</v>
      </c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2"/>
    </row>
    <row r="2" spans="1:23" ht="26">
      <c r="B2" s="163"/>
      <c r="C2" s="163"/>
      <c r="D2" s="163"/>
      <c r="G2" s="163"/>
      <c r="H2" s="163"/>
      <c r="I2" s="163"/>
      <c r="L2" s="20" t="s">
        <v>20</v>
      </c>
      <c r="Q2" s="20" t="s">
        <v>26</v>
      </c>
      <c r="T2" s="17"/>
    </row>
    <row r="3" spans="1:23" ht="20" customHeight="1">
      <c r="B3" s="20" t="s">
        <v>35</v>
      </c>
      <c r="C3" t="s">
        <v>36</v>
      </c>
      <c r="D3" t="s">
        <v>37</v>
      </c>
      <c r="G3" s="20" t="s">
        <v>35</v>
      </c>
      <c r="H3" t="s">
        <v>36</v>
      </c>
      <c r="I3" t="s">
        <v>37</v>
      </c>
      <c r="L3" s="20"/>
      <c r="Q3" s="20"/>
      <c r="T3" s="17"/>
    </row>
    <row r="4" spans="1:23">
      <c r="A4" s="19">
        <v>0</v>
      </c>
      <c r="B4" s="34">
        <v>0</v>
      </c>
      <c r="C4" s="34">
        <v>0</v>
      </c>
      <c r="D4" s="33"/>
      <c r="F4" s="19">
        <v>0</v>
      </c>
      <c r="G4" s="34">
        <v>0</v>
      </c>
      <c r="H4" s="4">
        <v>8176.1459999999997</v>
      </c>
      <c r="I4" s="33"/>
    </row>
    <row r="5" spans="1:23">
      <c r="A5" s="19">
        <v>0</v>
      </c>
      <c r="B5" s="34">
        <v>0</v>
      </c>
      <c r="C5" s="34">
        <v>0</v>
      </c>
      <c r="D5" s="33"/>
      <c r="F5" s="19">
        <v>0</v>
      </c>
      <c r="G5" s="34">
        <v>0</v>
      </c>
      <c r="H5" s="4">
        <v>8062.6970000000001</v>
      </c>
      <c r="I5" s="33"/>
      <c r="L5" s="7" t="s">
        <v>2</v>
      </c>
      <c r="M5" s="7" t="s">
        <v>1</v>
      </c>
      <c r="N5" s="7" t="s">
        <v>25</v>
      </c>
      <c r="Q5" s="7" t="s">
        <v>2</v>
      </c>
      <c r="R5" s="7" t="s">
        <v>1</v>
      </c>
      <c r="S5" s="7" t="s">
        <v>25</v>
      </c>
    </row>
    <row r="6" spans="1:23">
      <c r="A6" s="19">
        <v>0</v>
      </c>
      <c r="B6" s="34">
        <v>0</v>
      </c>
      <c r="C6" s="34">
        <v>0</v>
      </c>
      <c r="D6" s="33"/>
      <c r="F6" s="19">
        <v>0</v>
      </c>
      <c r="G6" s="34">
        <v>0</v>
      </c>
      <c r="H6" s="4">
        <v>8345.5439999999999</v>
      </c>
      <c r="I6" s="33"/>
      <c r="L6" s="12">
        <v>0</v>
      </c>
      <c r="M6" s="58">
        <f>AVERAGE(B4:D6)</f>
        <v>0</v>
      </c>
      <c r="N6" s="14">
        <f>AVERAGE(G4:I6)</f>
        <v>4097.3978333333334</v>
      </c>
      <c r="O6" s="13"/>
      <c r="Q6" s="12">
        <v>0</v>
      </c>
      <c r="R6" s="14">
        <f>STDEV(B4:D6)</f>
        <v>0</v>
      </c>
      <c r="S6" s="14">
        <f>STDEV(G4:I6)</f>
        <v>4489.3771718453963</v>
      </c>
    </row>
    <row r="7" spans="1:23">
      <c r="A7" s="19" t="s">
        <v>4</v>
      </c>
      <c r="B7" s="34">
        <v>0</v>
      </c>
      <c r="C7" s="34">
        <v>0</v>
      </c>
      <c r="D7" s="33"/>
      <c r="F7" s="19" t="s">
        <v>4</v>
      </c>
      <c r="G7" s="34">
        <v>0</v>
      </c>
      <c r="H7" s="34">
        <v>0</v>
      </c>
      <c r="I7" s="34">
        <v>0</v>
      </c>
      <c r="L7" s="11">
        <v>0.05</v>
      </c>
      <c r="M7" s="58">
        <f>AVERAGE(B8:D10)</f>
        <v>0</v>
      </c>
      <c r="N7" s="14">
        <f>AVERAGE(G8:I10)</f>
        <v>5075.346111111111</v>
      </c>
      <c r="O7" s="13"/>
      <c r="Q7" s="11">
        <v>0.05</v>
      </c>
      <c r="R7" s="14">
        <f>STDEV(B8:D10)</f>
        <v>0</v>
      </c>
      <c r="S7" s="14">
        <f>STDEV(G8:I10)</f>
        <v>3808.6855921891688</v>
      </c>
    </row>
    <row r="8" spans="1:23">
      <c r="A8" s="19">
        <v>5</v>
      </c>
      <c r="B8" s="34">
        <v>0</v>
      </c>
      <c r="C8" s="34">
        <v>0</v>
      </c>
      <c r="D8" s="34">
        <v>0</v>
      </c>
      <c r="F8" s="19">
        <v>5</v>
      </c>
      <c r="G8" s="4">
        <v>7628.7820000000002</v>
      </c>
      <c r="H8" s="4">
        <v>7802.8410000000003</v>
      </c>
      <c r="I8" s="34">
        <v>0</v>
      </c>
      <c r="L8" s="11">
        <v>0.1</v>
      </c>
      <c r="M8" s="58">
        <f>AVERAGE(B12:D14)</f>
        <v>0</v>
      </c>
      <c r="N8" s="14">
        <f>AVERAGE(G12:I14)</f>
        <v>3210.4465555555557</v>
      </c>
      <c r="O8" s="13"/>
      <c r="Q8" s="11">
        <v>0.1</v>
      </c>
      <c r="R8" s="14">
        <f>STDEV(B12:D14)</f>
        <v>0</v>
      </c>
      <c r="S8" s="14">
        <f>STDEV(G12:I14)</f>
        <v>2428.5745642754673</v>
      </c>
    </row>
    <row r="9" spans="1:23">
      <c r="A9" s="19">
        <v>5</v>
      </c>
      <c r="B9" s="34">
        <v>0</v>
      </c>
      <c r="C9" s="34">
        <v>0</v>
      </c>
      <c r="D9" s="34">
        <v>0</v>
      </c>
      <c r="F9" s="19">
        <v>5</v>
      </c>
      <c r="G9" s="4">
        <v>7811.9750000000004</v>
      </c>
      <c r="H9" s="4">
        <v>7461.5870000000004</v>
      </c>
      <c r="I9" s="34">
        <v>0</v>
      </c>
      <c r="L9" s="11">
        <v>0.15</v>
      </c>
      <c r="M9" s="58">
        <f>AVERAGE(B16:D18)</f>
        <v>0</v>
      </c>
      <c r="N9" s="14">
        <f>AVERAGE(G16:I18)</f>
        <v>2068.0557777777776</v>
      </c>
      <c r="O9" s="13"/>
      <c r="Q9" s="11">
        <v>0.15</v>
      </c>
      <c r="R9" s="14">
        <f>STDEV(B16:D18)</f>
        <v>0</v>
      </c>
      <c r="S9" s="14">
        <f>STDEV(G16:I18)</f>
        <v>1568.4431848584582</v>
      </c>
    </row>
    <row r="10" spans="1:23">
      <c r="A10" s="19">
        <v>5</v>
      </c>
      <c r="B10" s="34">
        <v>0</v>
      </c>
      <c r="C10" s="34">
        <v>0</v>
      </c>
      <c r="D10" s="34">
        <v>0</v>
      </c>
      <c r="F10" s="19">
        <v>5</v>
      </c>
      <c r="G10" s="4">
        <v>7515.9440000000004</v>
      </c>
      <c r="H10" s="4">
        <v>7456.9859999999999</v>
      </c>
      <c r="I10" s="34">
        <v>0</v>
      </c>
      <c r="L10" s="11">
        <v>0.2</v>
      </c>
      <c r="M10" s="58">
        <f>AVERAGE(B20:D22)</f>
        <v>0</v>
      </c>
      <c r="N10" s="14">
        <f>AVERAGE(G20:I22)</f>
        <v>1457.0153333333333</v>
      </c>
      <c r="O10" s="13"/>
      <c r="Q10" s="11">
        <v>0.2</v>
      </c>
      <c r="R10" s="14">
        <f>STDEV(B20:D22)</f>
        <v>0</v>
      </c>
      <c r="S10" s="14">
        <f>STDEV(G20:I22)</f>
        <v>944.22929330856959</v>
      </c>
    </row>
    <row r="11" spans="1:23">
      <c r="A11" s="19" t="s">
        <v>4</v>
      </c>
      <c r="B11" s="34">
        <v>0</v>
      </c>
      <c r="C11" s="34">
        <v>0</v>
      </c>
      <c r="D11" s="34">
        <v>0</v>
      </c>
      <c r="F11" s="19" t="s">
        <v>4</v>
      </c>
      <c r="G11" s="34">
        <v>0</v>
      </c>
      <c r="H11" s="34">
        <v>0</v>
      </c>
      <c r="I11" s="34">
        <v>0</v>
      </c>
      <c r="L11" s="11">
        <v>0.25</v>
      </c>
      <c r="M11" s="58">
        <f>AVERAGE(B24:D26)</f>
        <v>0</v>
      </c>
      <c r="N11" s="14">
        <f>AVERAGE(G24:I26)</f>
        <v>769.42433333333338</v>
      </c>
      <c r="O11" s="13"/>
      <c r="Q11" s="11">
        <v>0.25</v>
      </c>
      <c r="R11" s="14">
        <f>STDEV(B24:D26)</f>
        <v>0</v>
      </c>
      <c r="S11" s="14">
        <f>STDEV(G24:I26)</f>
        <v>577.68378259823066</v>
      </c>
    </row>
    <row r="12" spans="1:23">
      <c r="A12" s="19">
        <v>10</v>
      </c>
      <c r="B12" s="34">
        <v>0</v>
      </c>
      <c r="C12" s="34">
        <v>0</v>
      </c>
      <c r="D12" s="34">
        <v>0</v>
      </c>
      <c r="F12" s="19">
        <v>10</v>
      </c>
      <c r="G12" s="4">
        <v>5198.5200000000004</v>
      </c>
      <c r="H12" s="4">
        <v>4453.8280000000004</v>
      </c>
      <c r="I12" s="39">
        <v>0</v>
      </c>
      <c r="L12" s="11">
        <v>0.3</v>
      </c>
      <c r="M12" s="58">
        <f>AVERAGE(B28:D30)</f>
        <v>0</v>
      </c>
      <c r="N12" s="14">
        <f>AVERAGE(G28:I30)</f>
        <v>384.03977777777777</v>
      </c>
      <c r="O12" s="13"/>
      <c r="Q12" s="11">
        <v>0.3</v>
      </c>
      <c r="R12" s="14">
        <f>STDEV(B28:D30)</f>
        <v>0</v>
      </c>
      <c r="S12" s="14">
        <f>STDEV(G28:I30)</f>
        <v>323.77164504970852</v>
      </c>
    </row>
    <row r="13" spans="1:23">
      <c r="A13" s="19">
        <v>10</v>
      </c>
      <c r="B13" s="34">
        <v>0</v>
      </c>
      <c r="C13" s="34">
        <v>0</v>
      </c>
      <c r="D13" s="34">
        <v>0</v>
      </c>
      <c r="F13" s="19">
        <v>10</v>
      </c>
      <c r="G13" s="4">
        <v>5147.3059999999996</v>
      </c>
      <c r="H13" s="4">
        <v>4455.1580000000004</v>
      </c>
      <c r="I13" s="39">
        <v>0</v>
      </c>
      <c r="L13" s="11">
        <v>0.35</v>
      </c>
      <c r="M13" s="58">
        <f>AVERAGE(B32:D34)</f>
        <v>0</v>
      </c>
      <c r="N13" s="14">
        <f>AVERAGE(G32:I34)</f>
        <v>142.71955555555556</v>
      </c>
      <c r="O13" s="13"/>
      <c r="Q13" s="11">
        <v>0.35</v>
      </c>
      <c r="R13" s="14">
        <f>STDEV(B32:D34)</f>
        <v>0</v>
      </c>
      <c r="S13" s="14">
        <f>STDEV(G32:I34)</f>
        <v>200.12656940615801</v>
      </c>
    </row>
    <row r="14" spans="1:23">
      <c r="A14" s="19">
        <v>10</v>
      </c>
      <c r="B14" s="34">
        <v>0</v>
      </c>
      <c r="C14" s="34">
        <v>0</v>
      </c>
      <c r="D14" s="34">
        <v>0</v>
      </c>
      <c r="F14" s="19">
        <v>10</v>
      </c>
      <c r="G14" s="4">
        <v>5197.067</v>
      </c>
      <c r="H14" s="4">
        <v>4442.1400000000003</v>
      </c>
      <c r="I14" s="39">
        <v>0</v>
      </c>
      <c r="L14" s="11">
        <v>0.4</v>
      </c>
      <c r="M14" s="58">
        <f>AVERAGE(B36:D38)</f>
        <v>0</v>
      </c>
      <c r="N14" s="14">
        <f>AVERAGE(G36:I38)</f>
        <v>166.12733333333333</v>
      </c>
      <c r="O14" s="13"/>
      <c r="Q14" s="11">
        <v>0.4</v>
      </c>
      <c r="R14" s="14">
        <f>STDEV(B36:D38)</f>
        <v>0</v>
      </c>
      <c r="S14" s="14">
        <f>STDEV(G36:I38)</f>
        <v>32.492519887916764</v>
      </c>
    </row>
    <row r="15" spans="1:23">
      <c r="A15" s="19" t="s">
        <v>4</v>
      </c>
      <c r="B15" s="34">
        <v>0</v>
      </c>
      <c r="C15" s="34">
        <v>0</v>
      </c>
      <c r="D15" s="34">
        <v>0</v>
      </c>
      <c r="F15" s="19" t="s">
        <v>4</v>
      </c>
      <c r="G15" s="34">
        <v>0</v>
      </c>
      <c r="H15" s="34">
        <v>0</v>
      </c>
      <c r="I15" s="40">
        <v>0</v>
      </c>
      <c r="L15" s="11">
        <v>0.45</v>
      </c>
      <c r="M15" s="58">
        <f>AVERAGE(B40:D42)</f>
        <v>0</v>
      </c>
      <c r="N15" s="14">
        <f>AVERAGE(G40:I42)</f>
        <v>87.486777777777775</v>
      </c>
      <c r="O15" s="13"/>
      <c r="Q15" s="11">
        <v>0.45</v>
      </c>
      <c r="R15" s="14">
        <f>STDEV(B40:D42)</f>
        <v>0</v>
      </c>
      <c r="S15" s="14">
        <f>STDEV(G40:I42)</f>
        <v>66.477229843717481</v>
      </c>
    </row>
    <row r="16" spans="1:23">
      <c r="A16" s="19">
        <v>15</v>
      </c>
      <c r="B16" s="34">
        <v>0</v>
      </c>
      <c r="C16" s="34">
        <v>0</v>
      </c>
      <c r="D16" s="34">
        <v>0</v>
      </c>
      <c r="F16" s="19">
        <v>15</v>
      </c>
      <c r="G16" s="4">
        <v>3333.6289999999999</v>
      </c>
      <c r="H16" s="4">
        <v>2831.3240000000001</v>
      </c>
      <c r="I16" s="39">
        <v>0</v>
      </c>
      <c r="L16" s="11">
        <v>0.5</v>
      </c>
      <c r="M16" s="58">
        <f>AVERAGE(B44:D46)</f>
        <v>0</v>
      </c>
      <c r="N16" s="14">
        <f>AVERAGE(G44:I46)</f>
        <v>49.474555555555554</v>
      </c>
      <c r="O16" s="13"/>
      <c r="Q16" s="11">
        <v>0.5</v>
      </c>
      <c r="R16" s="14">
        <f>STDEV(B44:D46)</f>
        <v>0</v>
      </c>
      <c r="S16" s="14">
        <f>STDEV(G44:I46)</f>
        <v>37.908322483694491</v>
      </c>
    </row>
    <row r="17" spans="1:19">
      <c r="A17" s="19">
        <v>15</v>
      </c>
      <c r="B17" s="34">
        <v>0</v>
      </c>
      <c r="C17" s="34">
        <v>0</v>
      </c>
      <c r="D17" s="34">
        <v>0</v>
      </c>
      <c r="F17" s="19">
        <v>15</v>
      </c>
      <c r="G17" s="4">
        <v>3365.4009999999998</v>
      </c>
      <c r="H17" s="4">
        <v>2881.125</v>
      </c>
      <c r="I17" s="39">
        <v>0</v>
      </c>
      <c r="L17" s="11">
        <v>0.55000000000000004</v>
      </c>
      <c r="M17" s="58">
        <f>AVERAGE(B48:D50)</f>
        <v>0</v>
      </c>
      <c r="N17" s="14">
        <f>AVERAGE(G48:I50)</f>
        <v>18.412444444444443</v>
      </c>
      <c r="O17" s="13"/>
      <c r="Q17" s="11">
        <v>0.55000000000000004</v>
      </c>
      <c r="R17" s="14">
        <f>STDEV(B48:D50)</f>
        <v>0</v>
      </c>
      <c r="S17" s="14">
        <f>STDEV(G48:I50)</f>
        <v>27.62501892809809</v>
      </c>
    </row>
    <row r="18" spans="1:19">
      <c r="A18" s="19">
        <v>15</v>
      </c>
      <c r="B18" s="34">
        <v>0</v>
      </c>
      <c r="C18" s="34">
        <v>0</v>
      </c>
      <c r="D18" s="34">
        <v>0</v>
      </c>
      <c r="F18" s="19">
        <v>15</v>
      </c>
      <c r="G18" s="4">
        <v>3408.0650000000001</v>
      </c>
      <c r="H18" s="4">
        <v>2792.9580000000001</v>
      </c>
      <c r="I18" s="39">
        <v>0</v>
      </c>
      <c r="L18" s="11">
        <v>1</v>
      </c>
      <c r="M18" s="58">
        <f>AVERAGE(B52:D54)</f>
        <v>0</v>
      </c>
      <c r="N18" s="14">
        <f>AVERAGE(G52:I54)</f>
        <v>12.368888888888888</v>
      </c>
      <c r="O18" s="13"/>
      <c r="Q18" s="11">
        <v>1</v>
      </c>
      <c r="R18" s="14">
        <f>STDEV(B52:D54)</f>
        <v>0</v>
      </c>
      <c r="S18" s="14">
        <f>STDEV(G52:I54)</f>
        <v>16.693361648005805</v>
      </c>
    </row>
    <row r="19" spans="1:19">
      <c r="A19" s="19" t="s">
        <v>4</v>
      </c>
      <c r="B19" s="34">
        <v>0</v>
      </c>
      <c r="C19" s="34">
        <v>0</v>
      </c>
      <c r="D19" s="34">
        <v>0</v>
      </c>
      <c r="F19" s="19" t="s">
        <v>4</v>
      </c>
      <c r="G19" s="34">
        <v>0</v>
      </c>
      <c r="H19" s="34">
        <v>0</v>
      </c>
      <c r="I19" s="34">
        <v>0</v>
      </c>
      <c r="L19" s="11">
        <v>2</v>
      </c>
      <c r="M19" s="58">
        <f>AVERAGE(B56:D58)</f>
        <v>0</v>
      </c>
      <c r="N19" s="58">
        <f>AVERAGE(G56:I58)</f>
        <v>0</v>
      </c>
      <c r="O19" s="13"/>
      <c r="Q19" s="11">
        <v>2</v>
      </c>
      <c r="R19" s="14">
        <f>STDEV(B56:D58)</f>
        <v>0</v>
      </c>
      <c r="S19" s="14">
        <f>STDEV(G56:I58)</f>
        <v>0</v>
      </c>
    </row>
    <row r="20" spans="1:19">
      <c r="A20" s="19">
        <v>20</v>
      </c>
      <c r="B20" s="34">
        <v>0</v>
      </c>
      <c r="C20" s="34">
        <v>0</v>
      </c>
      <c r="D20" s="34">
        <v>0</v>
      </c>
      <c r="F20" s="19">
        <v>20</v>
      </c>
      <c r="G20" s="4">
        <v>2374.5259999999998</v>
      </c>
      <c r="H20" s="4">
        <v>1811.193</v>
      </c>
      <c r="I20" s="4">
        <v>236.45099999999999</v>
      </c>
      <c r="L20" s="11">
        <v>3</v>
      </c>
      <c r="M20" s="58">
        <f>AVERAGE(B60:D62)</f>
        <v>0</v>
      </c>
      <c r="N20" s="58">
        <f>AVERAGE(G60:I62)</f>
        <v>0</v>
      </c>
      <c r="O20" s="13"/>
      <c r="Q20" s="11">
        <v>3</v>
      </c>
      <c r="R20" s="14">
        <f>STDEV(B60:D62)</f>
        <v>0</v>
      </c>
      <c r="S20" s="14">
        <f>STDEV(G60:I62)</f>
        <v>0</v>
      </c>
    </row>
    <row r="21" spans="1:19">
      <c r="A21" s="19">
        <v>20</v>
      </c>
      <c r="B21" s="34">
        <v>0</v>
      </c>
      <c r="C21" s="34">
        <v>0</v>
      </c>
      <c r="D21" s="34">
        <v>0</v>
      </c>
      <c r="F21" s="19">
        <v>20</v>
      </c>
      <c r="G21" s="4">
        <v>2382.9160000000002</v>
      </c>
      <c r="H21" s="4">
        <v>1774.8040000000001</v>
      </c>
      <c r="I21" s="4">
        <v>245.185</v>
      </c>
      <c r="L21" s="11">
        <v>4</v>
      </c>
      <c r="M21" s="58">
        <f>AVERAGE(B64:D66)</f>
        <v>0</v>
      </c>
      <c r="N21" s="58">
        <f>AVERAGE(G64:I66)</f>
        <v>0</v>
      </c>
      <c r="O21" s="13"/>
      <c r="Q21" s="11">
        <v>4</v>
      </c>
      <c r="R21" s="14">
        <f>STDEV(B64:D66)</f>
        <v>0</v>
      </c>
      <c r="S21" s="14">
        <f>STDEV(G64:I66)</f>
        <v>0</v>
      </c>
    </row>
    <row r="22" spans="1:19">
      <c r="A22" s="19">
        <v>20</v>
      </c>
      <c r="B22" s="34">
        <v>0</v>
      </c>
      <c r="C22" s="34">
        <v>0</v>
      </c>
      <c r="D22" s="34">
        <v>0</v>
      </c>
      <c r="F22" s="19">
        <v>20</v>
      </c>
      <c r="G22" s="4">
        <v>2253.3119999999999</v>
      </c>
      <c r="H22" s="4">
        <v>1800.9690000000001</v>
      </c>
      <c r="I22" s="4">
        <v>233.78200000000001</v>
      </c>
      <c r="L22" s="11">
        <v>5</v>
      </c>
      <c r="M22" s="58">
        <f>AVERAGE(B68:D70)</f>
        <v>0</v>
      </c>
      <c r="N22" s="58">
        <f>AVERAGE(G68:I70)</f>
        <v>0</v>
      </c>
      <c r="O22" s="13"/>
      <c r="Q22" s="11">
        <v>5</v>
      </c>
      <c r="R22" s="14">
        <f>STDEV(B68:D70)</f>
        <v>0</v>
      </c>
      <c r="S22" s="14">
        <f>STDEV(G68:I70)</f>
        <v>0</v>
      </c>
    </row>
    <row r="23" spans="1:19">
      <c r="A23" s="19" t="s">
        <v>4</v>
      </c>
      <c r="B23" s="34">
        <v>0</v>
      </c>
      <c r="C23" s="34">
        <v>0</v>
      </c>
      <c r="D23" s="34">
        <v>0</v>
      </c>
      <c r="F23" s="19" t="s">
        <v>4</v>
      </c>
      <c r="G23" s="34">
        <v>0</v>
      </c>
      <c r="H23" s="34">
        <v>0</v>
      </c>
      <c r="I23" s="34">
        <v>0</v>
      </c>
      <c r="L23" s="11">
        <v>6</v>
      </c>
      <c r="M23" s="58">
        <f>AVERAGE(B72:D74)</f>
        <v>0</v>
      </c>
      <c r="N23" s="58">
        <f>AVERAGE(G72:I74)</f>
        <v>0</v>
      </c>
      <c r="O23" s="13"/>
      <c r="Q23" s="11">
        <v>6</v>
      </c>
      <c r="R23" s="14">
        <f>STDEV(B72:D74)</f>
        <v>0</v>
      </c>
      <c r="S23" s="14">
        <f>STDEV(G72:I74)</f>
        <v>0</v>
      </c>
    </row>
    <row r="24" spans="1:19">
      <c r="A24" s="19">
        <v>25</v>
      </c>
      <c r="B24" s="34">
        <v>0</v>
      </c>
      <c r="C24" s="34">
        <v>0</v>
      </c>
      <c r="D24" s="34">
        <v>0</v>
      </c>
      <c r="F24" s="19">
        <v>25</v>
      </c>
      <c r="G24" s="4">
        <v>1335.373</v>
      </c>
      <c r="H24" s="4">
        <v>923.95699999999999</v>
      </c>
      <c r="I24" s="4">
        <v>38.14</v>
      </c>
      <c r="L24" s="11">
        <v>7</v>
      </c>
      <c r="M24" s="58">
        <f>AVERAGE(B76:D78)</f>
        <v>0</v>
      </c>
      <c r="N24" s="58">
        <f>AVERAGE(G76:I78)</f>
        <v>0</v>
      </c>
      <c r="O24" s="13"/>
      <c r="Q24" s="11">
        <v>7</v>
      </c>
      <c r="R24" s="14">
        <f>STDEV(B76:D78)</f>
        <v>0</v>
      </c>
      <c r="S24" s="14">
        <f>STDEV(G76:I78)</f>
        <v>0</v>
      </c>
    </row>
    <row r="25" spans="1:19">
      <c r="A25" s="19">
        <v>25</v>
      </c>
      <c r="B25" s="34">
        <v>0</v>
      </c>
      <c r="C25" s="34">
        <v>0</v>
      </c>
      <c r="D25" s="34">
        <v>0</v>
      </c>
      <c r="F25" s="19">
        <v>25</v>
      </c>
      <c r="G25" s="4">
        <v>1348.087</v>
      </c>
      <c r="H25" s="4">
        <v>942.09799999999996</v>
      </c>
      <c r="I25" s="4">
        <v>36.987000000000002</v>
      </c>
      <c r="L25" s="11">
        <v>8</v>
      </c>
      <c r="M25" s="58">
        <f>AVERAGE(B80:D82)</f>
        <v>0</v>
      </c>
      <c r="N25" s="58">
        <f>AVERAGE(G80:I82)</f>
        <v>0</v>
      </c>
      <c r="O25" s="13"/>
      <c r="Q25" s="11">
        <v>8</v>
      </c>
      <c r="R25" s="14">
        <f>STDEV(B80:D82)</f>
        <v>0</v>
      </c>
      <c r="S25" s="14">
        <f>STDEV(G80:I82)</f>
        <v>0</v>
      </c>
    </row>
    <row r="26" spans="1:19">
      <c r="A26" s="19">
        <v>25</v>
      </c>
      <c r="B26" s="34">
        <v>0</v>
      </c>
      <c r="C26" s="34">
        <v>0</v>
      </c>
      <c r="D26" s="34">
        <v>0</v>
      </c>
      <c r="F26" s="19">
        <v>25</v>
      </c>
      <c r="G26" s="4">
        <v>1345.818</v>
      </c>
      <c r="H26" s="4">
        <v>916.84900000000005</v>
      </c>
      <c r="I26" s="4">
        <v>37.51</v>
      </c>
      <c r="L26" s="11">
        <v>12</v>
      </c>
      <c r="M26" s="58">
        <f>AVERAGE(B84:D86)</f>
        <v>0</v>
      </c>
      <c r="N26" s="58">
        <f>AVERAGE(G84:I86)</f>
        <v>0</v>
      </c>
      <c r="O26" s="13"/>
      <c r="Q26" s="11">
        <v>12</v>
      </c>
      <c r="R26" s="14">
        <f>STDEV(B84:D86)</f>
        <v>0</v>
      </c>
      <c r="S26" s="14">
        <f>STDEV(G84:I86)</f>
        <v>0</v>
      </c>
    </row>
    <row r="27" spans="1:19">
      <c r="A27" s="19" t="s">
        <v>4</v>
      </c>
      <c r="B27" s="34">
        <v>0</v>
      </c>
      <c r="C27" s="34">
        <v>0</v>
      </c>
      <c r="D27" s="34">
        <v>0</v>
      </c>
      <c r="F27" s="19" t="s">
        <v>4</v>
      </c>
      <c r="G27" s="34">
        <v>0</v>
      </c>
      <c r="H27" s="34">
        <v>0</v>
      </c>
      <c r="I27" s="34">
        <v>0</v>
      </c>
      <c r="L27" s="11">
        <v>18</v>
      </c>
      <c r="M27" s="58">
        <f>AVERAGE(B88:D90)</f>
        <v>0</v>
      </c>
      <c r="N27" s="58">
        <f>AVERAGE(G88:I90)</f>
        <v>0</v>
      </c>
      <c r="O27" s="13"/>
      <c r="Q27" s="11">
        <v>18</v>
      </c>
      <c r="R27" s="14">
        <f>STDEV(B88:D90)</f>
        <v>0</v>
      </c>
      <c r="S27" s="14">
        <f>STDEV(G88:I90)</f>
        <v>0</v>
      </c>
    </row>
    <row r="28" spans="1:19">
      <c r="A28" s="19">
        <v>30</v>
      </c>
      <c r="B28" s="34">
        <v>0</v>
      </c>
      <c r="C28" s="34">
        <v>0</v>
      </c>
      <c r="D28" s="34">
        <v>0</v>
      </c>
      <c r="F28" s="19">
        <v>30</v>
      </c>
      <c r="G28" s="4">
        <v>753.79600000000005</v>
      </c>
      <c r="H28" s="4">
        <v>402.56700000000001</v>
      </c>
      <c r="I28" s="4">
        <v>5.0979999999999999</v>
      </c>
      <c r="L28" s="11">
        <v>24</v>
      </c>
      <c r="M28" s="58">
        <f>AVERAGE(B92:D94)</f>
        <v>0</v>
      </c>
      <c r="N28" s="58">
        <f>AVERAGE(G92:I94)</f>
        <v>0</v>
      </c>
      <c r="O28" s="13"/>
      <c r="Q28" s="11">
        <v>24</v>
      </c>
      <c r="R28" s="14">
        <f>STDEV(B92:D94)</f>
        <v>0</v>
      </c>
      <c r="S28" s="14">
        <f>STDEV(G92:I94)</f>
        <v>0</v>
      </c>
    </row>
    <row r="29" spans="1:19">
      <c r="A29" s="19">
        <v>30</v>
      </c>
      <c r="B29" s="34">
        <v>0</v>
      </c>
      <c r="C29" s="34">
        <v>0</v>
      </c>
      <c r="D29" s="34">
        <v>0</v>
      </c>
      <c r="F29" s="19">
        <v>30</v>
      </c>
      <c r="G29" s="4">
        <v>748.01700000000005</v>
      </c>
      <c r="H29" s="4">
        <v>391.35599999999999</v>
      </c>
      <c r="I29" s="4">
        <v>4.5030000000000001</v>
      </c>
      <c r="L29" s="11">
        <v>48</v>
      </c>
      <c r="M29" s="58">
        <f>AVERAGE(B96:D98)</f>
        <v>0</v>
      </c>
      <c r="N29" s="58">
        <f>AVERAGE(G96:I98)</f>
        <v>0</v>
      </c>
      <c r="O29" s="13"/>
      <c r="Q29" s="11">
        <v>48</v>
      </c>
      <c r="R29" s="14">
        <f>STDEV(B96:D98)</f>
        <v>0</v>
      </c>
      <c r="S29" s="14">
        <f>STDEV(G96:I98)</f>
        <v>0</v>
      </c>
    </row>
    <row r="30" spans="1:19">
      <c r="A30" s="19">
        <v>30</v>
      </c>
      <c r="B30" s="34">
        <v>0</v>
      </c>
      <c r="C30" s="34">
        <v>0</v>
      </c>
      <c r="D30" s="34">
        <v>0</v>
      </c>
      <c r="F30" s="19">
        <v>30</v>
      </c>
      <c r="G30" s="4">
        <v>755.255</v>
      </c>
      <c r="H30" s="4">
        <v>390.59300000000002</v>
      </c>
      <c r="I30" s="4">
        <v>5.173</v>
      </c>
      <c r="K30" s="11" t="s">
        <v>6</v>
      </c>
      <c r="L30" s="11">
        <v>120</v>
      </c>
      <c r="M30" s="58">
        <f>AVERAGE(B100:D102)</f>
        <v>0</v>
      </c>
      <c r="N30" s="58">
        <f>AVERAGE(G100:I102)</f>
        <v>0</v>
      </c>
      <c r="O30" s="13"/>
      <c r="P30" s="11" t="s">
        <v>6</v>
      </c>
      <c r="Q30" s="11">
        <v>120</v>
      </c>
      <c r="R30" s="14">
        <f>STDEV(B100:D102)</f>
        <v>0</v>
      </c>
      <c r="S30" s="14">
        <f>STDEV(G100:I102)</f>
        <v>0</v>
      </c>
    </row>
    <row r="31" spans="1:19">
      <c r="A31" s="19" t="s">
        <v>4</v>
      </c>
      <c r="B31" s="34">
        <v>0</v>
      </c>
      <c r="C31" s="34">
        <v>0</v>
      </c>
      <c r="D31" s="34">
        <v>0</v>
      </c>
      <c r="F31" s="19" t="s">
        <v>4</v>
      </c>
      <c r="G31" s="34">
        <v>0</v>
      </c>
      <c r="H31" s="34">
        <v>0</v>
      </c>
      <c r="I31" s="34">
        <v>0</v>
      </c>
      <c r="K31" s="11" t="s">
        <v>7</v>
      </c>
      <c r="L31" s="11">
        <v>192</v>
      </c>
      <c r="M31" s="58">
        <f>AVERAGE(B104:D106)</f>
        <v>0</v>
      </c>
      <c r="N31" s="58">
        <f>AVERAGE(G104:I106)</f>
        <v>0</v>
      </c>
      <c r="O31" s="13"/>
      <c r="P31" s="11" t="s">
        <v>7</v>
      </c>
      <c r="Q31" s="11">
        <v>192</v>
      </c>
      <c r="R31" s="14">
        <f>STDEV(B104:D106)</f>
        <v>0</v>
      </c>
      <c r="S31" s="14">
        <f>STDEV(G104:I106)</f>
        <v>0</v>
      </c>
    </row>
    <row r="32" spans="1:19">
      <c r="A32" s="19">
        <v>35</v>
      </c>
      <c r="B32" s="34">
        <v>0</v>
      </c>
      <c r="C32" s="34">
        <v>0</v>
      </c>
      <c r="D32" s="34">
        <v>0</v>
      </c>
      <c r="F32" s="19">
        <v>35</v>
      </c>
      <c r="G32" s="4">
        <v>416.56900000000002</v>
      </c>
      <c r="H32" s="4">
        <v>19.222000000000001</v>
      </c>
      <c r="I32" s="34">
        <v>9.7000000000000003E-2</v>
      </c>
      <c r="K32" s="11" t="s">
        <v>8</v>
      </c>
      <c r="L32" s="11">
        <v>264</v>
      </c>
      <c r="M32" s="58">
        <f>AVERAGE(B108:D110)</f>
        <v>0</v>
      </c>
      <c r="N32" s="58">
        <f>AVERAGE(G108:I110)</f>
        <v>0</v>
      </c>
      <c r="O32" s="13"/>
      <c r="P32" s="11" t="s">
        <v>8</v>
      </c>
      <c r="Q32" s="11">
        <v>264</v>
      </c>
      <c r="R32" s="14">
        <f>STDEV(B108:D110)</f>
        <v>0</v>
      </c>
      <c r="S32" s="14">
        <f>STDEV(G108:I110)</f>
        <v>0</v>
      </c>
    </row>
    <row r="33" spans="1:19">
      <c r="A33" s="19">
        <v>35</v>
      </c>
      <c r="B33" s="34">
        <v>0</v>
      </c>
      <c r="C33" s="34">
        <v>0</v>
      </c>
      <c r="D33" s="34">
        <v>0</v>
      </c>
      <c r="F33" s="19">
        <v>35</v>
      </c>
      <c r="G33" s="4">
        <v>403.32100000000003</v>
      </c>
      <c r="H33" s="4">
        <v>20.085000000000001</v>
      </c>
      <c r="I33" s="34">
        <v>0</v>
      </c>
      <c r="K33" s="11" t="s">
        <v>9</v>
      </c>
      <c r="L33" s="11">
        <v>336</v>
      </c>
      <c r="M33" s="58">
        <f>AVERAGE(B112:D114)</f>
        <v>0</v>
      </c>
      <c r="N33" s="58">
        <f>AVERAGE(G112:I114)</f>
        <v>0</v>
      </c>
      <c r="O33" s="13"/>
      <c r="P33" s="11" t="s">
        <v>9</v>
      </c>
      <c r="Q33" s="11">
        <v>336</v>
      </c>
      <c r="R33" s="14">
        <f>STDEV(B112:D114)</f>
        <v>0</v>
      </c>
      <c r="S33" s="14">
        <f>STDEV(G112:I114)</f>
        <v>0</v>
      </c>
    </row>
    <row r="34" spans="1:19">
      <c r="A34" s="19">
        <v>35</v>
      </c>
      <c r="B34" s="34">
        <v>0</v>
      </c>
      <c r="C34" s="34">
        <v>0</v>
      </c>
      <c r="D34" s="34">
        <v>0</v>
      </c>
      <c r="F34" s="19">
        <v>35</v>
      </c>
      <c r="G34" s="4">
        <v>407.99400000000003</v>
      </c>
      <c r="H34" s="4">
        <v>17.187999999999999</v>
      </c>
      <c r="I34" s="34">
        <v>0</v>
      </c>
      <c r="K34" s="11" t="s">
        <v>10</v>
      </c>
      <c r="L34" s="11">
        <v>408</v>
      </c>
      <c r="M34" s="58">
        <f>AVERAGE(B116:D118)</f>
        <v>0</v>
      </c>
      <c r="N34" s="58">
        <f>AVERAGE(G116:I118)</f>
        <v>0</v>
      </c>
      <c r="O34" s="13"/>
      <c r="P34" s="11" t="s">
        <v>10</v>
      </c>
      <c r="Q34" s="11">
        <v>408</v>
      </c>
      <c r="R34" s="14">
        <f>STDEV(B116:D118)</f>
        <v>0</v>
      </c>
      <c r="S34" s="14">
        <f>STDEV(G116:I118)</f>
        <v>0</v>
      </c>
    </row>
    <row r="35" spans="1:19">
      <c r="A35" s="19" t="s">
        <v>4</v>
      </c>
      <c r="B35" s="34">
        <v>0</v>
      </c>
      <c r="C35" s="34">
        <v>0</v>
      </c>
      <c r="D35" s="34">
        <v>0</v>
      </c>
      <c r="F35" s="19" t="s">
        <v>4</v>
      </c>
      <c r="G35" s="34">
        <v>0</v>
      </c>
      <c r="H35" s="34">
        <v>0</v>
      </c>
      <c r="I35" s="34">
        <v>0</v>
      </c>
      <c r="K35" s="11" t="s">
        <v>11</v>
      </c>
      <c r="L35" s="11">
        <v>480</v>
      </c>
      <c r="M35" s="58">
        <f>AVERAGE(B120:D122)</f>
        <v>0</v>
      </c>
      <c r="N35" s="58">
        <f>AVERAGE(G120:I122)</f>
        <v>0</v>
      </c>
      <c r="O35" s="13"/>
      <c r="P35" s="11" t="s">
        <v>11</v>
      </c>
      <c r="Q35" s="11">
        <v>480</v>
      </c>
      <c r="R35" s="14">
        <f>STDEV(B120:D122)</f>
        <v>0</v>
      </c>
      <c r="S35" s="14">
        <f>STDEV(G120:I122)</f>
        <v>0</v>
      </c>
    </row>
    <row r="36" spans="1:19">
      <c r="A36" s="19">
        <v>40</v>
      </c>
      <c r="B36" s="34">
        <v>0</v>
      </c>
      <c r="C36" s="34">
        <v>0</v>
      </c>
      <c r="D36" s="33"/>
      <c r="F36" s="19">
        <v>40</v>
      </c>
      <c r="G36" s="4">
        <v>193.28200000000001</v>
      </c>
      <c r="H36" s="4">
        <v>138.16499999999999</v>
      </c>
      <c r="I36" s="33"/>
      <c r="K36" s="11" t="s">
        <v>12</v>
      </c>
      <c r="L36" s="11">
        <v>552</v>
      </c>
      <c r="M36" s="58">
        <f>AVERAGE(B124:D126)</f>
        <v>0</v>
      </c>
      <c r="N36" s="58">
        <f>AVERAGE(G124:I126)</f>
        <v>0</v>
      </c>
      <c r="O36" s="13"/>
      <c r="P36" s="11" t="s">
        <v>12</v>
      </c>
      <c r="Q36" s="11">
        <v>552</v>
      </c>
      <c r="R36" s="14">
        <f>STDEV(B124:D126)</f>
        <v>0</v>
      </c>
      <c r="S36" s="14">
        <f>STDEV(G124:I126)</f>
        <v>0</v>
      </c>
    </row>
    <row r="37" spans="1:19">
      <c r="A37" s="19">
        <v>40</v>
      </c>
      <c r="B37" s="34">
        <v>0</v>
      </c>
      <c r="C37" s="34">
        <v>0</v>
      </c>
      <c r="D37" s="33"/>
      <c r="F37" s="19">
        <v>40</v>
      </c>
      <c r="G37" s="4">
        <v>198.14400000000001</v>
      </c>
      <c r="H37" s="4">
        <v>134.804</v>
      </c>
      <c r="I37" s="33"/>
      <c r="K37" s="11" t="s">
        <v>13</v>
      </c>
      <c r="L37" s="11">
        <v>624</v>
      </c>
      <c r="M37" s="58">
        <f>AVERAGE(B128:D130)</f>
        <v>0</v>
      </c>
      <c r="N37" s="58">
        <f>AVERAGE(G128:I130)</f>
        <v>0</v>
      </c>
      <c r="O37" s="13"/>
      <c r="P37" s="11" t="s">
        <v>13</v>
      </c>
      <c r="Q37" s="11">
        <v>624</v>
      </c>
      <c r="R37" s="14">
        <f>STDEV(B128:D130)</f>
        <v>0</v>
      </c>
      <c r="S37" s="14">
        <f>STDEV(G128:I130)</f>
        <v>0</v>
      </c>
    </row>
    <row r="38" spans="1:19">
      <c r="A38" s="19">
        <v>40</v>
      </c>
      <c r="B38" s="34">
        <v>0</v>
      </c>
      <c r="C38" s="34">
        <v>0</v>
      </c>
      <c r="D38" s="33"/>
      <c r="F38" s="19">
        <v>40</v>
      </c>
      <c r="G38" s="4">
        <v>195.79300000000001</v>
      </c>
      <c r="H38" s="4">
        <v>136.57599999999999</v>
      </c>
      <c r="I38" s="33"/>
      <c r="K38" s="11" t="s">
        <v>14</v>
      </c>
      <c r="L38" s="11">
        <v>696</v>
      </c>
      <c r="M38" s="58">
        <f>AVERAGE(B132:D134)</f>
        <v>0</v>
      </c>
      <c r="N38" s="58">
        <f>AVERAGE(G132:I134)</f>
        <v>0</v>
      </c>
      <c r="O38" s="13"/>
      <c r="P38" s="11" t="s">
        <v>14</v>
      </c>
      <c r="Q38" s="11">
        <v>696</v>
      </c>
      <c r="R38" s="14">
        <f>STDEV(B132:D134)</f>
        <v>0</v>
      </c>
      <c r="S38" s="14">
        <f>STDEV(G132:I134)</f>
        <v>0</v>
      </c>
    </row>
    <row r="39" spans="1:19">
      <c r="A39" s="19" t="s">
        <v>4</v>
      </c>
      <c r="B39" s="34">
        <v>0</v>
      </c>
      <c r="C39" s="34">
        <v>0</v>
      </c>
      <c r="D39" s="33"/>
      <c r="F39" s="19" t="s">
        <v>4</v>
      </c>
      <c r="G39" s="34">
        <v>0</v>
      </c>
      <c r="H39" s="34">
        <v>0</v>
      </c>
      <c r="I39" s="33"/>
      <c r="K39" s="11" t="s">
        <v>15</v>
      </c>
      <c r="L39" s="11">
        <v>768</v>
      </c>
      <c r="M39" s="62" t="e">
        <f>AVERAGE(B136:D138)</f>
        <v>#DIV/0!</v>
      </c>
      <c r="N39" s="62" t="e">
        <f>AVERAGE(G136:I138)</f>
        <v>#DIV/0!</v>
      </c>
      <c r="O39" s="13"/>
      <c r="P39" s="11" t="s">
        <v>15</v>
      </c>
      <c r="Q39" s="11">
        <v>768</v>
      </c>
      <c r="R39" s="14" t="e">
        <f>STDEV(B136:D138)</f>
        <v>#DIV/0!</v>
      </c>
      <c r="S39" s="14" t="e">
        <f>STDEV(G136:I138)</f>
        <v>#DIV/0!</v>
      </c>
    </row>
    <row r="40" spans="1:19">
      <c r="A40" s="19">
        <v>45</v>
      </c>
      <c r="B40" s="34">
        <v>0</v>
      </c>
      <c r="C40" s="34">
        <v>0</v>
      </c>
      <c r="D40" s="34">
        <v>0</v>
      </c>
      <c r="F40" s="19">
        <v>45</v>
      </c>
      <c r="G40" s="4">
        <v>142.245</v>
      </c>
      <c r="H40" s="4">
        <v>117.845</v>
      </c>
      <c r="I40" s="34">
        <v>0</v>
      </c>
      <c r="K40" s="11" t="s">
        <v>16</v>
      </c>
      <c r="L40" s="11">
        <v>840</v>
      </c>
      <c r="M40" s="62" t="e">
        <f>AVERAGE(B140:D142)</f>
        <v>#DIV/0!</v>
      </c>
      <c r="N40" s="62" t="e">
        <f>AVERAGE(G140:I142)</f>
        <v>#DIV/0!</v>
      </c>
      <c r="O40" s="13"/>
      <c r="P40" s="11" t="s">
        <v>16</v>
      </c>
      <c r="Q40" s="11">
        <v>840</v>
      </c>
      <c r="R40" s="14" t="e">
        <f>STDEV(B140:D142)</f>
        <v>#DIV/0!</v>
      </c>
      <c r="S40" s="14" t="e">
        <f>STDEV(G140:I142)</f>
        <v>#DIV/0!</v>
      </c>
    </row>
    <row r="41" spans="1:19">
      <c r="A41" s="19">
        <v>45</v>
      </c>
      <c r="B41" s="34">
        <v>0</v>
      </c>
      <c r="C41" s="34">
        <v>0</v>
      </c>
      <c r="D41" s="34">
        <v>0</v>
      </c>
      <c r="F41" s="19">
        <v>45</v>
      </c>
      <c r="G41" s="4">
        <v>142.971</v>
      </c>
      <c r="H41" s="4">
        <v>117.468</v>
      </c>
      <c r="I41" s="34">
        <v>0</v>
      </c>
      <c r="K41" s="11" t="s">
        <v>17</v>
      </c>
      <c r="L41" s="11">
        <v>912</v>
      </c>
      <c r="M41" s="62" t="e">
        <f>AVERAGE(B144:D146)</f>
        <v>#DIV/0!</v>
      </c>
      <c r="N41" s="62" t="e">
        <f>AVERAGE(G144:I146)</f>
        <v>#DIV/0!</v>
      </c>
      <c r="O41" s="13"/>
      <c r="P41" s="11" t="s">
        <v>17</v>
      </c>
      <c r="Q41" s="11">
        <v>912</v>
      </c>
      <c r="R41" s="14" t="e">
        <f>STDEV(B144:D146)</f>
        <v>#DIV/0!</v>
      </c>
      <c r="S41" s="14" t="e">
        <f>STDEV(G144:I146)</f>
        <v>#DIV/0!</v>
      </c>
    </row>
    <row r="42" spans="1:19">
      <c r="A42" s="19">
        <v>45</v>
      </c>
      <c r="B42" s="34">
        <v>0</v>
      </c>
      <c r="C42" s="34">
        <v>0</v>
      </c>
      <c r="D42" s="34">
        <v>0</v>
      </c>
      <c r="F42" s="19">
        <v>45</v>
      </c>
      <c r="G42" s="4">
        <v>145.124</v>
      </c>
      <c r="H42" s="4">
        <v>121.72799999999999</v>
      </c>
      <c r="I42" s="34">
        <v>0</v>
      </c>
      <c r="K42" s="11" t="s">
        <v>18</v>
      </c>
      <c r="L42" s="11">
        <v>984</v>
      </c>
      <c r="M42" s="62" t="e">
        <f>AVERAGE(B148:D150)</f>
        <v>#DIV/0!</v>
      </c>
      <c r="N42" s="62" t="e">
        <f>AVERAGE(G148:I150)</f>
        <v>#DIV/0!</v>
      </c>
      <c r="O42" s="13"/>
      <c r="P42" s="11" t="s">
        <v>18</v>
      </c>
      <c r="Q42" s="11">
        <v>984</v>
      </c>
      <c r="R42" s="14" t="e">
        <f>STDEV(B148:D150)</f>
        <v>#DIV/0!</v>
      </c>
      <c r="S42" s="14" t="e">
        <f>STDEV(G148:I150)</f>
        <v>#DIV/0!</v>
      </c>
    </row>
    <row r="43" spans="1:19">
      <c r="A43" s="19" t="s">
        <v>4</v>
      </c>
      <c r="B43" s="34">
        <v>0</v>
      </c>
      <c r="C43" s="34">
        <v>0</v>
      </c>
      <c r="D43" s="34">
        <v>0</v>
      </c>
      <c r="F43" s="19" t="s">
        <v>4</v>
      </c>
      <c r="G43" s="34">
        <v>0</v>
      </c>
      <c r="H43" s="34">
        <v>0</v>
      </c>
      <c r="I43" s="34">
        <v>0</v>
      </c>
    </row>
    <row r="44" spans="1:19">
      <c r="A44" s="19">
        <v>50</v>
      </c>
      <c r="B44" s="34">
        <v>0</v>
      </c>
      <c r="C44" s="34">
        <v>0</v>
      </c>
      <c r="D44" s="34">
        <v>0</v>
      </c>
      <c r="F44" s="19">
        <v>50</v>
      </c>
      <c r="G44" s="4">
        <v>63.302999999999997</v>
      </c>
      <c r="H44" s="4">
        <v>82.379000000000005</v>
      </c>
      <c r="I44" s="34">
        <v>0</v>
      </c>
    </row>
    <row r="45" spans="1:19">
      <c r="A45" s="19">
        <v>50</v>
      </c>
      <c r="B45" s="34">
        <v>0</v>
      </c>
      <c r="C45" s="34">
        <v>0</v>
      </c>
      <c r="D45" s="34">
        <v>0</v>
      </c>
      <c r="F45" s="19">
        <v>50</v>
      </c>
      <c r="G45" s="4">
        <v>67.763999999999996</v>
      </c>
      <c r="H45" s="4">
        <v>81.941999999999993</v>
      </c>
      <c r="I45" s="34">
        <v>0</v>
      </c>
    </row>
    <row r="46" spans="1:19">
      <c r="A46" s="19">
        <v>50</v>
      </c>
      <c r="B46" s="34">
        <v>0</v>
      </c>
      <c r="C46" s="34">
        <v>0</v>
      </c>
      <c r="D46" s="34">
        <v>0</v>
      </c>
      <c r="F46" s="19">
        <v>50</v>
      </c>
      <c r="G46" s="4">
        <v>65.106999999999999</v>
      </c>
      <c r="H46" s="4">
        <v>84.775999999999996</v>
      </c>
      <c r="I46" s="34">
        <v>0</v>
      </c>
    </row>
    <row r="47" spans="1:19">
      <c r="A47" s="19" t="s">
        <v>4</v>
      </c>
      <c r="B47" s="34">
        <v>0</v>
      </c>
      <c r="C47" s="34">
        <v>0</v>
      </c>
      <c r="D47" s="34">
        <v>0</v>
      </c>
      <c r="F47" s="19" t="s">
        <v>4</v>
      </c>
      <c r="G47" s="34">
        <v>0</v>
      </c>
      <c r="H47" s="34">
        <v>0</v>
      </c>
      <c r="I47" s="34">
        <v>0</v>
      </c>
    </row>
    <row r="48" spans="1:19">
      <c r="A48" s="19">
        <v>55</v>
      </c>
      <c r="B48" s="34">
        <v>0</v>
      </c>
      <c r="C48" s="34">
        <v>0</v>
      </c>
      <c r="D48" s="34">
        <v>0</v>
      </c>
      <c r="F48" s="19">
        <v>55</v>
      </c>
      <c r="G48" s="34">
        <v>0</v>
      </c>
      <c r="H48" s="4">
        <v>54.433999999999997</v>
      </c>
      <c r="I48" s="34">
        <v>0</v>
      </c>
    </row>
    <row r="49" spans="1:9">
      <c r="A49" s="19">
        <v>55</v>
      </c>
      <c r="B49" s="34">
        <v>0</v>
      </c>
      <c r="C49" s="34">
        <v>0</v>
      </c>
      <c r="D49" s="34">
        <v>0</v>
      </c>
      <c r="F49" s="19">
        <v>55</v>
      </c>
      <c r="G49" s="34">
        <v>0</v>
      </c>
      <c r="H49" s="4">
        <v>56.597999999999999</v>
      </c>
      <c r="I49" s="34">
        <v>0</v>
      </c>
    </row>
    <row r="50" spans="1:9">
      <c r="A50" s="19">
        <v>55</v>
      </c>
      <c r="B50" s="34">
        <v>0</v>
      </c>
      <c r="C50" s="34">
        <v>0</v>
      </c>
      <c r="D50" s="34">
        <v>0</v>
      </c>
      <c r="F50" s="19">
        <v>55</v>
      </c>
      <c r="G50" s="34">
        <v>0</v>
      </c>
      <c r="H50" s="4">
        <v>54.68</v>
      </c>
      <c r="I50" s="34">
        <v>0</v>
      </c>
    </row>
    <row r="51" spans="1:9">
      <c r="A51" s="19" t="s">
        <v>4</v>
      </c>
      <c r="B51" s="34">
        <v>0</v>
      </c>
      <c r="C51" s="34">
        <v>0</v>
      </c>
      <c r="D51" s="34">
        <v>0</v>
      </c>
      <c r="F51" s="19" t="s">
        <v>4</v>
      </c>
      <c r="G51" s="34">
        <v>0</v>
      </c>
      <c r="H51" s="34">
        <v>0</v>
      </c>
      <c r="I51" s="34">
        <v>0</v>
      </c>
    </row>
    <row r="52" spans="1:9">
      <c r="A52" s="19">
        <v>60</v>
      </c>
      <c r="B52" s="34">
        <v>0</v>
      </c>
      <c r="C52" s="34">
        <v>0</v>
      </c>
      <c r="D52" s="34">
        <v>0</v>
      </c>
      <c r="F52" s="19">
        <v>60</v>
      </c>
      <c r="G52" s="34">
        <v>0</v>
      </c>
      <c r="H52" s="4">
        <v>34.741</v>
      </c>
      <c r="I52" s="4">
        <v>2.4489999999999998</v>
      </c>
    </row>
    <row r="53" spans="1:9">
      <c r="A53" s="19">
        <v>60</v>
      </c>
      <c r="B53" s="34">
        <v>0</v>
      </c>
      <c r="C53" s="34">
        <v>0</v>
      </c>
      <c r="D53" s="34">
        <v>0</v>
      </c>
      <c r="F53" s="19">
        <v>60</v>
      </c>
      <c r="G53" s="34">
        <v>0</v>
      </c>
      <c r="H53" s="4">
        <v>34.353999999999999</v>
      </c>
      <c r="I53" s="4">
        <v>2.5830000000000002</v>
      </c>
    </row>
    <row r="54" spans="1:9">
      <c r="A54" s="19">
        <v>60</v>
      </c>
      <c r="B54" s="34">
        <v>0</v>
      </c>
      <c r="C54" s="34">
        <v>0</v>
      </c>
      <c r="D54" s="34">
        <v>0</v>
      </c>
      <c r="F54" s="19">
        <v>60</v>
      </c>
      <c r="G54" s="34">
        <v>0</v>
      </c>
      <c r="H54" s="4">
        <v>34.64</v>
      </c>
      <c r="I54" s="4">
        <v>2.5529999999999999</v>
      </c>
    </row>
    <row r="55" spans="1:9">
      <c r="A55" s="19" t="s">
        <v>4</v>
      </c>
      <c r="B55" s="34">
        <v>0</v>
      </c>
      <c r="C55" s="34">
        <v>0</v>
      </c>
      <c r="D55" s="34">
        <v>0</v>
      </c>
      <c r="F55" s="19" t="s">
        <v>4</v>
      </c>
      <c r="G55" s="34">
        <v>0</v>
      </c>
      <c r="H55" s="34">
        <v>0</v>
      </c>
      <c r="I55" s="34">
        <v>0</v>
      </c>
    </row>
    <row r="56" spans="1:9">
      <c r="A56" s="19">
        <v>2</v>
      </c>
      <c r="B56" s="34">
        <v>0</v>
      </c>
      <c r="C56" s="34">
        <v>0</v>
      </c>
      <c r="D56" s="34">
        <v>0</v>
      </c>
      <c r="F56" s="19">
        <v>2</v>
      </c>
      <c r="G56" s="34">
        <v>0</v>
      </c>
      <c r="H56" s="34">
        <v>0</v>
      </c>
      <c r="I56" s="34">
        <v>0</v>
      </c>
    </row>
    <row r="57" spans="1:9">
      <c r="A57" s="19">
        <v>2</v>
      </c>
      <c r="B57" s="34">
        <v>0</v>
      </c>
      <c r="C57" s="34">
        <v>0</v>
      </c>
      <c r="D57" s="34">
        <v>0</v>
      </c>
      <c r="F57" s="19">
        <v>2</v>
      </c>
      <c r="G57" s="34">
        <v>0</v>
      </c>
      <c r="H57" s="34">
        <v>0</v>
      </c>
      <c r="I57" s="34">
        <v>0</v>
      </c>
    </row>
    <row r="58" spans="1:9">
      <c r="A58" s="19">
        <v>2</v>
      </c>
      <c r="B58" s="34">
        <v>0</v>
      </c>
      <c r="C58" s="34">
        <v>0</v>
      </c>
      <c r="D58" s="34">
        <v>0</v>
      </c>
      <c r="F58" s="19">
        <v>2</v>
      </c>
      <c r="G58" s="34">
        <v>0</v>
      </c>
      <c r="H58" s="34">
        <v>0</v>
      </c>
      <c r="I58" s="34">
        <v>0</v>
      </c>
    </row>
    <row r="59" spans="1:9">
      <c r="A59" s="19" t="s">
        <v>4</v>
      </c>
      <c r="B59" s="34">
        <v>0</v>
      </c>
      <c r="C59" s="34">
        <v>0</v>
      </c>
      <c r="D59" s="34">
        <v>0</v>
      </c>
      <c r="F59" s="19" t="s">
        <v>4</v>
      </c>
      <c r="G59" s="34">
        <v>0</v>
      </c>
      <c r="H59" s="34">
        <v>0</v>
      </c>
      <c r="I59" s="34">
        <v>0</v>
      </c>
    </row>
    <row r="60" spans="1:9">
      <c r="A60" s="19">
        <v>3</v>
      </c>
      <c r="B60" s="34">
        <v>0</v>
      </c>
      <c r="C60" s="34">
        <v>0</v>
      </c>
      <c r="D60" s="34">
        <v>0</v>
      </c>
      <c r="F60" s="19">
        <v>3</v>
      </c>
      <c r="G60" s="34">
        <v>0</v>
      </c>
      <c r="H60" s="34">
        <v>0</v>
      </c>
      <c r="I60" s="34">
        <v>0</v>
      </c>
    </row>
    <row r="61" spans="1:9">
      <c r="A61" s="19">
        <v>3</v>
      </c>
      <c r="B61" s="34">
        <v>0</v>
      </c>
      <c r="C61" s="34">
        <v>0</v>
      </c>
      <c r="D61" s="34">
        <v>0</v>
      </c>
      <c r="F61" s="19">
        <v>3</v>
      </c>
      <c r="G61" s="34">
        <v>0</v>
      </c>
      <c r="H61" s="34">
        <v>0</v>
      </c>
      <c r="I61" s="34">
        <v>0</v>
      </c>
    </row>
    <row r="62" spans="1:9">
      <c r="A62" s="19">
        <v>3</v>
      </c>
      <c r="B62" s="34">
        <v>0</v>
      </c>
      <c r="C62" s="34">
        <v>0</v>
      </c>
      <c r="D62" s="34">
        <v>0</v>
      </c>
      <c r="F62" s="19">
        <v>3</v>
      </c>
      <c r="G62" s="34">
        <v>0</v>
      </c>
      <c r="H62" s="34">
        <v>0</v>
      </c>
      <c r="I62" s="34">
        <v>0</v>
      </c>
    </row>
    <row r="63" spans="1:9">
      <c r="A63" s="19" t="s">
        <v>19</v>
      </c>
      <c r="B63" s="34">
        <v>0</v>
      </c>
      <c r="C63" s="34">
        <v>0</v>
      </c>
      <c r="D63" s="34">
        <v>0</v>
      </c>
      <c r="F63" s="19" t="s">
        <v>19</v>
      </c>
      <c r="G63" s="34">
        <v>0</v>
      </c>
      <c r="H63" s="34">
        <v>0</v>
      </c>
      <c r="I63" s="34">
        <v>0</v>
      </c>
    </row>
    <row r="64" spans="1:9">
      <c r="A64" s="19">
        <v>4</v>
      </c>
      <c r="B64" s="34">
        <v>0</v>
      </c>
      <c r="C64" s="34">
        <v>0</v>
      </c>
      <c r="D64" s="34">
        <v>0</v>
      </c>
      <c r="F64" s="19">
        <v>4</v>
      </c>
      <c r="G64" s="34">
        <v>0</v>
      </c>
      <c r="H64" s="34">
        <v>0</v>
      </c>
      <c r="I64" s="34">
        <v>0</v>
      </c>
    </row>
    <row r="65" spans="1:9">
      <c r="A65" s="19">
        <v>4</v>
      </c>
      <c r="B65" s="34">
        <v>0</v>
      </c>
      <c r="C65" s="34">
        <v>0</v>
      </c>
      <c r="D65" s="34">
        <v>0</v>
      </c>
      <c r="F65" s="19">
        <v>4</v>
      </c>
      <c r="G65" s="34">
        <v>0</v>
      </c>
      <c r="H65" s="34">
        <v>0</v>
      </c>
      <c r="I65" s="34">
        <v>0</v>
      </c>
    </row>
    <row r="66" spans="1:9">
      <c r="A66" s="19">
        <v>4</v>
      </c>
      <c r="B66" s="34">
        <v>0</v>
      </c>
      <c r="C66" s="34">
        <v>0</v>
      </c>
      <c r="D66" s="34">
        <v>0</v>
      </c>
      <c r="F66" s="19">
        <v>4</v>
      </c>
      <c r="G66" s="34">
        <v>0</v>
      </c>
      <c r="H66" s="34">
        <v>0</v>
      </c>
      <c r="I66" s="34">
        <v>0</v>
      </c>
    </row>
    <row r="67" spans="1:9">
      <c r="A67" s="19" t="s">
        <v>19</v>
      </c>
      <c r="B67" s="34">
        <v>0</v>
      </c>
      <c r="C67" s="34">
        <v>0</v>
      </c>
      <c r="D67" s="34">
        <v>0</v>
      </c>
      <c r="F67" s="19" t="s">
        <v>19</v>
      </c>
      <c r="G67" s="34">
        <v>0</v>
      </c>
      <c r="H67" s="34">
        <v>0</v>
      </c>
      <c r="I67" s="34">
        <v>0</v>
      </c>
    </row>
    <row r="68" spans="1:9">
      <c r="A68" s="19">
        <v>5</v>
      </c>
      <c r="B68" s="34">
        <v>0</v>
      </c>
      <c r="C68" s="34">
        <v>0</v>
      </c>
      <c r="D68" s="34">
        <v>0</v>
      </c>
      <c r="F68" s="19">
        <v>5</v>
      </c>
      <c r="G68" s="34">
        <v>0</v>
      </c>
      <c r="H68" s="34">
        <v>0</v>
      </c>
      <c r="I68" s="34">
        <v>0</v>
      </c>
    </row>
    <row r="69" spans="1:9">
      <c r="A69" s="19">
        <v>5</v>
      </c>
      <c r="B69" s="34">
        <v>0</v>
      </c>
      <c r="C69" s="34">
        <v>0</v>
      </c>
      <c r="D69" s="34">
        <v>0</v>
      </c>
      <c r="F69" s="19">
        <v>5</v>
      </c>
      <c r="G69" s="34">
        <v>0</v>
      </c>
      <c r="H69" s="34">
        <v>0</v>
      </c>
      <c r="I69" s="34">
        <v>0</v>
      </c>
    </row>
    <row r="70" spans="1:9">
      <c r="A70" s="19">
        <v>5</v>
      </c>
      <c r="B70" s="34">
        <v>0</v>
      </c>
      <c r="C70" s="34">
        <v>0</v>
      </c>
      <c r="D70" s="34">
        <v>0</v>
      </c>
      <c r="F70" s="19">
        <v>5</v>
      </c>
      <c r="G70" s="34">
        <v>0</v>
      </c>
      <c r="H70" s="34">
        <v>0</v>
      </c>
      <c r="I70" s="34">
        <v>0</v>
      </c>
    </row>
    <row r="71" spans="1:9">
      <c r="A71" s="19" t="s">
        <v>19</v>
      </c>
      <c r="B71" s="34">
        <v>0</v>
      </c>
      <c r="C71" s="34">
        <v>0</v>
      </c>
      <c r="D71" s="34">
        <v>0</v>
      </c>
      <c r="F71" s="19" t="s">
        <v>19</v>
      </c>
      <c r="G71" s="34">
        <v>0</v>
      </c>
      <c r="H71" s="34">
        <v>0</v>
      </c>
      <c r="I71" s="34">
        <v>0</v>
      </c>
    </row>
    <row r="72" spans="1:9">
      <c r="A72" s="19">
        <v>6</v>
      </c>
      <c r="B72" s="34">
        <v>0</v>
      </c>
      <c r="C72" s="34">
        <v>0</v>
      </c>
      <c r="D72" s="34">
        <v>0</v>
      </c>
      <c r="F72" s="19">
        <v>6</v>
      </c>
      <c r="G72" s="34">
        <v>0</v>
      </c>
      <c r="H72" s="34">
        <v>0</v>
      </c>
      <c r="I72" s="34">
        <v>0</v>
      </c>
    </row>
    <row r="73" spans="1:9">
      <c r="A73" s="19">
        <v>6</v>
      </c>
      <c r="B73" s="34">
        <v>0</v>
      </c>
      <c r="C73" s="34">
        <v>0</v>
      </c>
      <c r="D73" s="34">
        <v>0</v>
      </c>
      <c r="F73" s="19">
        <v>6</v>
      </c>
      <c r="G73" s="34">
        <v>0</v>
      </c>
      <c r="H73" s="34">
        <v>0</v>
      </c>
      <c r="I73" s="34">
        <v>0</v>
      </c>
    </row>
    <row r="74" spans="1:9">
      <c r="A74" s="19">
        <v>6</v>
      </c>
      <c r="B74" s="34">
        <v>0</v>
      </c>
      <c r="C74" s="34">
        <v>0</v>
      </c>
      <c r="D74" s="34">
        <v>0</v>
      </c>
      <c r="F74" s="19">
        <v>6</v>
      </c>
      <c r="G74" s="34">
        <v>0</v>
      </c>
      <c r="H74" s="34">
        <v>0</v>
      </c>
      <c r="I74" s="34">
        <v>0</v>
      </c>
    </row>
    <row r="75" spans="1:9">
      <c r="A75" s="19" t="s">
        <v>19</v>
      </c>
      <c r="B75" s="34">
        <v>0</v>
      </c>
      <c r="C75" s="34">
        <v>0</v>
      </c>
      <c r="D75" s="34">
        <v>0</v>
      </c>
      <c r="F75" s="19" t="s">
        <v>19</v>
      </c>
      <c r="G75" s="34">
        <v>0</v>
      </c>
      <c r="H75" s="34">
        <v>0</v>
      </c>
      <c r="I75" s="34">
        <v>0</v>
      </c>
    </row>
    <row r="76" spans="1:9">
      <c r="A76" s="19">
        <v>7</v>
      </c>
      <c r="B76" s="34">
        <v>0</v>
      </c>
      <c r="C76" s="34">
        <v>0</v>
      </c>
      <c r="D76" s="33"/>
      <c r="F76" s="19">
        <v>7</v>
      </c>
      <c r="G76" s="34">
        <v>0</v>
      </c>
      <c r="H76" s="34">
        <v>0</v>
      </c>
      <c r="I76" s="33"/>
    </row>
    <row r="77" spans="1:9">
      <c r="A77" s="19">
        <v>7</v>
      </c>
      <c r="B77" s="34">
        <v>0</v>
      </c>
      <c r="C77" s="34">
        <v>0</v>
      </c>
      <c r="D77" s="33"/>
      <c r="F77" s="19">
        <v>7</v>
      </c>
      <c r="G77" s="34">
        <v>0</v>
      </c>
      <c r="H77" s="34">
        <v>0</v>
      </c>
      <c r="I77" s="33"/>
    </row>
    <row r="78" spans="1:9">
      <c r="A78" s="19">
        <v>7</v>
      </c>
      <c r="B78" s="34">
        <v>0</v>
      </c>
      <c r="C78" s="34">
        <v>0</v>
      </c>
      <c r="D78" s="33"/>
      <c r="F78" s="19">
        <v>7</v>
      </c>
      <c r="G78" s="34">
        <v>0</v>
      </c>
      <c r="H78" s="34">
        <v>0</v>
      </c>
      <c r="I78" s="33"/>
    </row>
    <row r="79" spans="1:9">
      <c r="A79" s="19" t="s">
        <v>19</v>
      </c>
      <c r="B79" s="34">
        <v>0</v>
      </c>
      <c r="C79" s="34">
        <v>0</v>
      </c>
      <c r="D79" s="33"/>
      <c r="F79" s="19" t="s">
        <v>19</v>
      </c>
      <c r="G79" s="34">
        <v>0</v>
      </c>
      <c r="H79" s="34">
        <v>0</v>
      </c>
      <c r="I79" s="33"/>
    </row>
    <row r="80" spans="1:9">
      <c r="A80" s="19">
        <v>8</v>
      </c>
      <c r="B80" s="34">
        <v>0</v>
      </c>
      <c r="C80" s="34">
        <v>0</v>
      </c>
      <c r="D80" s="34">
        <v>0</v>
      </c>
      <c r="F80" s="19">
        <v>8</v>
      </c>
      <c r="G80" s="34">
        <v>0</v>
      </c>
      <c r="H80" s="34">
        <v>0</v>
      </c>
      <c r="I80" s="34">
        <v>0</v>
      </c>
    </row>
    <row r="81" spans="1:9">
      <c r="A81" s="19">
        <v>8</v>
      </c>
      <c r="B81" s="34">
        <v>0</v>
      </c>
      <c r="C81" s="34">
        <v>0</v>
      </c>
      <c r="D81" s="34">
        <v>0</v>
      </c>
      <c r="F81" s="19">
        <v>8</v>
      </c>
      <c r="G81" s="34">
        <v>0</v>
      </c>
      <c r="H81" s="34">
        <v>0</v>
      </c>
      <c r="I81" s="34">
        <v>0</v>
      </c>
    </row>
    <row r="82" spans="1:9">
      <c r="A82" s="19">
        <v>8</v>
      </c>
      <c r="B82" s="34">
        <v>0</v>
      </c>
      <c r="C82" s="34">
        <v>0</v>
      </c>
      <c r="D82" s="34">
        <v>0</v>
      </c>
      <c r="F82" s="19">
        <v>8</v>
      </c>
      <c r="G82" s="34">
        <v>0</v>
      </c>
      <c r="H82" s="34">
        <v>0</v>
      </c>
      <c r="I82" s="34">
        <v>0</v>
      </c>
    </row>
    <row r="83" spans="1:9">
      <c r="A83" s="19" t="s">
        <v>19</v>
      </c>
      <c r="B83" s="34">
        <v>0</v>
      </c>
      <c r="C83" s="34">
        <v>0</v>
      </c>
      <c r="D83" s="34">
        <v>0</v>
      </c>
      <c r="F83" s="19" t="s">
        <v>19</v>
      </c>
      <c r="G83" s="34">
        <v>0</v>
      </c>
      <c r="H83" s="34">
        <v>0</v>
      </c>
      <c r="I83" s="34">
        <v>0</v>
      </c>
    </row>
    <row r="84" spans="1:9">
      <c r="A84" s="19">
        <v>12</v>
      </c>
      <c r="B84" s="34">
        <v>0</v>
      </c>
      <c r="C84" s="34">
        <v>0</v>
      </c>
      <c r="D84" s="34">
        <v>0</v>
      </c>
      <c r="F84" s="19">
        <v>12</v>
      </c>
      <c r="G84" s="34">
        <v>0</v>
      </c>
      <c r="H84" s="34">
        <v>0</v>
      </c>
      <c r="I84" s="34">
        <v>0</v>
      </c>
    </row>
    <row r="85" spans="1:9">
      <c r="A85" s="19">
        <v>12</v>
      </c>
      <c r="B85" s="34">
        <v>0</v>
      </c>
      <c r="C85" s="34">
        <v>0</v>
      </c>
      <c r="D85" s="34">
        <v>0</v>
      </c>
      <c r="F85" s="19">
        <v>12</v>
      </c>
      <c r="G85" s="34">
        <v>0</v>
      </c>
      <c r="H85" s="34">
        <v>0</v>
      </c>
      <c r="I85" s="34">
        <v>0</v>
      </c>
    </row>
    <row r="86" spans="1:9">
      <c r="A86" s="19">
        <v>12</v>
      </c>
      <c r="B86" s="34">
        <v>0</v>
      </c>
      <c r="C86" s="34">
        <v>0</v>
      </c>
      <c r="D86" s="34">
        <v>0</v>
      </c>
      <c r="F86" s="19">
        <v>12</v>
      </c>
      <c r="G86" s="34">
        <v>0</v>
      </c>
      <c r="H86" s="34">
        <v>0</v>
      </c>
      <c r="I86" s="34">
        <v>0</v>
      </c>
    </row>
    <row r="87" spans="1:9">
      <c r="A87" s="19" t="s">
        <v>19</v>
      </c>
      <c r="B87" s="34">
        <v>0</v>
      </c>
      <c r="C87" s="34">
        <v>0</v>
      </c>
      <c r="D87" s="34">
        <v>0</v>
      </c>
      <c r="F87" s="19" t="s">
        <v>19</v>
      </c>
      <c r="G87" s="34">
        <v>0</v>
      </c>
      <c r="H87" s="34">
        <v>0</v>
      </c>
      <c r="I87" s="34">
        <v>0</v>
      </c>
    </row>
    <row r="88" spans="1:9">
      <c r="A88" s="19">
        <v>18</v>
      </c>
      <c r="B88" s="34">
        <v>0</v>
      </c>
      <c r="C88" s="34">
        <v>0</v>
      </c>
      <c r="D88" s="34">
        <v>0</v>
      </c>
      <c r="F88" s="19">
        <v>18</v>
      </c>
      <c r="G88" s="34">
        <v>0</v>
      </c>
      <c r="H88" s="34">
        <v>0</v>
      </c>
      <c r="I88" s="34">
        <v>0</v>
      </c>
    </row>
    <row r="89" spans="1:9">
      <c r="A89" s="19">
        <v>18</v>
      </c>
      <c r="B89" s="34">
        <v>0</v>
      </c>
      <c r="C89" s="34">
        <v>0</v>
      </c>
      <c r="D89" s="34">
        <v>0</v>
      </c>
      <c r="F89" s="19">
        <v>18</v>
      </c>
      <c r="G89" s="34">
        <v>0</v>
      </c>
      <c r="H89" s="34">
        <v>0</v>
      </c>
      <c r="I89" s="34">
        <v>0</v>
      </c>
    </row>
    <row r="90" spans="1:9">
      <c r="A90" s="19">
        <v>18</v>
      </c>
      <c r="B90" s="34">
        <v>0</v>
      </c>
      <c r="C90" s="34">
        <v>0</v>
      </c>
      <c r="D90" s="34">
        <v>0</v>
      </c>
      <c r="F90" s="19">
        <v>18</v>
      </c>
      <c r="G90" s="34">
        <v>0</v>
      </c>
      <c r="H90" s="34">
        <v>0</v>
      </c>
      <c r="I90" s="34">
        <v>0</v>
      </c>
    </row>
    <row r="91" spans="1:9">
      <c r="A91" s="19" t="s">
        <v>19</v>
      </c>
      <c r="B91" s="34">
        <v>0</v>
      </c>
      <c r="C91" s="34">
        <v>0</v>
      </c>
      <c r="D91" s="34">
        <v>0</v>
      </c>
      <c r="F91" s="19" t="s">
        <v>19</v>
      </c>
      <c r="G91" s="34">
        <v>0</v>
      </c>
      <c r="H91" s="34">
        <v>0</v>
      </c>
      <c r="I91" s="34">
        <v>0</v>
      </c>
    </row>
    <row r="92" spans="1:9">
      <c r="A92" s="19">
        <v>24</v>
      </c>
      <c r="B92" s="34">
        <v>0</v>
      </c>
      <c r="C92" s="34">
        <v>0</v>
      </c>
      <c r="D92" s="33"/>
      <c r="F92" s="19">
        <v>24</v>
      </c>
      <c r="G92" s="34">
        <v>0</v>
      </c>
      <c r="H92" s="34">
        <v>0</v>
      </c>
      <c r="I92" s="33"/>
    </row>
    <row r="93" spans="1:9">
      <c r="A93" s="19">
        <v>24</v>
      </c>
      <c r="B93" s="34">
        <v>0</v>
      </c>
      <c r="C93" s="34">
        <v>0</v>
      </c>
      <c r="D93" s="33"/>
      <c r="F93" s="19">
        <v>24</v>
      </c>
      <c r="G93" s="34">
        <v>0</v>
      </c>
      <c r="H93" s="34">
        <v>0</v>
      </c>
      <c r="I93" s="33"/>
    </row>
    <row r="94" spans="1:9">
      <c r="A94" s="19">
        <v>24</v>
      </c>
      <c r="B94" s="34">
        <v>0</v>
      </c>
      <c r="C94" s="34">
        <v>0</v>
      </c>
      <c r="D94" s="33"/>
      <c r="F94" s="19">
        <v>24</v>
      </c>
      <c r="G94" s="34">
        <v>0</v>
      </c>
      <c r="H94" s="34">
        <v>0</v>
      </c>
      <c r="I94" s="33"/>
    </row>
    <row r="95" spans="1:9">
      <c r="A95" s="19" t="s">
        <v>19</v>
      </c>
      <c r="B95" s="34">
        <v>0</v>
      </c>
      <c r="C95" s="34">
        <v>0</v>
      </c>
      <c r="D95" s="33"/>
      <c r="F95" s="19" t="s">
        <v>19</v>
      </c>
      <c r="G95" s="34">
        <v>0</v>
      </c>
      <c r="H95" s="34">
        <v>0</v>
      </c>
      <c r="I95" s="33"/>
    </row>
    <row r="96" spans="1:9">
      <c r="A96" s="19">
        <v>48</v>
      </c>
      <c r="B96" s="61"/>
      <c r="C96" s="43"/>
      <c r="D96" s="34">
        <v>0</v>
      </c>
      <c r="F96" s="19">
        <v>48</v>
      </c>
      <c r="G96" s="61"/>
      <c r="H96" s="43"/>
      <c r="I96" s="34">
        <v>0</v>
      </c>
    </row>
    <row r="97" spans="1:9">
      <c r="A97" s="19">
        <v>48</v>
      </c>
      <c r="B97" s="61"/>
      <c r="C97" s="43"/>
      <c r="D97" s="34">
        <v>0</v>
      </c>
      <c r="F97" s="19">
        <v>48</v>
      </c>
      <c r="G97" s="61"/>
      <c r="H97" s="43"/>
      <c r="I97" s="34">
        <v>0</v>
      </c>
    </row>
    <row r="98" spans="1:9">
      <c r="A98" s="19">
        <v>48</v>
      </c>
      <c r="B98" s="61"/>
      <c r="C98" s="43"/>
      <c r="D98" s="34">
        <v>0</v>
      </c>
      <c r="F98" s="19">
        <v>48</v>
      </c>
      <c r="G98" s="61"/>
      <c r="H98" s="43"/>
      <c r="I98" s="34">
        <v>0</v>
      </c>
    </row>
    <row r="99" spans="1:9">
      <c r="A99" s="19" t="s">
        <v>19</v>
      </c>
      <c r="B99" s="61"/>
      <c r="C99" s="43"/>
      <c r="D99" s="34">
        <v>0</v>
      </c>
      <c r="F99" s="19" t="s">
        <v>19</v>
      </c>
      <c r="G99" s="34">
        <v>0</v>
      </c>
      <c r="H99" s="43"/>
      <c r="I99" s="34">
        <v>0</v>
      </c>
    </row>
    <row r="100" spans="1:9">
      <c r="A100" s="19" t="s">
        <v>6</v>
      </c>
      <c r="B100" s="34">
        <v>0</v>
      </c>
      <c r="C100" s="34">
        <v>0</v>
      </c>
      <c r="D100" s="34">
        <v>0</v>
      </c>
      <c r="F100" s="19" t="s">
        <v>6</v>
      </c>
      <c r="G100" s="34">
        <v>0</v>
      </c>
      <c r="H100" s="34">
        <v>0</v>
      </c>
      <c r="I100" s="34">
        <v>0</v>
      </c>
    </row>
    <row r="101" spans="1:9">
      <c r="A101" s="19" t="s">
        <v>6</v>
      </c>
      <c r="B101" s="34">
        <v>0</v>
      </c>
      <c r="C101" s="34">
        <v>0</v>
      </c>
      <c r="D101" s="34">
        <v>0</v>
      </c>
      <c r="F101" s="19" t="s">
        <v>6</v>
      </c>
      <c r="G101" s="34">
        <v>0</v>
      </c>
      <c r="H101" s="34">
        <v>0</v>
      </c>
      <c r="I101" s="34">
        <v>0</v>
      </c>
    </row>
    <row r="102" spans="1:9">
      <c r="A102" s="19" t="s">
        <v>6</v>
      </c>
      <c r="B102" s="34">
        <v>0</v>
      </c>
      <c r="C102" s="34">
        <v>0</v>
      </c>
      <c r="D102" s="34">
        <v>0</v>
      </c>
      <c r="F102" s="19" t="s">
        <v>6</v>
      </c>
      <c r="G102" s="34">
        <v>0</v>
      </c>
      <c r="H102" s="34">
        <v>0</v>
      </c>
      <c r="I102" s="34">
        <v>0</v>
      </c>
    </row>
    <row r="103" spans="1:9">
      <c r="A103" s="19" t="s">
        <v>19</v>
      </c>
      <c r="B103" s="34">
        <v>0</v>
      </c>
      <c r="C103" s="34">
        <v>0</v>
      </c>
      <c r="D103" s="34">
        <v>0</v>
      </c>
      <c r="F103" s="19" t="s">
        <v>19</v>
      </c>
      <c r="G103" s="34">
        <v>0</v>
      </c>
      <c r="H103" s="34">
        <v>0</v>
      </c>
      <c r="I103" s="34">
        <v>0</v>
      </c>
    </row>
    <row r="104" spans="1:9">
      <c r="A104" s="19" t="s">
        <v>7</v>
      </c>
      <c r="B104" s="34">
        <v>0</v>
      </c>
      <c r="C104" s="34">
        <v>0</v>
      </c>
      <c r="D104" s="43"/>
      <c r="F104" s="19" t="s">
        <v>7</v>
      </c>
      <c r="G104" s="34">
        <v>0</v>
      </c>
      <c r="H104" s="34">
        <v>0</v>
      </c>
      <c r="I104" s="43"/>
    </row>
    <row r="105" spans="1:9">
      <c r="A105" s="19" t="s">
        <v>7</v>
      </c>
      <c r="B105" s="34">
        <v>0</v>
      </c>
      <c r="C105" s="34">
        <v>0</v>
      </c>
      <c r="D105" s="43"/>
      <c r="F105" s="19" t="s">
        <v>7</v>
      </c>
      <c r="G105" s="34">
        <v>0</v>
      </c>
      <c r="H105" s="34">
        <v>0</v>
      </c>
      <c r="I105" s="43"/>
    </row>
    <row r="106" spans="1:9">
      <c r="A106" s="19" t="s">
        <v>7</v>
      </c>
      <c r="B106" s="34">
        <v>0</v>
      </c>
      <c r="C106" s="34">
        <v>0</v>
      </c>
      <c r="D106" s="43"/>
      <c r="F106" s="19" t="s">
        <v>7</v>
      </c>
      <c r="G106" s="34">
        <v>0</v>
      </c>
      <c r="H106" s="34">
        <v>0</v>
      </c>
      <c r="I106" s="43"/>
    </row>
    <row r="107" spans="1:9">
      <c r="A107" s="19" t="s">
        <v>19</v>
      </c>
      <c r="B107" s="34">
        <v>0</v>
      </c>
      <c r="C107" s="34">
        <v>0</v>
      </c>
      <c r="D107" s="43"/>
      <c r="F107" s="19" t="s">
        <v>19</v>
      </c>
      <c r="G107" s="34">
        <v>0</v>
      </c>
      <c r="H107" s="34">
        <v>0</v>
      </c>
      <c r="I107" s="43"/>
    </row>
    <row r="108" spans="1:9">
      <c r="A108" s="19" t="s">
        <v>8</v>
      </c>
      <c r="B108" s="34">
        <v>0</v>
      </c>
      <c r="C108" s="34">
        <v>0</v>
      </c>
      <c r="D108" s="43"/>
      <c r="F108" s="19" t="s">
        <v>8</v>
      </c>
      <c r="G108" s="34">
        <v>0</v>
      </c>
      <c r="H108" s="34">
        <v>0</v>
      </c>
      <c r="I108" s="43"/>
    </row>
    <row r="109" spans="1:9">
      <c r="A109" s="19" t="s">
        <v>8</v>
      </c>
      <c r="B109" s="34">
        <v>0</v>
      </c>
      <c r="C109" s="34">
        <v>0</v>
      </c>
      <c r="D109" s="43"/>
      <c r="F109" s="19" t="s">
        <v>8</v>
      </c>
      <c r="G109" s="34">
        <v>0</v>
      </c>
      <c r="H109" s="34">
        <v>0</v>
      </c>
      <c r="I109" s="43"/>
    </row>
    <row r="110" spans="1:9">
      <c r="A110" s="19" t="s">
        <v>8</v>
      </c>
      <c r="B110" s="34">
        <v>0</v>
      </c>
      <c r="C110" s="34">
        <v>0</v>
      </c>
      <c r="D110" s="43"/>
      <c r="F110" s="19" t="s">
        <v>8</v>
      </c>
      <c r="G110" s="34">
        <v>0</v>
      </c>
      <c r="H110" s="34">
        <v>0</v>
      </c>
      <c r="I110" s="43"/>
    </row>
    <row r="111" spans="1:9">
      <c r="A111" s="19" t="s">
        <v>19</v>
      </c>
      <c r="B111" s="34">
        <v>0</v>
      </c>
      <c r="C111" s="34">
        <v>0</v>
      </c>
      <c r="D111" s="43"/>
      <c r="F111" s="19" t="s">
        <v>19</v>
      </c>
      <c r="G111" s="34">
        <v>0</v>
      </c>
      <c r="H111" s="34">
        <v>0</v>
      </c>
      <c r="I111" s="43"/>
    </row>
    <row r="112" spans="1:9">
      <c r="A112" s="19" t="s">
        <v>9</v>
      </c>
      <c r="B112" s="34">
        <v>0</v>
      </c>
      <c r="C112" s="34">
        <v>0</v>
      </c>
      <c r="D112" s="43"/>
      <c r="F112" s="19" t="s">
        <v>9</v>
      </c>
      <c r="G112" s="34">
        <v>0</v>
      </c>
      <c r="H112" s="34">
        <v>0</v>
      </c>
      <c r="I112" s="43"/>
    </row>
    <row r="113" spans="1:9">
      <c r="A113" s="19" t="s">
        <v>9</v>
      </c>
      <c r="B113" s="34">
        <v>0</v>
      </c>
      <c r="C113" s="34">
        <v>0</v>
      </c>
      <c r="D113" s="43"/>
      <c r="F113" s="19" t="s">
        <v>9</v>
      </c>
      <c r="G113" s="34">
        <v>0</v>
      </c>
      <c r="H113" s="34">
        <v>0</v>
      </c>
      <c r="I113" s="43"/>
    </row>
    <row r="114" spans="1:9">
      <c r="A114" s="19" t="s">
        <v>9</v>
      </c>
      <c r="B114" s="34">
        <v>0</v>
      </c>
      <c r="C114" s="34">
        <v>0</v>
      </c>
      <c r="D114" s="43"/>
      <c r="F114" s="19" t="s">
        <v>9</v>
      </c>
      <c r="G114" s="34">
        <v>0</v>
      </c>
      <c r="H114" s="34">
        <v>0</v>
      </c>
      <c r="I114" s="43"/>
    </row>
    <row r="115" spans="1:9">
      <c r="A115" s="19" t="s">
        <v>19</v>
      </c>
      <c r="B115" s="34">
        <v>0</v>
      </c>
      <c r="C115" s="34">
        <v>0</v>
      </c>
      <c r="D115" s="43"/>
      <c r="F115" s="19" t="s">
        <v>19</v>
      </c>
      <c r="G115" s="34">
        <v>0</v>
      </c>
      <c r="H115" s="34">
        <v>0</v>
      </c>
      <c r="I115" s="43"/>
    </row>
    <row r="116" spans="1:9">
      <c r="A116" s="19" t="s">
        <v>10</v>
      </c>
      <c r="B116" s="34">
        <v>0</v>
      </c>
      <c r="C116" s="34">
        <v>0</v>
      </c>
      <c r="D116" s="43"/>
      <c r="F116" s="19" t="s">
        <v>10</v>
      </c>
      <c r="G116" s="34">
        <v>0</v>
      </c>
      <c r="H116" s="34">
        <v>0</v>
      </c>
      <c r="I116" s="43"/>
    </row>
    <row r="117" spans="1:9">
      <c r="A117" s="19" t="s">
        <v>10</v>
      </c>
      <c r="B117" s="34">
        <v>0</v>
      </c>
      <c r="C117" s="34">
        <v>0</v>
      </c>
      <c r="D117" s="43"/>
      <c r="F117" s="19" t="s">
        <v>10</v>
      </c>
      <c r="G117" s="34">
        <v>0</v>
      </c>
      <c r="H117" s="34">
        <v>0</v>
      </c>
      <c r="I117" s="43"/>
    </row>
    <row r="118" spans="1:9">
      <c r="A118" s="19" t="s">
        <v>10</v>
      </c>
      <c r="B118" s="34">
        <v>0</v>
      </c>
      <c r="C118" s="34">
        <v>0</v>
      </c>
      <c r="D118" s="43"/>
      <c r="F118" s="19" t="s">
        <v>10</v>
      </c>
      <c r="G118" s="34">
        <v>0</v>
      </c>
      <c r="H118" s="34">
        <v>0</v>
      </c>
      <c r="I118" s="43"/>
    </row>
    <row r="119" spans="1:9">
      <c r="A119" s="19" t="s">
        <v>19</v>
      </c>
      <c r="B119" s="34">
        <v>0</v>
      </c>
      <c r="C119" s="34">
        <v>0</v>
      </c>
      <c r="D119" s="43"/>
      <c r="F119" s="19" t="s">
        <v>19</v>
      </c>
      <c r="G119" s="34">
        <v>0</v>
      </c>
      <c r="H119" s="34">
        <v>0</v>
      </c>
      <c r="I119" s="43"/>
    </row>
    <row r="120" spans="1:9">
      <c r="A120" s="19" t="s">
        <v>11</v>
      </c>
      <c r="B120" s="34">
        <v>0</v>
      </c>
      <c r="C120" s="34">
        <v>0</v>
      </c>
      <c r="D120" s="43"/>
      <c r="F120" s="19" t="s">
        <v>11</v>
      </c>
      <c r="G120" s="34">
        <v>0</v>
      </c>
      <c r="H120" s="34">
        <v>0</v>
      </c>
      <c r="I120" s="43"/>
    </row>
    <row r="121" spans="1:9">
      <c r="A121" s="19" t="s">
        <v>11</v>
      </c>
      <c r="B121" s="34">
        <v>0</v>
      </c>
      <c r="C121" s="34">
        <v>0</v>
      </c>
      <c r="D121" s="43"/>
      <c r="F121" s="19" t="s">
        <v>11</v>
      </c>
      <c r="G121" s="34">
        <v>0</v>
      </c>
      <c r="H121" s="34">
        <v>0</v>
      </c>
      <c r="I121" s="43"/>
    </row>
    <row r="122" spans="1:9">
      <c r="A122" s="19" t="s">
        <v>11</v>
      </c>
      <c r="B122" s="34">
        <v>0</v>
      </c>
      <c r="C122" s="34">
        <v>0</v>
      </c>
      <c r="D122" s="43"/>
      <c r="F122" s="19" t="s">
        <v>11</v>
      </c>
      <c r="G122" s="34">
        <v>0</v>
      </c>
      <c r="H122" s="34">
        <v>0</v>
      </c>
      <c r="I122" s="43"/>
    </row>
    <row r="123" spans="1:9">
      <c r="A123" s="19" t="s">
        <v>19</v>
      </c>
      <c r="B123" s="34">
        <v>0</v>
      </c>
      <c r="C123" s="34">
        <v>0</v>
      </c>
      <c r="D123" s="43"/>
      <c r="F123" s="19" t="s">
        <v>19</v>
      </c>
      <c r="G123" s="34">
        <v>0</v>
      </c>
      <c r="H123" s="34">
        <v>0</v>
      </c>
      <c r="I123" s="43"/>
    </row>
    <row r="124" spans="1:9">
      <c r="A124" s="19" t="s">
        <v>12</v>
      </c>
      <c r="B124" s="34">
        <v>0</v>
      </c>
      <c r="C124" s="34">
        <v>0</v>
      </c>
      <c r="D124" s="43"/>
      <c r="F124" s="19" t="s">
        <v>12</v>
      </c>
      <c r="G124" s="34">
        <v>0</v>
      </c>
      <c r="H124" s="34">
        <v>0</v>
      </c>
      <c r="I124" s="43"/>
    </row>
    <row r="125" spans="1:9">
      <c r="A125" s="19" t="s">
        <v>12</v>
      </c>
      <c r="B125" s="34">
        <v>0</v>
      </c>
      <c r="C125" s="34">
        <v>0</v>
      </c>
      <c r="D125" s="43"/>
      <c r="F125" s="19" t="s">
        <v>12</v>
      </c>
      <c r="G125" s="34">
        <v>0</v>
      </c>
      <c r="H125" s="34">
        <v>0</v>
      </c>
      <c r="I125" s="43"/>
    </row>
    <row r="126" spans="1:9">
      <c r="A126" s="19" t="s">
        <v>12</v>
      </c>
      <c r="B126" s="34">
        <v>0</v>
      </c>
      <c r="C126" s="34">
        <v>0</v>
      </c>
      <c r="D126" s="43"/>
      <c r="F126" s="19" t="s">
        <v>12</v>
      </c>
      <c r="G126" s="34">
        <v>0</v>
      </c>
      <c r="H126" s="34">
        <v>0</v>
      </c>
      <c r="I126" s="43"/>
    </row>
    <row r="127" spans="1:9">
      <c r="A127" s="19" t="s">
        <v>19</v>
      </c>
      <c r="B127" s="34">
        <v>0</v>
      </c>
      <c r="C127" s="34">
        <v>0</v>
      </c>
      <c r="D127" s="43"/>
      <c r="F127" s="19" t="s">
        <v>19</v>
      </c>
      <c r="G127" s="34">
        <v>0</v>
      </c>
      <c r="H127" s="34">
        <v>0</v>
      </c>
      <c r="I127" s="43"/>
    </row>
    <row r="128" spans="1:9">
      <c r="A128" s="19" t="s">
        <v>13</v>
      </c>
      <c r="B128" s="34">
        <v>0</v>
      </c>
      <c r="C128" s="34">
        <v>0</v>
      </c>
      <c r="D128" s="43"/>
      <c r="F128" s="19" t="s">
        <v>13</v>
      </c>
      <c r="G128" s="34">
        <v>0</v>
      </c>
      <c r="H128" s="34">
        <v>0</v>
      </c>
      <c r="I128" s="43"/>
    </row>
    <row r="129" spans="1:9">
      <c r="A129" s="19" t="s">
        <v>13</v>
      </c>
      <c r="B129" s="34">
        <v>0</v>
      </c>
      <c r="C129" s="34">
        <v>0</v>
      </c>
      <c r="D129" s="43"/>
      <c r="F129" s="19" t="s">
        <v>13</v>
      </c>
      <c r="G129" s="34">
        <v>0</v>
      </c>
      <c r="H129" s="34">
        <v>0</v>
      </c>
      <c r="I129" s="43"/>
    </row>
    <row r="130" spans="1:9">
      <c r="A130" s="19" t="s">
        <v>13</v>
      </c>
      <c r="B130" s="34">
        <v>0</v>
      </c>
      <c r="C130" s="34">
        <v>0</v>
      </c>
      <c r="D130" s="43"/>
      <c r="F130" s="19" t="s">
        <v>13</v>
      </c>
      <c r="G130" s="34">
        <v>0</v>
      </c>
      <c r="H130" s="34">
        <v>0</v>
      </c>
      <c r="I130" s="43"/>
    </row>
    <row r="131" spans="1:9">
      <c r="A131" s="19" t="s">
        <v>19</v>
      </c>
      <c r="B131" s="34">
        <v>0</v>
      </c>
      <c r="C131" s="34">
        <v>0</v>
      </c>
      <c r="D131" s="43"/>
      <c r="F131" s="19" t="s">
        <v>19</v>
      </c>
      <c r="G131" s="34">
        <v>0</v>
      </c>
      <c r="H131" s="55">
        <v>0</v>
      </c>
      <c r="I131" s="43"/>
    </row>
    <row r="132" spans="1:9">
      <c r="A132" s="19" t="s">
        <v>14</v>
      </c>
      <c r="B132" s="34">
        <v>0</v>
      </c>
      <c r="C132" s="34">
        <v>0</v>
      </c>
      <c r="D132" s="43"/>
      <c r="F132" s="19" t="s">
        <v>14</v>
      </c>
      <c r="G132" s="34">
        <v>0</v>
      </c>
      <c r="H132" s="55">
        <v>0</v>
      </c>
      <c r="I132" s="43"/>
    </row>
    <row r="133" spans="1:9">
      <c r="A133" s="19" t="s">
        <v>14</v>
      </c>
      <c r="B133" s="34">
        <v>0</v>
      </c>
      <c r="C133" s="34">
        <v>0</v>
      </c>
      <c r="D133" s="43"/>
      <c r="F133" s="19" t="s">
        <v>14</v>
      </c>
      <c r="G133" s="34">
        <v>0</v>
      </c>
      <c r="H133" s="55">
        <v>0</v>
      </c>
      <c r="I133" s="43"/>
    </row>
    <row r="134" spans="1:9">
      <c r="A134" s="19" t="s">
        <v>14</v>
      </c>
      <c r="B134" s="34">
        <v>0</v>
      </c>
      <c r="C134" s="34">
        <v>0</v>
      </c>
      <c r="D134" s="43"/>
      <c r="F134" s="19" t="s">
        <v>14</v>
      </c>
      <c r="G134" s="34">
        <v>0</v>
      </c>
      <c r="H134" s="55">
        <v>0</v>
      </c>
      <c r="I134" s="43"/>
    </row>
    <row r="135" spans="1:9">
      <c r="A135" s="19" t="s">
        <v>19</v>
      </c>
      <c r="B135" s="51">
        <v>0</v>
      </c>
      <c r="C135" s="51">
        <v>0</v>
      </c>
      <c r="D135" s="43"/>
      <c r="F135" s="19" t="s">
        <v>19</v>
      </c>
      <c r="G135" s="34">
        <v>0</v>
      </c>
      <c r="H135" s="55">
        <v>0</v>
      </c>
      <c r="I135" s="43"/>
    </row>
    <row r="136" spans="1:9">
      <c r="A136" s="19" t="s">
        <v>15</v>
      </c>
      <c r="B136" s="61"/>
      <c r="C136" s="43"/>
      <c r="D136" s="43"/>
      <c r="F136" s="19" t="s">
        <v>15</v>
      </c>
      <c r="G136" s="61"/>
      <c r="H136" s="43"/>
      <c r="I136" s="43"/>
    </row>
    <row r="137" spans="1:9">
      <c r="A137" s="19" t="s">
        <v>15</v>
      </c>
      <c r="B137" s="61"/>
      <c r="C137" s="43"/>
      <c r="D137" s="43"/>
      <c r="F137" s="19" t="s">
        <v>15</v>
      </c>
      <c r="G137" s="61"/>
      <c r="H137" s="43"/>
      <c r="I137" s="43"/>
    </row>
    <row r="138" spans="1:9">
      <c r="A138" s="19" t="s">
        <v>15</v>
      </c>
      <c r="B138" s="61"/>
      <c r="C138" s="43"/>
      <c r="D138" s="43"/>
      <c r="F138" s="19" t="s">
        <v>15</v>
      </c>
      <c r="G138" s="61"/>
      <c r="H138" s="43"/>
      <c r="I138" s="43"/>
    </row>
    <row r="139" spans="1:9">
      <c r="A139" s="19" t="s">
        <v>19</v>
      </c>
      <c r="B139" s="61"/>
      <c r="C139" s="43"/>
      <c r="D139" s="43"/>
      <c r="F139" s="19" t="s">
        <v>19</v>
      </c>
      <c r="G139" s="61"/>
      <c r="H139" s="43"/>
      <c r="I139" s="43"/>
    </row>
    <row r="140" spans="1:9">
      <c r="A140" s="19" t="s">
        <v>16</v>
      </c>
      <c r="B140" s="61"/>
      <c r="C140" s="43"/>
      <c r="D140" s="43"/>
      <c r="F140" s="19" t="s">
        <v>16</v>
      </c>
      <c r="G140" s="61"/>
      <c r="H140" s="43"/>
      <c r="I140" s="43"/>
    </row>
    <row r="141" spans="1:9">
      <c r="A141" s="19" t="s">
        <v>16</v>
      </c>
      <c r="B141" s="61"/>
      <c r="C141" s="43"/>
      <c r="D141" s="43"/>
      <c r="F141" s="19" t="s">
        <v>16</v>
      </c>
      <c r="G141" s="61"/>
      <c r="H141" s="43"/>
      <c r="I141" s="43"/>
    </row>
    <row r="142" spans="1:9">
      <c r="A142" s="19" t="s">
        <v>16</v>
      </c>
      <c r="B142" s="61"/>
      <c r="C142" s="43"/>
      <c r="D142" s="43"/>
      <c r="F142" s="19" t="s">
        <v>16</v>
      </c>
      <c r="G142" s="61"/>
      <c r="H142" s="43"/>
      <c r="I142" s="43"/>
    </row>
    <row r="143" spans="1:9">
      <c r="A143" s="19" t="s">
        <v>19</v>
      </c>
      <c r="B143" s="61"/>
      <c r="C143" s="43"/>
      <c r="D143" s="43"/>
      <c r="F143" s="19" t="s">
        <v>19</v>
      </c>
      <c r="G143" s="61"/>
      <c r="H143" s="43"/>
      <c r="I143" s="43"/>
    </row>
    <row r="144" spans="1:9">
      <c r="A144" s="19" t="s">
        <v>17</v>
      </c>
      <c r="B144" s="61"/>
      <c r="C144" s="43"/>
      <c r="D144" s="43"/>
      <c r="F144" s="19" t="s">
        <v>17</v>
      </c>
      <c r="G144" s="61"/>
      <c r="H144" s="43"/>
      <c r="I144" s="43"/>
    </row>
    <row r="145" spans="1:9">
      <c r="A145" s="19" t="s">
        <v>17</v>
      </c>
      <c r="B145" s="61"/>
      <c r="C145" s="43"/>
      <c r="D145" s="43"/>
      <c r="F145" s="19" t="s">
        <v>17</v>
      </c>
      <c r="G145" s="61"/>
      <c r="H145" s="43"/>
      <c r="I145" s="43"/>
    </row>
    <row r="146" spans="1:9">
      <c r="A146" s="19" t="s">
        <v>17</v>
      </c>
      <c r="B146" s="61"/>
      <c r="C146" s="43"/>
      <c r="D146" s="43"/>
      <c r="F146" s="19" t="s">
        <v>17</v>
      </c>
      <c r="G146" s="61"/>
      <c r="H146" s="43"/>
      <c r="I146" s="43"/>
    </row>
    <row r="147" spans="1:9">
      <c r="A147" s="19" t="s">
        <v>19</v>
      </c>
      <c r="B147" s="61"/>
      <c r="C147" s="43"/>
      <c r="D147" s="43"/>
      <c r="F147" s="19" t="s">
        <v>19</v>
      </c>
      <c r="G147" s="61"/>
      <c r="H147" s="43"/>
      <c r="I147" s="43"/>
    </row>
    <row r="148" spans="1:9">
      <c r="A148" s="19" t="s">
        <v>18</v>
      </c>
      <c r="B148" s="61"/>
      <c r="C148" s="43"/>
      <c r="D148" s="43"/>
      <c r="F148" s="19" t="s">
        <v>18</v>
      </c>
      <c r="G148" s="61"/>
      <c r="H148" s="43"/>
      <c r="I148" s="43"/>
    </row>
    <row r="149" spans="1:9">
      <c r="A149" s="19" t="s">
        <v>18</v>
      </c>
      <c r="B149" s="61"/>
      <c r="C149" s="43"/>
      <c r="D149" s="43"/>
      <c r="F149" s="19" t="s">
        <v>18</v>
      </c>
      <c r="G149" s="61"/>
      <c r="H149" s="43"/>
      <c r="I149" s="43"/>
    </row>
    <row r="150" spans="1:9">
      <c r="A150" s="19" t="s">
        <v>18</v>
      </c>
      <c r="B150" s="61"/>
      <c r="C150" s="43"/>
      <c r="D150" s="43"/>
      <c r="F150" s="19" t="s">
        <v>18</v>
      </c>
      <c r="G150" s="61"/>
      <c r="H150" s="43"/>
      <c r="I150" s="43"/>
    </row>
    <row r="151" spans="1:9">
      <c r="A151" s="15" t="s">
        <v>19</v>
      </c>
      <c r="B151" s="61"/>
      <c r="C151" s="43"/>
      <c r="D151" s="43"/>
      <c r="F151" s="15" t="s">
        <v>19</v>
      </c>
      <c r="G151" s="61"/>
      <c r="H151" s="43"/>
      <c r="I151" s="43"/>
    </row>
  </sheetData>
  <mergeCells count="3">
    <mergeCell ref="K1:W1"/>
    <mergeCell ref="B1:D2"/>
    <mergeCell ref="G1:I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89C87-0736-C343-92A9-EF2B49827A2B}">
  <dimension ref="A1:BU153"/>
  <sheetViews>
    <sheetView tabSelected="1" zoomScale="70" zoomScaleNormal="70" workbookViewId="0">
      <selection activeCell="H13" sqref="H13"/>
    </sheetView>
  </sheetViews>
  <sheetFormatPr baseColWidth="10" defaultRowHeight="15"/>
  <cols>
    <col min="22" max="22" width="14.83203125" bestFit="1" customWidth="1"/>
    <col min="23" max="24" width="12.5" bestFit="1" customWidth="1"/>
    <col min="25" max="25" width="10.83203125" customWidth="1"/>
    <col min="37" max="37" width="13.83203125" customWidth="1"/>
    <col min="38" max="41" width="11.83203125" bestFit="1" customWidth="1"/>
  </cols>
  <sheetData>
    <row r="1" spans="1:73">
      <c r="A1" t="s">
        <v>193</v>
      </c>
      <c r="C1" s="177" t="s">
        <v>255</v>
      </c>
      <c r="D1" s="177"/>
      <c r="E1" s="177"/>
      <c r="BH1" s="101" t="s">
        <v>205</v>
      </c>
      <c r="BI1" s="101"/>
      <c r="BJ1" s="101"/>
      <c r="BK1" s="101"/>
      <c r="BL1" s="101"/>
      <c r="BM1" s="167" t="s">
        <v>244</v>
      </c>
      <c r="BN1" s="167"/>
      <c r="BO1" s="101"/>
      <c r="BP1" s="101"/>
      <c r="BQ1" s="101"/>
      <c r="BR1" s="101"/>
      <c r="BS1" s="101"/>
      <c r="BT1" s="101"/>
      <c r="BU1" s="70"/>
    </row>
    <row r="2" spans="1:73">
      <c r="C2" s="177"/>
      <c r="D2" s="177"/>
      <c r="E2" s="177"/>
      <c r="BH2" s="101"/>
      <c r="BI2" s="101"/>
      <c r="BJ2" s="101"/>
      <c r="BK2" s="101"/>
      <c r="BL2" s="101"/>
      <c r="BM2" s="124"/>
      <c r="BN2" s="124"/>
      <c r="BO2" s="101"/>
      <c r="BP2" s="101"/>
      <c r="BQ2" s="101"/>
      <c r="BR2" s="101"/>
      <c r="BS2" s="101"/>
      <c r="BT2" s="101"/>
      <c r="BU2" s="70"/>
    </row>
    <row r="3" spans="1:73" ht="18">
      <c r="B3" t="s">
        <v>190</v>
      </c>
      <c r="C3" s="164" t="s">
        <v>140</v>
      </c>
      <c r="D3" s="164"/>
      <c r="E3" s="164"/>
      <c r="F3" s="164"/>
      <c r="G3" s="165" t="s">
        <v>141</v>
      </c>
      <c r="H3" s="165"/>
      <c r="I3" s="165"/>
      <c r="J3" s="165"/>
      <c r="K3" s="166" t="s">
        <v>142</v>
      </c>
      <c r="L3" s="166"/>
      <c r="M3" s="166"/>
      <c r="N3" s="166"/>
      <c r="O3" s="121"/>
      <c r="P3" s="121" t="s">
        <v>197</v>
      </c>
      <c r="Q3" s="121"/>
      <c r="R3" s="71"/>
      <c r="S3" s="99" t="s">
        <v>191</v>
      </c>
      <c r="T3" s="164" t="s">
        <v>140</v>
      </c>
      <c r="U3" s="164"/>
      <c r="V3" s="164"/>
      <c r="W3" s="164"/>
      <c r="X3" s="165" t="s">
        <v>141</v>
      </c>
      <c r="Y3" s="165"/>
      <c r="Z3" s="165"/>
      <c r="AA3" s="165"/>
      <c r="AB3" s="166" t="s">
        <v>142</v>
      </c>
      <c r="AC3" s="166"/>
      <c r="AD3" s="166"/>
      <c r="AE3" s="166"/>
      <c r="AF3" s="121"/>
      <c r="AG3" s="121" t="s">
        <v>197</v>
      </c>
      <c r="AH3" s="121"/>
      <c r="AI3" s="72" t="s">
        <v>181</v>
      </c>
      <c r="AJ3" s="69" t="s">
        <v>182</v>
      </c>
      <c r="AK3" s="77" t="s">
        <v>183</v>
      </c>
      <c r="AL3" s="77"/>
      <c r="AM3" s="77"/>
      <c r="AN3" s="77"/>
      <c r="AO3" s="77"/>
      <c r="AP3" s="77" t="s">
        <v>183</v>
      </c>
      <c r="AQ3" s="77"/>
      <c r="AR3" s="77"/>
      <c r="AS3" s="77"/>
      <c r="AT3" s="77"/>
      <c r="AU3" s="77" t="s">
        <v>183</v>
      </c>
      <c r="AV3" s="68"/>
      <c r="AW3" s="68"/>
      <c r="AX3" s="68"/>
      <c r="AY3" s="68"/>
      <c r="BF3" t="s">
        <v>43</v>
      </c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70"/>
    </row>
    <row r="4" spans="1:73" ht="18">
      <c r="C4" s="69" t="s">
        <v>143</v>
      </c>
      <c r="D4" s="69" t="s">
        <v>22</v>
      </c>
      <c r="E4" s="69" t="s">
        <v>23</v>
      </c>
      <c r="F4" s="69" t="s">
        <v>24</v>
      </c>
      <c r="G4" t="s">
        <v>29</v>
      </c>
      <c r="H4" t="s">
        <v>30</v>
      </c>
      <c r="I4" t="s">
        <v>31</v>
      </c>
      <c r="J4" t="s">
        <v>32</v>
      </c>
      <c r="K4" t="s">
        <v>38</v>
      </c>
      <c r="L4" t="s">
        <v>39</v>
      </c>
      <c r="M4" t="s">
        <v>40</v>
      </c>
      <c r="N4" t="s">
        <v>41</v>
      </c>
      <c r="R4" s="72"/>
      <c r="T4" s="69" t="s">
        <v>143</v>
      </c>
      <c r="U4" s="69" t="s">
        <v>22</v>
      </c>
      <c r="V4" s="69" t="s">
        <v>23</v>
      </c>
      <c r="W4" s="69" t="s">
        <v>24</v>
      </c>
      <c r="X4" t="s">
        <v>29</v>
      </c>
      <c r="Y4" t="s">
        <v>30</v>
      </c>
      <c r="Z4" t="s">
        <v>31</v>
      </c>
      <c r="AA4" t="s">
        <v>32</v>
      </c>
      <c r="AB4" t="s">
        <v>38</v>
      </c>
      <c r="AC4" t="s">
        <v>39</v>
      </c>
      <c r="AD4" t="s">
        <v>40</v>
      </c>
      <c r="AE4" t="s">
        <v>41</v>
      </c>
      <c r="AF4" s="69" t="s">
        <v>198</v>
      </c>
      <c r="AG4" s="69" t="s">
        <v>199</v>
      </c>
      <c r="AH4" s="69" t="s">
        <v>200</v>
      </c>
      <c r="AI4" s="72"/>
      <c r="AK4" s="123" t="s">
        <v>184</v>
      </c>
      <c r="AL4" s="123" t="s">
        <v>185</v>
      </c>
      <c r="AM4" s="123" t="s">
        <v>186</v>
      </c>
      <c r="AN4" s="123" t="s">
        <v>204</v>
      </c>
      <c r="AO4" s="123" t="s">
        <v>187</v>
      </c>
      <c r="AP4" s="65" t="s">
        <v>188</v>
      </c>
      <c r="AQ4" s="65" t="s">
        <v>185</v>
      </c>
      <c r="AR4" s="65" t="s">
        <v>186</v>
      </c>
      <c r="AS4" s="85" t="s">
        <v>204</v>
      </c>
      <c r="AT4" s="65" t="s">
        <v>187</v>
      </c>
      <c r="AU4" s="66" t="s">
        <v>142</v>
      </c>
      <c r="AV4" s="66" t="s">
        <v>185</v>
      </c>
      <c r="AW4" s="66" t="s">
        <v>186</v>
      </c>
      <c r="AX4" s="66" t="s">
        <v>204</v>
      </c>
      <c r="AY4" s="66" t="s">
        <v>187</v>
      </c>
      <c r="AZ4" s="96" t="s">
        <v>197</v>
      </c>
      <c r="BA4" s="97" t="s">
        <v>185</v>
      </c>
      <c r="BB4" s="97" t="s">
        <v>186</v>
      </c>
      <c r="BC4" s="97" t="s">
        <v>204</v>
      </c>
      <c r="BD4" s="97" t="s">
        <v>187</v>
      </c>
      <c r="BE4" s="95" t="s">
        <v>192</v>
      </c>
      <c r="BF4" t="s">
        <v>202</v>
      </c>
      <c r="BG4" t="s">
        <v>203</v>
      </c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70"/>
    </row>
    <row r="5" spans="1:73" ht="16">
      <c r="A5" t="s">
        <v>157</v>
      </c>
      <c r="B5" t="s">
        <v>158</v>
      </c>
      <c r="C5" s="123"/>
      <c r="D5" s="123"/>
      <c r="E5" s="123"/>
      <c r="F5" s="123"/>
      <c r="G5" s="65" t="s">
        <v>249</v>
      </c>
      <c r="H5" s="65" t="s">
        <v>247</v>
      </c>
      <c r="I5" s="65" t="s">
        <v>250</v>
      </c>
      <c r="J5" s="65" t="s">
        <v>248</v>
      </c>
      <c r="K5" s="66" t="s">
        <v>251</v>
      </c>
      <c r="L5" s="67" t="s">
        <v>252</v>
      </c>
      <c r="M5" s="67" t="s">
        <v>253</v>
      </c>
      <c r="N5" s="67" t="s">
        <v>254</v>
      </c>
      <c r="O5" s="178" t="s">
        <v>194</v>
      </c>
      <c r="P5" s="178" t="s">
        <v>195</v>
      </c>
      <c r="Q5" s="178" t="s">
        <v>201</v>
      </c>
      <c r="R5" s="73" t="s">
        <v>157</v>
      </c>
      <c r="S5" s="74" t="s">
        <v>158</v>
      </c>
      <c r="T5" s="123"/>
      <c r="U5" s="123"/>
      <c r="V5" s="123"/>
      <c r="W5" s="123"/>
      <c r="X5" s="65" t="s">
        <v>249</v>
      </c>
      <c r="Y5" s="65" t="s">
        <v>247</v>
      </c>
      <c r="Z5" s="65" t="s">
        <v>250</v>
      </c>
      <c r="AA5" s="65" t="s">
        <v>248</v>
      </c>
      <c r="AB5" s="66" t="s">
        <v>251</v>
      </c>
      <c r="AC5" s="67" t="s">
        <v>252</v>
      </c>
      <c r="AD5" s="67" t="s">
        <v>253</v>
      </c>
      <c r="AE5" s="67" t="s">
        <v>254</v>
      </c>
      <c r="AF5" s="135" t="s">
        <v>194</v>
      </c>
      <c r="AG5" s="135" t="s">
        <v>195</v>
      </c>
      <c r="AH5" s="135" t="s">
        <v>196</v>
      </c>
      <c r="AI5" s="84">
        <f t="shared" ref="AI5:AI27" si="0">AJ5/24</f>
        <v>2.6041666666666665E-3</v>
      </c>
      <c r="AJ5" s="75">
        <v>6.25E-2</v>
      </c>
      <c r="AK5" s="13">
        <f>AVERAGE(T6:W6)</f>
        <v>2.0675461541927063</v>
      </c>
      <c r="AL5" s="13">
        <f>STDEV(T6:W6)</f>
        <v>1.4335490816938847</v>
      </c>
      <c r="AM5" s="13">
        <f>AL5/SQRT(AO5)</f>
        <v>0.71677454084694237</v>
      </c>
      <c r="AN5" s="13">
        <f>AM5*1.95</f>
        <v>1.3977103546515375</v>
      </c>
      <c r="AO5">
        <f>COUNT(T6:W6)</f>
        <v>4</v>
      </c>
      <c r="AP5" s="13">
        <f t="shared" ref="AP5:AP27" si="1">AVERAGE(X6:AA6)</f>
        <v>2.5360085246334054</v>
      </c>
      <c r="AQ5" s="13">
        <f t="shared" ref="AQ5:AQ27" si="2">STDEV(X6:AA6)</f>
        <v>0.56242045050623279</v>
      </c>
      <c r="AR5" s="13">
        <f>AQ5/SQRT(AT5)</f>
        <v>0.2812102252531164</v>
      </c>
      <c r="AS5" s="13">
        <f>AR5*1.95</f>
        <v>0.54835993924357695</v>
      </c>
      <c r="AT5">
        <f t="shared" ref="AT5:AT27" si="3">COUNT(X6:AA6)</f>
        <v>4</v>
      </c>
      <c r="AU5" s="13">
        <f t="shared" ref="AU5:AU27" si="4">AVERAGE(AB6:AE6)</f>
        <v>1.5217142352474025</v>
      </c>
      <c r="AV5" s="13">
        <f t="shared" ref="AV5:AV27" si="5">STDEV(AB6:AE6)</f>
        <v>0.36881532242974813</v>
      </c>
      <c r="AW5" s="13">
        <f>AV5/SQRT(AY5)</f>
        <v>0.18440766121487406</v>
      </c>
      <c r="AX5" s="13">
        <f>AW5*1.96</f>
        <v>0.36143901598115313</v>
      </c>
      <c r="AY5">
        <f t="shared" ref="AY5:AY27" si="6">COUNT(AB6:AE6)</f>
        <v>4</v>
      </c>
      <c r="AZ5" s="13">
        <f t="shared" ref="AZ5:AZ27" si="7">AVERAGE(AF6:AH6)</f>
        <v>3.8814744795309482</v>
      </c>
      <c r="BA5" s="13">
        <f t="shared" ref="BA5:BA26" si="8">STDEV(AF6:AH6)</f>
        <v>3.1943060722730656E-3</v>
      </c>
      <c r="BB5" s="13">
        <f>BA5/SQRT(BD5)</f>
        <v>2.2587154848896507E-3</v>
      </c>
      <c r="BC5" s="13">
        <f>1.95*BB5</f>
        <v>4.4044951955348188E-3</v>
      </c>
      <c r="BD5">
        <f t="shared" ref="BD5:BD27" si="9">COUNT(AF6:AH6)</f>
        <v>2</v>
      </c>
      <c r="BE5">
        <v>-0.01</v>
      </c>
      <c r="BF5" s="86">
        <v>6.25E-2</v>
      </c>
      <c r="BG5" s="86">
        <v>3.5</v>
      </c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70"/>
    </row>
    <row r="6" spans="1:73">
      <c r="A6">
        <v>5</v>
      </c>
      <c r="B6">
        <v>8.3000000000000004E-2</v>
      </c>
      <c r="C6" s="4">
        <f t="shared" ref="C6" si="10">LOG10(C80)</f>
        <v>-8.7739243075051505E-3</v>
      </c>
      <c r="D6" s="80">
        <f t="shared" ref="D6:P6" si="11">LOG10(D80)</f>
        <v>2.3208293987520854</v>
      </c>
      <c r="E6" s="80">
        <f t="shared" si="11"/>
        <v>2.642446712814007</v>
      </c>
      <c r="F6" s="80">
        <f t="shared" si="11"/>
        <v>3.2446798009645437</v>
      </c>
      <c r="G6" s="80">
        <f t="shared" si="11"/>
        <v>2.0631193495720024</v>
      </c>
      <c r="H6" s="80">
        <f t="shared" si="11"/>
        <v>2.1913727561563849</v>
      </c>
      <c r="I6" s="80">
        <f t="shared" si="11"/>
        <v>2.8605799460240378</v>
      </c>
      <c r="J6" s="80">
        <f t="shared" si="11"/>
        <v>3.1703776096059459</v>
      </c>
      <c r="K6" s="80">
        <f t="shared" si="11"/>
        <v>0.99541579854241502</v>
      </c>
      <c r="L6" s="80">
        <f t="shared" si="11"/>
        <v>1.5571943009435958</v>
      </c>
      <c r="M6" s="80">
        <f t="shared" si="11"/>
        <v>1.7072720285480203</v>
      </c>
      <c r="N6" s="80">
        <f t="shared" si="11"/>
        <v>1.8096674332398761</v>
      </c>
      <c r="O6" s="80">
        <f t="shared" si="11"/>
        <v>3.88245520467781</v>
      </c>
      <c r="P6" s="80">
        <f t="shared" si="11"/>
        <v>3.8922527573030568</v>
      </c>
      <c r="Q6" s="80">
        <v>-0.01</v>
      </c>
      <c r="R6" s="70">
        <f>A6</f>
        <v>5</v>
      </c>
      <c r="S6">
        <f>B6</f>
        <v>8.3000000000000004E-2</v>
      </c>
      <c r="T6" s="77">
        <f t="shared" ref="T6:AD6" si="12">AVERAGE(C6:C8)</f>
        <v>-8.7739243075051505E-3</v>
      </c>
      <c r="U6" s="77">
        <f t="shared" si="12"/>
        <v>2.3105681236408295</v>
      </c>
      <c r="V6" s="77">
        <f t="shared" si="12"/>
        <v>2.7448908162271057</v>
      </c>
      <c r="W6" s="77">
        <f t="shared" si="12"/>
        <v>3.2234996012103951</v>
      </c>
      <c r="X6" s="13">
        <f t="shared" si="12"/>
        <v>2.0601621349526389</v>
      </c>
      <c r="Y6" s="13">
        <f t="shared" si="12"/>
        <v>2.0631683835877812</v>
      </c>
      <c r="Z6" s="13">
        <f t="shared" si="12"/>
        <v>2.8539234723942513</v>
      </c>
      <c r="AA6" s="13">
        <f t="shared" si="12"/>
        <v>3.1667801075989499</v>
      </c>
      <c r="AB6" s="13">
        <f t="shared" si="12"/>
        <v>0.9943784844623359</v>
      </c>
      <c r="AC6" s="13">
        <f t="shared" si="12"/>
        <v>1.5562979864393289</v>
      </c>
      <c r="AD6" s="13">
        <f t="shared" si="12"/>
        <v>1.7072916753455516</v>
      </c>
      <c r="AE6" s="13">
        <f t="shared" ref="AE6" si="13">AVERAGE(N6:N8)</f>
        <v>1.8288887947423931</v>
      </c>
      <c r="AF6" s="13">
        <f>AVERAGE(O6:O8)</f>
        <v>3.883733195015838</v>
      </c>
      <c r="AG6" s="13">
        <f t="shared" ref="AG6" si="14">AVERAGE(P6:P8)</f>
        <v>3.8792157640460587</v>
      </c>
      <c r="AH6" s="13"/>
      <c r="AI6" s="84">
        <f t="shared" si="0"/>
        <v>6.9583333333333337E-3</v>
      </c>
      <c r="AJ6" s="13">
        <v>0.16700000000000001</v>
      </c>
      <c r="AK6" s="13">
        <f t="shared" ref="AK6:AK27" si="15">AVERAGE(T7:W7)</f>
        <v>2.2391901373171734</v>
      </c>
      <c r="AL6" s="13">
        <f t="shared" ref="AL6:AL27" si="16">STDEV(T7:W7)</f>
        <v>0.77376907566120834</v>
      </c>
      <c r="AM6" s="13">
        <f t="shared" ref="AM6:AM26" si="17">AL6/SQRT(AO6)</f>
        <v>0.38688453783060417</v>
      </c>
      <c r="AN6" s="13">
        <f t="shared" ref="AN6:AN27" si="18">AM6*1.95</f>
        <v>0.75442484876967808</v>
      </c>
      <c r="AO6">
        <f t="shared" ref="AO6:AO27" si="19">COUNT(T7:W7)</f>
        <v>4</v>
      </c>
      <c r="AP6" s="13">
        <f t="shared" si="1"/>
        <v>2.3340041277757302</v>
      </c>
      <c r="AQ6" s="13">
        <f t="shared" si="2"/>
        <v>0.85838180735068148</v>
      </c>
      <c r="AR6" s="13">
        <f t="shared" ref="AR6:AR27" si="20">AQ6/SQRT(AT6)</f>
        <v>0.42919090367534074</v>
      </c>
      <c r="AS6" s="13">
        <f t="shared" ref="AS6:AS27" si="21">AR6*1.95</f>
        <v>0.83692226216691445</v>
      </c>
      <c r="AT6">
        <f t="shared" si="3"/>
        <v>4</v>
      </c>
      <c r="AU6" s="13">
        <f t="shared" si="4"/>
        <v>1.4279751728658157</v>
      </c>
      <c r="AV6" s="13">
        <f t="shared" si="5"/>
        <v>0.3780194547926628</v>
      </c>
      <c r="AW6" s="13">
        <f t="shared" ref="AW6:AW27" si="22">AV6/SQRT(AY6)</f>
        <v>0.1890097273963314</v>
      </c>
      <c r="AX6" s="13">
        <f t="shared" ref="AX6:AX27" si="23">AW6*1.96</f>
        <v>0.37045906569680953</v>
      </c>
      <c r="AY6">
        <f t="shared" si="6"/>
        <v>4</v>
      </c>
      <c r="AZ6" s="13">
        <f t="shared" si="7"/>
        <v>3.6814011359690069</v>
      </c>
      <c r="BA6" s="13">
        <f t="shared" si="8"/>
        <v>4.6675936750082477E-2</v>
      </c>
      <c r="BB6" s="13">
        <f t="shared" ref="BB6:BB26" si="24">BA6/SQRT(BD6)</f>
        <v>3.3004871394217698E-2</v>
      </c>
      <c r="BC6" s="13">
        <f t="shared" ref="BC6:BC27" si="25">1.95*BB6</f>
        <v>6.4359499218724511E-2</v>
      </c>
      <c r="BD6">
        <f t="shared" si="9"/>
        <v>2</v>
      </c>
      <c r="BE6">
        <v>-0.01</v>
      </c>
      <c r="BF6" s="64">
        <v>0.99999899999999997</v>
      </c>
      <c r="BG6" s="86">
        <v>3.5</v>
      </c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70"/>
    </row>
    <row r="7" spans="1:73">
      <c r="A7">
        <v>5</v>
      </c>
      <c r="B7">
        <v>8.3000000000000004E-2</v>
      </c>
      <c r="C7" s="4">
        <f t="shared" ref="C7" si="26">LOG10(C81)</f>
        <v>-8.7739243075051505E-3</v>
      </c>
      <c r="D7" s="80">
        <f t="shared" ref="C7:Q22" si="27">LOG10(D81)</f>
        <v>2.3152375112070378</v>
      </c>
      <c r="E7" s="80">
        <f t="shared" si="27"/>
        <v>2.7980640554951508</v>
      </c>
      <c r="F7" s="80">
        <f t="shared" si="27"/>
        <v>3.2403190611343446</v>
      </c>
      <c r="G7" s="80">
        <f t="shared" si="27"/>
        <v>2.0593854229246582</v>
      </c>
      <c r="H7" s="80">
        <f t="shared" si="27"/>
        <v>1.9980281764369823</v>
      </c>
      <c r="I7" s="80">
        <f t="shared" si="27"/>
        <v>2.8620651562869894</v>
      </c>
      <c r="J7" s="80">
        <f t="shared" si="27"/>
        <v>3.1729897712946062</v>
      </c>
      <c r="K7" s="80">
        <f t="shared" si="27"/>
        <v>1.0075344178972576</v>
      </c>
      <c r="L7" s="80">
        <f t="shared" si="27"/>
        <v>1.5560490884003821</v>
      </c>
      <c r="M7" s="80">
        <f t="shared" si="27"/>
        <v>1.7029644592562851</v>
      </c>
      <c r="N7" s="80">
        <f t="shared" si="27"/>
        <v>1.8007926609344167</v>
      </c>
      <c r="O7" s="80">
        <f t="shared" si="27"/>
        <v>3.8927608447823014</v>
      </c>
      <c r="P7" s="80">
        <f t="shared" si="27"/>
        <v>3.8728312071029829</v>
      </c>
      <c r="Q7" s="80">
        <v>-0.01</v>
      </c>
      <c r="R7" s="70" t="s">
        <v>159</v>
      </c>
      <c r="S7">
        <v>0.16700000000000001</v>
      </c>
      <c r="T7" s="13">
        <f t="shared" ref="T7:AD7" si="28">AVERAGE(C9:C11)</f>
        <v>1.2503428979245907</v>
      </c>
      <c r="U7" s="13">
        <f t="shared" si="28"/>
        <v>2.0785886056016789</v>
      </c>
      <c r="V7" s="13">
        <f t="shared" si="28"/>
        <v>2.5570801464686621</v>
      </c>
      <c r="W7" s="13">
        <f t="shared" si="28"/>
        <v>3.0707488992737617</v>
      </c>
      <c r="X7" s="13">
        <f t="shared" si="28"/>
        <v>2.0195859563160119</v>
      </c>
      <c r="Y7" s="13">
        <f t="shared" si="28"/>
        <v>1.2794704177170233</v>
      </c>
      <c r="Z7" s="13">
        <f t="shared" si="28"/>
        <v>2.8416422580684135</v>
      </c>
      <c r="AA7" s="13">
        <f t="shared" si="28"/>
        <v>3.1953178790014722</v>
      </c>
      <c r="AB7" s="13">
        <f t="shared" si="28"/>
        <v>0.8632754080841285</v>
      </c>
      <c r="AC7" s="13">
        <f t="shared" si="28"/>
        <v>1.5772932854935047</v>
      </c>
      <c r="AD7" s="13">
        <f t="shared" si="28"/>
        <v>1.6107316548673556</v>
      </c>
      <c r="AE7" s="13">
        <f t="shared" ref="AE7" si="29">AVERAGE(N9:N11)</f>
        <v>1.6606003430182739</v>
      </c>
      <c r="AF7" s="13">
        <f>AVERAGE(O9:O11)</f>
        <v>3.7144060073632246</v>
      </c>
      <c r="AG7" s="13">
        <f>AVERAGE(P9:P11)</f>
        <v>3.6483962645747892</v>
      </c>
      <c r="AH7" s="13"/>
      <c r="AI7" s="84">
        <f t="shared" si="0"/>
        <v>1.0416666666666666E-2</v>
      </c>
      <c r="AJ7" s="13">
        <v>0.25</v>
      </c>
      <c r="AK7" s="13">
        <f t="shared" si="15"/>
        <v>2.0522891736103386</v>
      </c>
      <c r="AL7" s="13">
        <f t="shared" si="16"/>
        <v>0.89084758957593191</v>
      </c>
      <c r="AM7" s="13">
        <f t="shared" si="17"/>
        <v>0.44542379478796595</v>
      </c>
      <c r="AN7" s="13">
        <f t="shared" si="18"/>
        <v>0.86857639983653356</v>
      </c>
      <c r="AO7">
        <f t="shared" si="19"/>
        <v>4</v>
      </c>
      <c r="AP7" s="13">
        <f t="shared" si="1"/>
        <v>2.4693983550177809</v>
      </c>
      <c r="AQ7" s="13">
        <f t="shared" si="2"/>
        <v>0.66974423352626478</v>
      </c>
      <c r="AR7" s="13">
        <f t="shared" si="20"/>
        <v>0.33487211676313239</v>
      </c>
      <c r="AS7" s="13">
        <f t="shared" si="21"/>
        <v>0.65300062768810818</v>
      </c>
      <c r="AT7">
        <f t="shared" si="3"/>
        <v>4</v>
      </c>
      <c r="AU7" s="13">
        <f t="shared" si="4"/>
        <v>1.4353573925255683</v>
      </c>
      <c r="AV7" s="13">
        <f t="shared" si="5"/>
        <v>0.39578619765156053</v>
      </c>
      <c r="AW7" s="13">
        <f t="shared" si="22"/>
        <v>0.19789309882578027</v>
      </c>
      <c r="AX7" s="13">
        <f t="shared" si="23"/>
        <v>0.38787047369852934</v>
      </c>
      <c r="AY7">
        <f t="shared" si="6"/>
        <v>4</v>
      </c>
      <c r="AZ7" s="13">
        <f t="shared" si="7"/>
        <v>3.4900130050459319</v>
      </c>
      <c r="BA7" s="13">
        <f t="shared" si="8"/>
        <v>5.2996681689556846E-2</v>
      </c>
      <c r="BB7" s="13">
        <f t="shared" si="24"/>
        <v>3.7474313003070581E-2</v>
      </c>
      <c r="BC7" s="13">
        <f t="shared" si="25"/>
        <v>7.3074910355987635E-2</v>
      </c>
      <c r="BD7">
        <f t="shared" si="9"/>
        <v>2</v>
      </c>
      <c r="BE7">
        <v>-0.01</v>
      </c>
      <c r="BF7" s="86">
        <v>1</v>
      </c>
      <c r="BG7" s="86">
        <v>3.13</v>
      </c>
      <c r="BH7" s="101"/>
      <c r="BI7" s="101"/>
      <c r="BJ7" s="101"/>
      <c r="BK7" s="101"/>
      <c r="BL7" s="101"/>
      <c r="BM7" s="101"/>
      <c r="BN7" s="101"/>
      <c r="BO7" s="101"/>
      <c r="BP7" s="101"/>
      <c r="BQ7" s="101"/>
      <c r="BR7" s="101"/>
      <c r="BS7" s="101"/>
      <c r="BT7" s="101"/>
      <c r="BU7" s="70"/>
    </row>
    <row r="8" spans="1:73">
      <c r="A8">
        <v>5</v>
      </c>
      <c r="B8">
        <v>8.3000000000000004E-2</v>
      </c>
      <c r="C8" s="4">
        <f t="shared" ref="C8" si="30">LOG10(C82)</f>
        <v>-8.7739243075051505E-3</v>
      </c>
      <c r="D8" s="80">
        <f t="shared" si="27"/>
        <v>2.2956374609633667</v>
      </c>
      <c r="E8" s="80">
        <f t="shared" si="27"/>
        <v>2.7941616803721598</v>
      </c>
      <c r="F8" s="80">
        <f t="shared" si="27"/>
        <v>3.1854999415322962</v>
      </c>
      <c r="G8" s="80">
        <f t="shared" si="27"/>
        <v>2.0579816323612552</v>
      </c>
      <c r="H8" s="80">
        <f t="shared" si="27"/>
        <v>2.0001042181699766</v>
      </c>
      <c r="I8" s="80">
        <f t="shared" si="27"/>
        <v>2.8391253148717266</v>
      </c>
      <c r="J8" s="80">
        <f t="shared" si="27"/>
        <v>3.1569729418962971</v>
      </c>
      <c r="K8" s="80">
        <f t="shared" si="27"/>
        <v>0.98018523694733506</v>
      </c>
      <c r="L8" s="80">
        <f t="shared" si="27"/>
        <v>1.5556505699740086</v>
      </c>
      <c r="M8" s="80">
        <f t="shared" si="27"/>
        <v>1.7116385382323491</v>
      </c>
      <c r="N8" s="80">
        <f t="shared" si="27"/>
        <v>1.8762062900528869</v>
      </c>
      <c r="O8" s="80">
        <f t="shared" si="27"/>
        <v>3.8759835355874035</v>
      </c>
      <c r="P8" s="80">
        <f t="shared" si="27"/>
        <v>3.8725633277321356</v>
      </c>
      <c r="Q8" s="80">
        <v>-0.01</v>
      </c>
      <c r="R8" s="70" t="s">
        <v>160</v>
      </c>
      <c r="S8">
        <v>0.25</v>
      </c>
      <c r="T8" s="13">
        <f t="shared" ref="T8:AD8" si="31">AVERAGE(C12:C14)</f>
        <v>1.1559372217317441</v>
      </c>
      <c r="U8" s="13">
        <f t="shared" si="31"/>
        <v>1.4269112312918277</v>
      </c>
      <c r="V8" s="13">
        <f t="shared" si="31"/>
        <v>2.6938793209017278</v>
      </c>
      <c r="W8" s="13">
        <f t="shared" si="31"/>
        <v>2.9324289205160543</v>
      </c>
      <c r="X8" s="13">
        <f t="shared" si="31"/>
        <v>1.9605292139782324</v>
      </c>
      <c r="Y8" s="13">
        <f t="shared" si="31"/>
        <v>1.862458346780451</v>
      </c>
      <c r="Z8" s="13">
        <f t="shared" si="31"/>
        <v>2.808404540079469</v>
      </c>
      <c r="AA8" s="13">
        <f t="shared" si="31"/>
        <v>3.2462013192329722</v>
      </c>
      <c r="AB8" s="13">
        <f t="shared" si="31"/>
        <v>0.8731542075590224</v>
      </c>
      <c r="AC8" s="13">
        <f t="shared" si="31"/>
        <v>1.4533103563992282</v>
      </c>
      <c r="AD8" s="13">
        <f t="shared" si="31"/>
        <v>1.7596421669716011</v>
      </c>
      <c r="AE8" s="13">
        <f t="shared" ref="AE8" si="32">AVERAGE(N12:N14)</f>
        <v>1.6553228391724213</v>
      </c>
      <c r="AF8" s="13">
        <f>AVERAGE(O12:O14)</f>
        <v>3.5274873180490025</v>
      </c>
      <c r="AG8" s="13">
        <f t="shared" ref="AG8" si="33">AVERAGE(P12:P14)</f>
        <v>3.4525386920428613</v>
      </c>
      <c r="AH8" s="13"/>
      <c r="AI8" s="84">
        <f t="shared" si="0"/>
        <v>1.3875E-2</v>
      </c>
      <c r="AJ8" s="13">
        <v>0.33300000000000002</v>
      </c>
      <c r="AK8" s="13">
        <f t="shared" si="15"/>
        <v>1.9029337353081672</v>
      </c>
      <c r="AL8" s="13">
        <f t="shared" si="16"/>
        <v>0.81053565144307005</v>
      </c>
      <c r="AM8" s="13">
        <f t="shared" si="17"/>
        <v>0.40526782572153502</v>
      </c>
      <c r="AN8" s="13">
        <f t="shared" si="18"/>
        <v>0.79027226015699326</v>
      </c>
      <c r="AO8">
        <f t="shared" si="19"/>
        <v>4</v>
      </c>
      <c r="AP8" s="13">
        <f t="shared" si="1"/>
        <v>2.2784022377491637</v>
      </c>
      <c r="AQ8" s="13">
        <f t="shared" si="2"/>
        <v>0.88860645925023485</v>
      </c>
      <c r="AR8" s="13">
        <f t="shared" si="20"/>
        <v>0.44430322962511742</v>
      </c>
      <c r="AS8" s="13">
        <f t="shared" si="21"/>
        <v>0.86639129776897894</v>
      </c>
      <c r="AT8">
        <f t="shared" si="3"/>
        <v>4</v>
      </c>
      <c r="AU8" s="13">
        <f t="shared" si="4"/>
        <v>1.2731248121384611</v>
      </c>
      <c r="AV8" s="13">
        <f t="shared" si="5"/>
        <v>0.34815635610820461</v>
      </c>
      <c r="AW8" s="13">
        <f t="shared" si="22"/>
        <v>0.17407817805410231</v>
      </c>
      <c r="AX8" s="13">
        <f t="shared" si="23"/>
        <v>0.34119322898604049</v>
      </c>
      <c r="AY8">
        <f t="shared" si="6"/>
        <v>4</v>
      </c>
      <c r="AZ8" s="13">
        <f t="shared" si="7"/>
        <v>3.0000193868269798</v>
      </c>
      <c r="BA8" s="13">
        <f t="shared" si="8"/>
        <v>0.54226831916986129</v>
      </c>
      <c r="BB8" s="13">
        <f t="shared" si="24"/>
        <v>0.31307876004572532</v>
      </c>
      <c r="BC8" s="13">
        <f t="shared" si="25"/>
        <v>0.61050358208916433</v>
      </c>
      <c r="BD8">
        <f t="shared" si="9"/>
        <v>3</v>
      </c>
      <c r="BE8">
        <v>-0.01</v>
      </c>
      <c r="BF8" s="86">
        <v>1.9999</v>
      </c>
      <c r="BG8" s="86">
        <v>3.13</v>
      </c>
      <c r="BH8" s="101"/>
      <c r="BI8" s="101"/>
      <c r="BJ8" s="101"/>
      <c r="BK8" s="101"/>
      <c r="BL8" s="101"/>
      <c r="BM8" s="101"/>
      <c r="BN8" s="101"/>
      <c r="BO8" s="101"/>
      <c r="BP8" s="101"/>
      <c r="BQ8" s="101"/>
      <c r="BR8" s="101"/>
      <c r="BS8" s="101"/>
      <c r="BT8" s="101"/>
      <c r="BU8" s="70"/>
    </row>
    <row r="9" spans="1:73">
      <c r="A9">
        <v>10</v>
      </c>
      <c r="B9">
        <v>0.16700000000000001</v>
      </c>
      <c r="C9" s="4">
        <f t="shared" si="27"/>
        <v>1.2498829018636948</v>
      </c>
      <c r="D9" s="4">
        <f t="shared" si="27"/>
        <v>2.0749260971239551</v>
      </c>
      <c r="E9" s="4">
        <f t="shared" si="27"/>
        <v>2.5507210894173604</v>
      </c>
      <c r="F9" s="4">
        <f t="shared" si="27"/>
        <v>3.0649556450743294</v>
      </c>
      <c r="G9" s="4">
        <f t="shared" si="27"/>
        <v>2.0203737145637186</v>
      </c>
      <c r="H9" s="4">
        <f t="shared" si="27"/>
        <v>1.9226112915119196</v>
      </c>
      <c r="I9" s="4">
        <f t="shared" si="27"/>
        <v>2.838567652271021</v>
      </c>
      <c r="J9" s="4">
        <f t="shared" si="27"/>
        <v>3.1890732244660436</v>
      </c>
      <c r="K9" s="4">
        <f t="shared" si="27"/>
        <v>0.87633332908638029</v>
      </c>
      <c r="L9" s="4">
        <f t="shared" si="27"/>
        <v>1.5811187121468735</v>
      </c>
      <c r="M9" s="4">
        <f t="shared" si="27"/>
        <v>1.6121160129433807</v>
      </c>
      <c r="N9" s="4">
        <f t="shared" si="27"/>
        <v>1.6655153259810904</v>
      </c>
      <c r="O9" s="38">
        <f t="shared" si="27"/>
        <v>3.7158797191502462</v>
      </c>
      <c r="P9" s="38">
        <f t="shared" si="27"/>
        <v>3.648733441235684</v>
      </c>
      <c r="Q9" s="80">
        <v>-0.01</v>
      </c>
      <c r="R9" s="70" t="s">
        <v>161</v>
      </c>
      <c r="S9">
        <v>0.33300000000000002</v>
      </c>
      <c r="T9" s="13">
        <f t="shared" ref="T9:AD9" si="34">AVERAGE(C15:C17)</f>
        <v>1.1540355348976867</v>
      </c>
      <c r="U9" s="13">
        <f t="shared" si="34"/>
        <v>1.2760902810144046</v>
      </c>
      <c r="V9" s="13">
        <f t="shared" si="34"/>
        <v>2.4026685137919919</v>
      </c>
      <c r="W9" s="13">
        <f t="shared" si="34"/>
        <v>2.778940611528586</v>
      </c>
      <c r="X9" s="13">
        <f t="shared" si="34"/>
        <v>1.9341631161017414</v>
      </c>
      <c r="Y9" s="13">
        <f t="shared" si="34"/>
        <v>1.21426653184981</v>
      </c>
      <c r="Z9" s="13">
        <f t="shared" si="34"/>
        <v>2.7313734922219308</v>
      </c>
      <c r="AA9" s="13">
        <f t="shared" si="34"/>
        <v>3.2338058108231724</v>
      </c>
      <c r="AB9" s="13">
        <f t="shared" si="34"/>
        <v>0.76484494017205762</v>
      </c>
      <c r="AC9" s="13">
        <f t="shared" si="34"/>
        <v>1.3302664739862509</v>
      </c>
      <c r="AD9" s="13">
        <f t="shared" si="34"/>
        <v>1.4872461048258296</v>
      </c>
      <c r="AE9" s="13">
        <f t="shared" ref="AE9" si="35">AVERAGE(N15:N17)</f>
        <v>1.5101417295697057</v>
      </c>
      <c r="AF9" s="13">
        <f>AVERAGE(O15:O17)</f>
        <v>3.3685023307154807</v>
      </c>
      <c r="AG9" s="13">
        <f t="shared" ref="AG9:AH9" si="36">AVERAGE(P15:P17)</f>
        <v>3.2542071224211369</v>
      </c>
      <c r="AH9" s="13">
        <f t="shared" si="36"/>
        <v>2.3773487073443218</v>
      </c>
      <c r="AI9" s="84">
        <f t="shared" si="0"/>
        <v>1.7374999999999998E-2</v>
      </c>
      <c r="AJ9" s="13">
        <v>0.41699999999999998</v>
      </c>
      <c r="AK9" s="13">
        <f t="shared" si="15"/>
        <v>1.7783897823091359</v>
      </c>
      <c r="AL9" s="13">
        <f t="shared" si="16"/>
        <v>0.76236003331341506</v>
      </c>
      <c r="AM9" s="13">
        <f t="shared" si="17"/>
        <v>0.38118001665670753</v>
      </c>
      <c r="AN9" s="13">
        <f t="shared" si="18"/>
        <v>0.74330103248057966</v>
      </c>
      <c r="AO9">
        <f t="shared" si="19"/>
        <v>4</v>
      </c>
      <c r="AP9" s="13">
        <f t="shared" si="1"/>
        <v>2.0561157239097909</v>
      </c>
      <c r="AQ9" s="13">
        <f t="shared" si="2"/>
        <v>1.0961221667641483</v>
      </c>
      <c r="AR9" s="13">
        <f t="shared" si="20"/>
        <v>0.54806108338207415</v>
      </c>
      <c r="AS9" s="13">
        <f t="shared" si="21"/>
        <v>1.0687191125950446</v>
      </c>
      <c r="AT9">
        <f t="shared" si="3"/>
        <v>4</v>
      </c>
      <c r="AU9" s="13">
        <f t="shared" si="4"/>
        <v>1.2334564173923888</v>
      </c>
      <c r="AV9" s="13">
        <f t="shared" si="5"/>
        <v>0.38171748671895411</v>
      </c>
      <c r="AW9" s="13">
        <f t="shared" si="22"/>
        <v>0.19085874335947706</v>
      </c>
      <c r="AX9" s="13">
        <f t="shared" si="23"/>
        <v>0.37408313698457502</v>
      </c>
      <c r="AY9">
        <f t="shared" si="6"/>
        <v>4</v>
      </c>
      <c r="AZ9" s="13">
        <f t="shared" si="7"/>
        <v>2.5566588179928154</v>
      </c>
      <c r="BA9" s="13">
        <f t="shared" si="8"/>
        <v>0.85434164958103664</v>
      </c>
      <c r="BB9" s="13">
        <f t="shared" si="24"/>
        <v>0.49325438136552047</v>
      </c>
      <c r="BC9" s="13">
        <f t="shared" si="25"/>
        <v>0.96184604366276494</v>
      </c>
      <c r="BD9">
        <f t="shared" si="9"/>
        <v>3</v>
      </c>
      <c r="BE9">
        <v>-0.01</v>
      </c>
      <c r="BF9" s="86">
        <v>2</v>
      </c>
      <c r="BG9" s="86">
        <v>1.54</v>
      </c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70"/>
    </row>
    <row r="10" spans="1:73">
      <c r="A10">
        <v>10</v>
      </c>
      <c r="B10">
        <v>0.16700000000000001</v>
      </c>
      <c r="C10" s="4">
        <f t="shared" si="27"/>
        <v>1.2454633133641957</v>
      </c>
      <c r="D10" s="4">
        <f t="shared" si="27"/>
        <v>2.0774732861378351</v>
      </c>
      <c r="E10" s="4">
        <f t="shared" si="27"/>
        <v>2.5511864134838427</v>
      </c>
      <c r="F10" s="4">
        <f t="shared" si="27"/>
        <v>3.067244613503286</v>
      </c>
      <c r="G10" s="4">
        <f t="shared" si="27"/>
        <v>2.0217142711669815</v>
      </c>
      <c r="H10" s="4">
        <f t="shared" si="27"/>
        <v>1.9245738859466555</v>
      </c>
      <c r="I10" s="4">
        <f t="shared" si="27"/>
        <v>2.839056747140809</v>
      </c>
      <c r="J10" s="4">
        <f t="shared" si="27"/>
        <v>3.1974228179679218</v>
      </c>
      <c r="K10" s="4">
        <f t="shared" si="27"/>
        <v>0.85064623518306648</v>
      </c>
      <c r="L10" s="4">
        <f t="shared" si="27"/>
        <v>1.5717554024464357</v>
      </c>
      <c r="M10" s="4">
        <f t="shared" si="27"/>
        <v>1.6054558914733785</v>
      </c>
      <c r="N10" s="4">
        <f t="shared" si="27"/>
        <v>1.6480768953495186</v>
      </c>
      <c r="O10" s="38">
        <f t="shared" si="27"/>
        <v>3.711579987205134</v>
      </c>
      <c r="P10" s="38">
        <f t="shared" si="27"/>
        <v>3.6488631106874538</v>
      </c>
      <c r="Q10" s="80">
        <v>-0.01</v>
      </c>
      <c r="R10" s="70" t="s">
        <v>162</v>
      </c>
      <c r="S10">
        <v>0.41699999999999998</v>
      </c>
      <c r="T10" s="13">
        <f t="shared" ref="T10:AD10" si="37">AVERAGE(C18:C20)</f>
        <v>1.0994102332081306</v>
      </c>
      <c r="U10" s="13">
        <f t="shared" si="37"/>
        <v>1.1737208035362994</v>
      </c>
      <c r="V10" s="13">
        <f t="shared" si="37"/>
        <v>2.2045014044781697</v>
      </c>
      <c r="W10" s="13">
        <f t="shared" si="37"/>
        <v>2.6359266880139445</v>
      </c>
      <c r="X10" s="13">
        <f t="shared" si="37"/>
        <v>1.8863939253168904</v>
      </c>
      <c r="Y10" s="13">
        <f t="shared" si="37"/>
        <v>0.58974162065132385</v>
      </c>
      <c r="Z10" s="13">
        <f t="shared" si="37"/>
        <v>2.6656115065860186</v>
      </c>
      <c r="AA10" s="13">
        <f t="shared" si="37"/>
        <v>3.0827158430849297</v>
      </c>
      <c r="AB10" s="13">
        <f t="shared" si="37"/>
        <v>0.69662791407329616</v>
      </c>
      <c r="AC10" s="13">
        <f t="shared" si="37"/>
        <v>1.236572788061012</v>
      </c>
      <c r="AD10" s="13">
        <f t="shared" si="37"/>
        <v>1.5573468811896209</v>
      </c>
      <c r="AE10" s="13">
        <f t="shared" ref="AE10" si="38">AVERAGE(N18:N20)</f>
        <v>1.443278086245626</v>
      </c>
      <c r="AF10" s="13">
        <f>AVERAGE(O18:O20)</f>
        <v>3.1281022814114947</v>
      </c>
      <c r="AG10" s="13">
        <f t="shared" ref="AG10:AH10" si="39">AVERAGE(P18:P20)</f>
        <v>2.9673485525129575</v>
      </c>
      <c r="AH10" s="13">
        <f t="shared" si="39"/>
        <v>1.5745256200539932</v>
      </c>
      <c r="AI10" s="84">
        <f t="shared" si="0"/>
        <v>2.0833333333333332E-2</v>
      </c>
      <c r="AJ10" s="13">
        <v>0.5</v>
      </c>
      <c r="AK10" s="13">
        <f t="shared" si="15"/>
        <v>1.6276574244035749</v>
      </c>
      <c r="AL10" s="13">
        <f t="shared" si="16"/>
        <v>0.64812287952186531</v>
      </c>
      <c r="AM10" s="13">
        <f t="shared" si="17"/>
        <v>0.32406143976093266</v>
      </c>
      <c r="AN10" s="13">
        <f t="shared" si="18"/>
        <v>0.63191980753381871</v>
      </c>
      <c r="AO10">
        <f t="shared" si="19"/>
        <v>4</v>
      </c>
      <c r="AP10" s="13">
        <f t="shared" si="1"/>
        <v>1.8571392584747368</v>
      </c>
      <c r="AQ10" s="13">
        <f t="shared" si="2"/>
        <v>1.3120232525406308</v>
      </c>
      <c r="AR10" s="13">
        <f t="shared" si="20"/>
        <v>0.6560116262703154</v>
      </c>
      <c r="AS10" s="13">
        <f t="shared" si="21"/>
        <v>1.2792226712271151</v>
      </c>
      <c r="AT10">
        <f t="shared" si="3"/>
        <v>4</v>
      </c>
      <c r="AU10" s="13">
        <f t="shared" si="4"/>
        <v>1.1051333860175097</v>
      </c>
      <c r="AV10" s="13">
        <f t="shared" si="5"/>
        <v>0.2858418045113798</v>
      </c>
      <c r="AW10" s="13">
        <f t="shared" si="22"/>
        <v>0.1429209022556899</v>
      </c>
      <c r="AX10" s="13">
        <f t="shared" si="23"/>
        <v>0.2801249684211522</v>
      </c>
      <c r="AY10">
        <f t="shared" si="6"/>
        <v>4</v>
      </c>
      <c r="AZ10" s="13">
        <f t="shared" si="7"/>
        <v>2.054781976195752</v>
      </c>
      <c r="BA10" s="13">
        <f t="shared" si="8"/>
        <v>1.1888695390235793</v>
      </c>
      <c r="BB10" s="13">
        <f t="shared" si="24"/>
        <v>0.68639414838660984</v>
      </c>
      <c r="BC10" s="13">
        <f t="shared" si="25"/>
        <v>1.3384685893538892</v>
      </c>
      <c r="BD10">
        <f t="shared" si="9"/>
        <v>3</v>
      </c>
      <c r="BE10">
        <v>-0.01</v>
      </c>
      <c r="BF10" s="86">
        <v>2.9999899999999999</v>
      </c>
      <c r="BG10" s="86">
        <v>1.54</v>
      </c>
      <c r="BH10" s="101"/>
      <c r="BI10" s="101"/>
      <c r="BJ10" s="101"/>
      <c r="BK10" s="101"/>
      <c r="BL10" s="101"/>
      <c r="BM10" s="101"/>
      <c r="BN10" s="101"/>
      <c r="BO10" s="101"/>
      <c r="BP10" s="101"/>
      <c r="BQ10" s="101"/>
      <c r="BR10" s="101"/>
      <c r="BS10" s="101"/>
      <c r="BT10" s="101"/>
      <c r="BU10" s="70"/>
    </row>
    <row r="11" spans="1:73">
      <c r="A11">
        <v>10</v>
      </c>
      <c r="B11">
        <v>0.16700000000000001</v>
      </c>
      <c r="C11" s="4">
        <f t="shared" si="27"/>
        <v>1.2556824785458818</v>
      </c>
      <c r="D11" s="4">
        <f t="shared" si="27"/>
        <v>2.083366433543246</v>
      </c>
      <c r="E11" s="4">
        <f t="shared" si="27"/>
        <v>2.5693329365047837</v>
      </c>
      <c r="F11" s="4">
        <f t="shared" si="27"/>
        <v>3.0800464392436702</v>
      </c>
      <c r="G11" s="4">
        <f t="shared" si="27"/>
        <v>2.0166698832173346</v>
      </c>
      <c r="H11" s="4">
        <f t="shared" si="27"/>
        <v>-8.7739243075051505E-3</v>
      </c>
      <c r="I11" s="4">
        <f t="shared" si="27"/>
        <v>2.847302374793411</v>
      </c>
      <c r="J11" s="4">
        <f t="shared" si="27"/>
        <v>3.1994575945704526</v>
      </c>
      <c r="K11" s="4">
        <f t="shared" si="27"/>
        <v>0.86284665998293864</v>
      </c>
      <c r="L11" s="4">
        <f t="shared" si="27"/>
        <v>1.5790057418872046</v>
      </c>
      <c r="M11" s="4">
        <f t="shared" si="27"/>
        <v>1.6146230601853073</v>
      </c>
      <c r="N11" s="4">
        <f t="shared" si="27"/>
        <v>1.6682088077242128</v>
      </c>
      <c r="O11" s="38">
        <f t="shared" si="27"/>
        <v>3.7157583157342939</v>
      </c>
      <c r="P11" s="38">
        <f t="shared" si="27"/>
        <v>3.6475922418012305</v>
      </c>
      <c r="Q11" s="80">
        <v>-0.01</v>
      </c>
      <c r="R11" s="70" t="s">
        <v>163</v>
      </c>
      <c r="S11">
        <v>0.5</v>
      </c>
      <c r="T11" s="13">
        <f t="shared" ref="T11:AD11" si="40">AVERAGE(C21:C23)</f>
        <v>1.1043680897112065</v>
      </c>
      <c r="U11" s="13">
        <f t="shared" si="40"/>
        <v>1.2002305861171367</v>
      </c>
      <c r="V11" s="13">
        <f t="shared" si="40"/>
        <v>1.6836506636495034</v>
      </c>
      <c r="W11" s="13">
        <f t="shared" si="40"/>
        <v>2.522380358136453</v>
      </c>
      <c r="X11" s="13">
        <f t="shared" si="40"/>
        <v>1.9343775974971742</v>
      </c>
      <c r="Y11" s="13">
        <f t="shared" si="40"/>
        <v>-8.7739243075051505E-3</v>
      </c>
      <c r="Z11" s="13">
        <f t="shared" si="40"/>
        <v>2.5553409740480073</v>
      </c>
      <c r="AA11" s="13">
        <f t="shared" si="40"/>
        <v>2.9476123866612713</v>
      </c>
      <c r="AB11" s="13">
        <f t="shared" si="40"/>
        <v>0.73037010630127808</v>
      </c>
      <c r="AC11" s="13">
        <f t="shared" si="40"/>
        <v>1.0929769954170323</v>
      </c>
      <c r="AD11" s="13">
        <f t="shared" si="40"/>
        <v>1.1767985120874316</v>
      </c>
      <c r="AE11" s="13">
        <f t="shared" ref="AE11" si="41">AVERAGE(N21:N23)</f>
        <v>1.4203879302642968</v>
      </c>
      <c r="AF11" s="13">
        <f>AVERAGE(O21:O23)</f>
        <v>2.8764196352447549</v>
      </c>
      <c r="AG11" s="13">
        <f t="shared" ref="AG11:AH11" si="42">AVERAGE(P21:P23)</f>
        <v>2.5963782078407465</v>
      </c>
      <c r="AH11" s="13">
        <f t="shared" si="42"/>
        <v>0.69154808550175462</v>
      </c>
      <c r="AI11" s="84">
        <f t="shared" si="0"/>
        <v>2.4291666666666666E-2</v>
      </c>
      <c r="AJ11" s="13">
        <v>0.58299999999999996</v>
      </c>
      <c r="AK11" s="13">
        <f t="shared" si="15"/>
        <v>1.4693086148608518</v>
      </c>
      <c r="AL11" s="13">
        <f t="shared" si="16"/>
        <v>0.6183191181615838</v>
      </c>
      <c r="AM11" s="13">
        <f t="shared" si="17"/>
        <v>0.3091595590807919</v>
      </c>
      <c r="AN11" s="13">
        <f t="shared" si="18"/>
        <v>0.60286114020754422</v>
      </c>
      <c r="AO11">
        <f t="shared" si="19"/>
        <v>4</v>
      </c>
      <c r="AP11" s="13">
        <f t="shared" si="1"/>
        <v>1.7566832983326024</v>
      </c>
      <c r="AQ11" s="13">
        <f t="shared" si="2"/>
        <v>1.2291476128294054</v>
      </c>
      <c r="AR11" s="13">
        <f t="shared" si="20"/>
        <v>0.61457380641470272</v>
      </c>
      <c r="AS11" s="13">
        <f t="shared" si="21"/>
        <v>1.1984189225086703</v>
      </c>
      <c r="AT11">
        <f t="shared" si="3"/>
        <v>4</v>
      </c>
      <c r="AU11" s="13">
        <f t="shared" si="4"/>
        <v>1.0192182117403543</v>
      </c>
      <c r="AV11" s="13">
        <f t="shared" si="5"/>
        <v>0.37162458077448107</v>
      </c>
      <c r="AW11" s="13">
        <f t="shared" si="22"/>
        <v>0.18581229038724054</v>
      </c>
      <c r="AX11" s="13">
        <f t="shared" si="23"/>
        <v>0.36419208915899143</v>
      </c>
      <c r="AY11">
        <f t="shared" si="6"/>
        <v>4</v>
      </c>
      <c r="AZ11" s="13">
        <f t="shared" si="7"/>
        <v>1.2923961711639012</v>
      </c>
      <c r="BA11" s="13">
        <f t="shared" si="8"/>
        <v>1.3104827651948978</v>
      </c>
      <c r="BB11" s="13">
        <f t="shared" si="24"/>
        <v>0.75660757725363947</v>
      </c>
      <c r="BC11" s="13">
        <f t="shared" si="25"/>
        <v>1.475384775644597</v>
      </c>
      <c r="BD11">
        <f t="shared" si="9"/>
        <v>3</v>
      </c>
      <c r="BE11">
        <v>-0.01</v>
      </c>
      <c r="BF11" s="86">
        <v>3</v>
      </c>
      <c r="BG11" s="86">
        <v>1.02</v>
      </c>
      <c r="BH11" s="101"/>
      <c r="BI11" s="101"/>
      <c r="BJ11" s="101"/>
      <c r="BK11" s="101"/>
      <c r="BL11" s="101"/>
      <c r="BM11" s="101"/>
      <c r="BN11" s="101"/>
      <c r="BO11" s="101"/>
      <c r="BP11" s="101"/>
      <c r="BQ11" s="101"/>
      <c r="BR11" s="101"/>
      <c r="BS11" s="101"/>
      <c r="BT11" s="101"/>
      <c r="BU11" s="70"/>
    </row>
    <row r="12" spans="1:73">
      <c r="B12">
        <v>0.25</v>
      </c>
      <c r="C12" s="80">
        <f t="shared" si="27"/>
        <v>1.1730696636372675</v>
      </c>
      <c r="D12" s="80">
        <f t="shared" si="27"/>
        <v>1.425550522537713</v>
      </c>
      <c r="E12" s="80">
        <f t="shared" si="27"/>
        <v>2.681649101651296</v>
      </c>
      <c r="F12" s="80">
        <f t="shared" si="27"/>
        <v>2.9329894367808018</v>
      </c>
      <c r="G12" s="80">
        <f t="shared" si="27"/>
        <v>1.975693684940377</v>
      </c>
      <c r="H12" s="80">
        <f t="shared" si="27"/>
        <v>1.8683210948284368</v>
      </c>
      <c r="I12" s="80">
        <f t="shared" si="27"/>
        <v>2.8245358434981123</v>
      </c>
      <c r="J12" s="80">
        <f t="shared" si="27"/>
        <v>3.2383532641030683</v>
      </c>
      <c r="K12" s="80">
        <f t="shared" si="27"/>
        <v>0.87436583573004889</v>
      </c>
      <c r="L12" s="80">
        <f t="shared" si="27"/>
        <v>1.4506647232521521</v>
      </c>
      <c r="M12" s="80">
        <f t="shared" si="27"/>
        <v>1.7600604204744359</v>
      </c>
      <c r="N12" s="80">
        <f t="shared" si="27"/>
        <v>1.62408605170941</v>
      </c>
      <c r="O12" s="80">
        <f t="shared" si="27"/>
        <v>3.522917265492536</v>
      </c>
      <c r="P12" s="80">
        <f t="shared" si="27"/>
        <v>3.4519895703049608</v>
      </c>
      <c r="Q12" s="80">
        <v>-0.01</v>
      </c>
      <c r="R12" s="70" t="s">
        <v>164</v>
      </c>
      <c r="S12">
        <v>0.58299999999999996</v>
      </c>
      <c r="T12" s="13">
        <f t="shared" ref="T12:AD12" si="43">AVERAGE(C24:C26)</f>
        <v>1.1321027099897307</v>
      </c>
      <c r="U12" s="13">
        <f t="shared" si="43"/>
        <v>1.229608159174431</v>
      </c>
      <c r="V12" s="13">
        <f t="shared" si="43"/>
        <v>1.1216089084487531</v>
      </c>
      <c r="W12" s="13">
        <f t="shared" si="43"/>
        <v>2.3939146818304926</v>
      </c>
      <c r="X12" s="13">
        <f t="shared" si="43"/>
        <v>1.907125521561855</v>
      </c>
      <c r="Y12" s="13">
        <f t="shared" si="43"/>
        <v>-8.7739243075051505E-3</v>
      </c>
      <c r="Z12" s="13">
        <f t="shared" si="43"/>
        <v>2.3534744357054174</v>
      </c>
      <c r="AA12" s="13">
        <f t="shared" si="43"/>
        <v>2.7749071603706414</v>
      </c>
      <c r="AB12" s="13">
        <f t="shared" si="43"/>
        <v>0.46316218618581528</v>
      </c>
      <c r="AC12" s="13">
        <f t="shared" si="43"/>
        <v>1.1888052350854938</v>
      </c>
      <c r="AD12" s="13">
        <f t="shared" si="43"/>
        <v>1.2414119965938544</v>
      </c>
      <c r="AE12" s="77">
        <f t="shared" ref="AE12" si="44">AVERAGE(N24:N26)</f>
        <v>1.1834934290962538</v>
      </c>
      <c r="AF12" s="13">
        <f>AVERAGE(O24:O26)</f>
        <v>2.6119971864676921</v>
      </c>
      <c r="AG12" s="13">
        <f t="shared" ref="AG12:AH12" si="45">AVERAGE(P24:P26)</f>
        <v>1.2739652513315163</v>
      </c>
      <c r="AH12" s="13">
        <f t="shared" si="45"/>
        <v>-8.7739243075051505E-3</v>
      </c>
      <c r="AI12" s="84">
        <f t="shared" si="0"/>
        <v>2.7791666666666669E-2</v>
      </c>
      <c r="AJ12" s="13">
        <v>0.66700000000000004</v>
      </c>
      <c r="AK12" s="13">
        <f t="shared" si="15"/>
        <v>1.4099864817411139</v>
      </c>
      <c r="AL12" s="13">
        <f t="shared" si="16"/>
        <v>0.65623645117171348</v>
      </c>
      <c r="AM12" s="13">
        <f t="shared" si="17"/>
        <v>0.32811822558585674</v>
      </c>
      <c r="AN12" s="13">
        <f t="shared" si="18"/>
        <v>0.63983053989242067</v>
      </c>
      <c r="AO12">
        <f t="shared" si="19"/>
        <v>4</v>
      </c>
      <c r="AP12" s="13">
        <f t="shared" si="1"/>
        <v>1.6535259602459964</v>
      </c>
      <c r="AQ12" s="13">
        <f t="shared" si="2"/>
        <v>1.1365304881536189</v>
      </c>
      <c r="AR12" s="13">
        <f t="shared" si="20"/>
        <v>0.56826524407680945</v>
      </c>
      <c r="AS12" s="13">
        <f t="shared" si="21"/>
        <v>1.1081172259497785</v>
      </c>
      <c r="AT12">
        <f t="shared" si="3"/>
        <v>4</v>
      </c>
      <c r="AU12" s="13">
        <f t="shared" si="4"/>
        <v>0.88378977588886065</v>
      </c>
      <c r="AV12" s="13">
        <f t="shared" si="5"/>
        <v>0.56695871206138404</v>
      </c>
      <c r="AW12" s="13">
        <f t="shared" si="22"/>
        <v>0.28347935603069202</v>
      </c>
      <c r="AX12" s="13">
        <f t="shared" si="23"/>
        <v>0.55561953782015638</v>
      </c>
      <c r="AY12">
        <f t="shared" si="6"/>
        <v>4</v>
      </c>
      <c r="AZ12" s="13">
        <f t="shared" si="7"/>
        <v>2.2134074511999309</v>
      </c>
      <c r="BA12" s="13">
        <f t="shared" si="8"/>
        <v>0.11066086496356621</v>
      </c>
      <c r="BB12" s="13">
        <f t="shared" si="24"/>
        <v>7.8249048027706491E-2</v>
      </c>
      <c r="BC12" s="13">
        <f t="shared" si="25"/>
        <v>0.15258564365402766</v>
      </c>
      <c r="BD12">
        <f t="shared" si="9"/>
        <v>2</v>
      </c>
      <c r="BE12">
        <v>-0.01</v>
      </c>
      <c r="BF12" s="86">
        <v>3.9999989999999999</v>
      </c>
      <c r="BG12" s="86">
        <v>1.02</v>
      </c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70"/>
    </row>
    <row r="13" spans="1:73">
      <c r="B13">
        <v>0.25</v>
      </c>
      <c r="C13" s="80">
        <f t="shared" si="27"/>
        <v>1.150541541374086</v>
      </c>
      <c r="D13" s="80">
        <f t="shared" si="27"/>
        <v>1.4276159236183192</v>
      </c>
      <c r="E13" s="80">
        <f t="shared" si="27"/>
        <v>2.7062320224454921</v>
      </c>
      <c r="F13" s="80">
        <f t="shared" si="27"/>
        <v>2.9314710925679814</v>
      </c>
      <c r="G13" s="80">
        <f t="shared" si="27"/>
        <v>1.9523807091263861</v>
      </c>
      <c r="H13" s="80">
        <f t="shared" si="27"/>
        <v>1.8625606890670507</v>
      </c>
      <c r="I13" s="80">
        <f t="shared" si="27"/>
        <v>2.8079751876638253</v>
      </c>
      <c r="J13" s="80">
        <f t="shared" si="27"/>
        <v>3.2475095260471218</v>
      </c>
      <c r="K13" s="80">
        <f t="shared" si="27"/>
        <v>0.86308482532035979</v>
      </c>
      <c r="L13" s="80">
        <f t="shared" si="27"/>
        <v>1.4496326504700745</v>
      </c>
      <c r="M13" s="80">
        <f t="shared" si="27"/>
        <v>1.7685197084214459</v>
      </c>
      <c r="N13" s="80">
        <f t="shared" si="27"/>
        <v>1.670737404012121</v>
      </c>
      <c r="O13" s="80">
        <f t="shared" si="27"/>
        <v>3.5270368194400543</v>
      </c>
      <c r="P13" s="80">
        <f t="shared" si="27"/>
        <v>3.4595621009158108</v>
      </c>
      <c r="Q13" s="80">
        <v>-0.01</v>
      </c>
      <c r="R13" s="70" t="s">
        <v>165</v>
      </c>
      <c r="S13">
        <v>0.66700000000000004</v>
      </c>
      <c r="T13" s="13">
        <f t="shared" ref="T13:AD13" si="46">AVERAGE(C27:C29)</f>
        <v>1.1330741824451962</v>
      </c>
      <c r="U13" s="13">
        <f t="shared" si="46"/>
        <v>1.2222932453922539</v>
      </c>
      <c r="V13" s="13">
        <f t="shared" si="46"/>
        <v>0.91013471833700377</v>
      </c>
      <c r="W13" s="13">
        <f t="shared" si="46"/>
        <v>2.3744437807900014</v>
      </c>
      <c r="X13" s="13">
        <f t="shared" si="46"/>
        <v>1.9112195232367883</v>
      </c>
      <c r="Y13" s="13">
        <f t="shared" si="46"/>
        <v>-5.8492828716701006E-3</v>
      </c>
      <c r="Z13" s="13">
        <f t="shared" si="46"/>
        <v>2.163557058121361</v>
      </c>
      <c r="AA13" s="13">
        <f t="shared" si="46"/>
        <v>2.5451765424975061</v>
      </c>
      <c r="AB13" s="13">
        <f t="shared" si="46"/>
        <v>7.4805453593168189E-2</v>
      </c>
      <c r="AC13" s="13">
        <f t="shared" si="46"/>
        <v>0.94779445154265807</v>
      </c>
      <c r="AD13" s="13">
        <f t="shared" si="46"/>
        <v>1.375184969916518</v>
      </c>
      <c r="AE13" s="13">
        <f t="shared" ref="AE13" si="47">AVERAGE(N27:N29)</f>
        <v>1.1373742285030983</v>
      </c>
      <c r="AF13" s="13">
        <f>AVERAGE(O27:O29)</f>
        <v>2.2916564992276371</v>
      </c>
      <c r="AG13" s="13">
        <f t="shared" ref="AG13" si="48">AVERAGE(P27:P29)</f>
        <v>2.1351584031722242</v>
      </c>
      <c r="AH13" s="13"/>
      <c r="AI13" s="84">
        <f t="shared" si="0"/>
        <v>3.125E-2</v>
      </c>
      <c r="AJ13" s="13">
        <v>0.75</v>
      </c>
      <c r="AK13" s="13">
        <f t="shared" si="15"/>
        <v>1.3587849202878557</v>
      </c>
      <c r="AL13" s="13">
        <f t="shared" si="16"/>
        <v>0.57236101975613962</v>
      </c>
      <c r="AM13" s="13">
        <f t="shared" si="17"/>
        <v>0.28618050987806981</v>
      </c>
      <c r="AN13" s="13">
        <f t="shared" si="18"/>
        <v>0.55805199426223617</v>
      </c>
      <c r="AO13">
        <f t="shared" si="19"/>
        <v>4</v>
      </c>
      <c r="AP13" s="13">
        <f t="shared" si="1"/>
        <v>1.4992267304404137</v>
      </c>
      <c r="AQ13" s="13">
        <f t="shared" si="2"/>
        <v>1.0342120200133478</v>
      </c>
      <c r="AR13" s="13">
        <f t="shared" si="20"/>
        <v>0.51710601000667389</v>
      </c>
      <c r="AS13" s="13">
        <f t="shared" si="21"/>
        <v>1.0083567195130141</v>
      </c>
      <c r="AT13">
        <f t="shared" si="3"/>
        <v>4</v>
      </c>
      <c r="AU13" s="13">
        <f t="shared" si="4"/>
        <v>0.88889254987654476</v>
      </c>
      <c r="AV13" s="13">
        <f t="shared" si="5"/>
        <v>0.30571394712752498</v>
      </c>
      <c r="AW13" s="13">
        <f t="shared" si="22"/>
        <v>0.15285697356376249</v>
      </c>
      <c r="AX13" s="13">
        <f t="shared" si="23"/>
        <v>0.29959966818497447</v>
      </c>
      <c r="AY13">
        <f t="shared" si="6"/>
        <v>4</v>
      </c>
      <c r="AZ13" s="13">
        <f t="shared" si="7"/>
        <v>1.4078137392866834</v>
      </c>
      <c r="BA13" s="13">
        <f t="shared" si="8"/>
        <v>1.227471446211057</v>
      </c>
      <c r="BB13" s="13">
        <f t="shared" si="24"/>
        <v>0.70868096989253304</v>
      </c>
      <c r="BC13" s="13">
        <f t="shared" si="25"/>
        <v>1.3819278912904394</v>
      </c>
      <c r="BD13">
        <f t="shared" si="9"/>
        <v>3</v>
      </c>
      <c r="BE13">
        <v>-0.01</v>
      </c>
      <c r="BF13" s="86">
        <v>4</v>
      </c>
      <c r="BG13" s="86">
        <v>0.76</v>
      </c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70"/>
    </row>
    <row r="14" spans="1:73">
      <c r="B14">
        <v>0.25</v>
      </c>
      <c r="C14" s="80">
        <f t="shared" si="27"/>
        <v>1.1442004601838791</v>
      </c>
      <c r="D14" s="80">
        <f t="shared" si="27"/>
        <v>1.4275672477194505</v>
      </c>
      <c r="E14" s="80">
        <f t="shared" si="27"/>
        <v>2.6937568386083957</v>
      </c>
      <c r="F14" s="80">
        <f t="shared" si="27"/>
        <v>2.9328262321993801</v>
      </c>
      <c r="G14" s="80">
        <f t="shared" si="27"/>
        <v>1.9535132478679342</v>
      </c>
      <c r="H14" s="80">
        <f t="shared" si="27"/>
        <v>1.8564932564458658</v>
      </c>
      <c r="I14" s="80">
        <f t="shared" si="27"/>
        <v>2.7927025890764692</v>
      </c>
      <c r="J14" s="80">
        <f t="shared" si="27"/>
        <v>3.2527411675487281</v>
      </c>
      <c r="K14" s="80">
        <f t="shared" si="27"/>
        <v>0.88201196162665862</v>
      </c>
      <c r="L14" s="80">
        <f t="shared" si="27"/>
        <v>1.4596336954754581</v>
      </c>
      <c r="M14" s="80">
        <f t="shared" si="27"/>
        <v>1.7503463720189218</v>
      </c>
      <c r="N14" s="80">
        <f t="shared" si="27"/>
        <v>1.6711450617957329</v>
      </c>
      <c r="O14" s="80">
        <f t="shared" si="27"/>
        <v>3.5325078692144172</v>
      </c>
      <c r="P14" s="80">
        <f t="shared" si="27"/>
        <v>3.4460644049078124</v>
      </c>
      <c r="Q14" s="80">
        <v>-0.01</v>
      </c>
      <c r="R14" s="70" t="s">
        <v>166</v>
      </c>
      <c r="S14">
        <v>0.75</v>
      </c>
      <c r="T14" s="13">
        <f t="shared" ref="T14:AD14" si="49">AVERAGE(C30:C32)</f>
        <v>1.1409058062493684</v>
      </c>
      <c r="U14" s="13">
        <f t="shared" si="49"/>
        <v>1.1891311193216765</v>
      </c>
      <c r="V14" s="13">
        <f t="shared" si="49"/>
        <v>0.90778521467894613</v>
      </c>
      <c r="W14" s="13">
        <f t="shared" si="49"/>
        <v>2.1973175409014321</v>
      </c>
      <c r="X14" s="13">
        <f t="shared" si="49"/>
        <v>1.8897077866188159</v>
      </c>
      <c r="Y14" s="13">
        <f t="shared" si="49"/>
        <v>-8.7739243075051505E-3</v>
      </c>
      <c r="Z14" s="13">
        <f t="shared" si="49"/>
        <v>1.7770799167090052</v>
      </c>
      <c r="AA14" s="13">
        <f t="shared" si="49"/>
        <v>2.3388931427413389</v>
      </c>
      <c r="AB14" s="13">
        <f t="shared" si="49"/>
        <v>0.44016577953488284</v>
      </c>
      <c r="AC14" s="13">
        <f t="shared" si="49"/>
        <v>0.97839646175692974</v>
      </c>
      <c r="AD14" s="13">
        <f t="shared" si="49"/>
        <v>1.1254945779862053</v>
      </c>
      <c r="AE14" s="13">
        <f t="shared" ref="AE14" si="50">AVERAGE(N30:N32)</f>
        <v>1.0115133802281606</v>
      </c>
      <c r="AF14" s="13">
        <f>AVERAGE(O30:O32)</f>
        <v>2.1566747348746191</v>
      </c>
      <c r="AG14" s="13">
        <f t="shared" ref="AG14:AH14" si="51">AVERAGE(P30:P32)</f>
        <v>2.075540407292936</v>
      </c>
      <c r="AH14" s="13">
        <f t="shared" si="51"/>
        <v>-8.7739243075051505E-3</v>
      </c>
      <c r="AI14" s="84">
        <f t="shared" si="0"/>
        <v>3.4708333333333334E-2</v>
      </c>
      <c r="AJ14" s="13">
        <v>0.83299999999999996</v>
      </c>
      <c r="AK14" s="13">
        <f t="shared" si="15"/>
        <v>1.332392085650594</v>
      </c>
      <c r="AL14" s="13">
        <f t="shared" si="16"/>
        <v>0.53571815851453908</v>
      </c>
      <c r="AM14" s="13">
        <f t="shared" si="17"/>
        <v>0.26785907925726954</v>
      </c>
      <c r="AN14" s="13">
        <f t="shared" si="18"/>
        <v>0.52232520455167564</v>
      </c>
      <c r="AO14">
        <f t="shared" si="19"/>
        <v>4</v>
      </c>
      <c r="AP14" s="13">
        <f t="shared" si="1"/>
        <v>1.3138769506217072</v>
      </c>
      <c r="AQ14" s="13">
        <f t="shared" si="2"/>
        <v>0.94436292378760167</v>
      </c>
      <c r="AR14" s="13">
        <f t="shared" si="20"/>
        <v>0.47218146189380084</v>
      </c>
      <c r="AS14" s="13">
        <f t="shared" si="21"/>
        <v>0.9207538506929116</v>
      </c>
      <c r="AT14">
        <f t="shared" si="3"/>
        <v>4</v>
      </c>
      <c r="AU14" s="13">
        <f t="shared" si="4"/>
        <v>0.79789877256725095</v>
      </c>
      <c r="AV14" s="13">
        <f t="shared" si="5"/>
        <v>0.54586414046945841</v>
      </c>
      <c r="AW14" s="13">
        <f t="shared" si="22"/>
        <v>0.27293207023472921</v>
      </c>
      <c r="AX14" s="13">
        <f t="shared" si="23"/>
        <v>0.53494685766006922</v>
      </c>
      <c r="AY14">
        <f t="shared" si="6"/>
        <v>4</v>
      </c>
      <c r="AZ14" s="13">
        <f t="shared" si="7"/>
        <v>1.241925026035791</v>
      </c>
      <c r="BA14" s="13">
        <f t="shared" si="8"/>
        <v>1.0843809372828663</v>
      </c>
      <c r="BB14" s="13">
        <f t="shared" si="24"/>
        <v>0.62606762604436161</v>
      </c>
      <c r="BC14" s="13">
        <f t="shared" si="25"/>
        <v>1.2208318707865051</v>
      </c>
      <c r="BD14">
        <f t="shared" si="9"/>
        <v>3</v>
      </c>
      <c r="BE14">
        <v>-0.01</v>
      </c>
      <c r="BF14" s="86">
        <v>4.9999900000000004</v>
      </c>
      <c r="BG14" s="86">
        <v>0.76</v>
      </c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70"/>
    </row>
    <row r="15" spans="1:73">
      <c r="B15">
        <v>0.33300000000000002</v>
      </c>
      <c r="C15" s="4">
        <f t="shared" si="27"/>
        <v>1.1557306712785886</v>
      </c>
      <c r="D15" s="4">
        <f t="shared" si="27"/>
        <v>1.2803506930460056</v>
      </c>
      <c r="E15" s="4">
        <f t="shared" si="27"/>
        <v>2.410029434773683</v>
      </c>
      <c r="F15" s="4">
        <f t="shared" si="27"/>
        <v>2.7702022924376526</v>
      </c>
      <c r="G15" s="4">
        <f t="shared" si="27"/>
        <v>1.9357943494034588</v>
      </c>
      <c r="H15" s="4">
        <f t="shared" si="27"/>
        <v>1.8301779154648077</v>
      </c>
      <c r="I15" s="4">
        <f t="shared" si="27"/>
        <v>2.7326558659009446</v>
      </c>
      <c r="J15" s="4">
        <f t="shared" si="27"/>
        <v>3.2293218711118583</v>
      </c>
      <c r="K15" s="4">
        <f t="shared" si="27"/>
        <v>0.76200296937511536</v>
      </c>
      <c r="L15" s="4">
        <f t="shared" si="27"/>
        <v>1.334574371754929</v>
      </c>
      <c r="M15" s="4">
        <f t="shared" si="27"/>
        <v>1.4808258652590642</v>
      </c>
      <c r="N15" s="4">
        <f t="shared" si="27"/>
        <v>1.5030685278861307</v>
      </c>
      <c r="O15" s="38">
        <f t="shared" si="27"/>
        <v>3.3755769292748323</v>
      </c>
      <c r="P15" s="38">
        <f t="shared" si="27"/>
        <v>3.2579647310258188</v>
      </c>
      <c r="Q15" s="38">
        <f t="shared" si="27"/>
        <v>2.3737411550761798</v>
      </c>
      <c r="R15" s="70" t="s">
        <v>167</v>
      </c>
      <c r="S15">
        <v>0.83299999999999996</v>
      </c>
      <c r="T15" s="13">
        <f t="shared" ref="T15:AD15" si="52">AVERAGE(C33:C35)</f>
        <v>1.1280965613292442</v>
      </c>
      <c r="U15" s="13">
        <f t="shared" si="52"/>
        <v>1.1886378468424574</v>
      </c>
      <c r="V15" s="13">
        <f t="shared" si="52"/>
        <v>0.89895891317113408</v>
      </c>
      <c r="W15" s="13">
        <f t="shared" si="52"/>
        <v>2.1138750212595401</v>
      </c>
      <c r="X15" s="13">
        <f t="shared" si="52"/>
        <v>1.8691277096922161</v>
      </c>
      <c r="Y15" s="13">
        <f t="shared" si="52"/>
        <v>-8.7739243075051505E-3</v>
      </c>
      <c r="Z15" s="13">
        <f t="shared" si="52"/>
        <v>1.2955174456970964</v>
      </c>
      <c r="AA15" s="13">
        <f t="shared" si="52"/>
        <v>2.0996365714050218</v>
      </c>
      <c r="AB15" s="13">
        <f t="shared" si="52"/>
        <v>-8.7739243075051505E-3</v>
      </c>
      <c r="AC15" s="13">
        <f t="shared" si="52"/>
        <v>1.0019791835038465</v>
      </c>
      <c r="AD15" s="13">
        <f t="shared" si="52"/>
        <v>1.1991313803628687</v>
      </c>
      <c r="AE15" s="13">
        <f t="shared" ref="AE15" si="53">AVERAGE(N33:N35)</f>
        <v>0.99925845070979358</v>
      </c>
      <c r="AF15" s="13">
        <f>AVERAGE(O33:O35)</f>
        <v>1.8153503367933659</v>
      </c>
      <c r="AG15" s="13">
        <f t="shared" ref="AG15:AH15" si="54">AVERAGE(P33:P35)</f>
        <v>1.9191986656215125</v>
      </c>
      <c r="AH15" s="13">
        <f t="shared" si="54"/>
        <v>-8.7739243075051505E-3</v>
      </c>
      <c r="AI15" s="84">
        <f t="shared" si="0"/>
        <v>3.8208333333333337E-2</v>
      </c>
      <c r="AJ15" s="13">
        <v>0.91700000000000004</v>
      </c>
      <c r="AK15" s="13">
        <f t="shared" si="15"/>
        <v>1.5281557089509552</v>
      </c>
      <c r="AL15" s="13">
        <f t="shared" si="16"/>
        <v>0.4509184684187198</v>
      </c>
      <c r="AM15" s="13">
        <f t="shared" si="17"/>
        <v>0.2254592342093599</v>
      </c>
      <c r="AN15" s="13">
        <f t="shared" si="18"/>
        <v>0.43964550670825181</v>
      </c>
      <c r="AO15">
        <f t="shared" si="19"/>
        <v>4</v>
      </c>
      <c r="AP15" s="13">
        <f t="shared" si="1"/>
        <v>1.2712756950659532</v>
      </c>
      <c r="AQ15" s="13">
        <f t="shared" si="2"/>
        <v>0.89025467830614569</v>
      </c>
      <c r="AR15" s="13">
        <f t="shared" si="20"/>
        <v>0.44512733915307284</v>
      </c>
      <c r="AS15" s="13">
        <f t="shared" si="21"/>
        <v>0.86799831134849204</v>
      </c>
      <c r="AT15">
        <f t="shared" si="3"/>
        <v>4</v>
      </c>
      <c r="AU15" s="13">
        <f t="shared" si="4"/>
        <v>0.72400172344349878</v>
      </c>
      <c r="AV15" s="13">
        <f t="shared" si="5"/>
        <v>0.51094923788745983</v>
      </c>
      <c r="AW15" s="13">
        <f t="shared" si="22"/>
        <v>0.25547461894372991</v>
      </c>
      <c r="AX15" s="13">
        <f t="shared" si="23"/>
        <v>0.50073025312971065</v>
      </c>
      <c r="AY15">
        <f t="shared" si="6"/>
        <v>4</v>
      </c>
      <c r="AZ15" s="13">
        <f t="shared" si="7"/>
        <v>0.57487292153718605</v>
      </c>
      <c r="BA15" s="13">
        <f t="shared" si="8"/>
        <v>1.0109059906803253</v>
      </c>
      <c r="BB15" s="13">
        <f t="shared" si="24"/>
        <v>0.58364684584469118</v>
      </c>
      <c r="BC15" s="13">
        <f t="shared" si="25"/>
        <v>1.1381113493971478</v>
      </c>
      <c r="BD15">
        <f t="shared" si="9"/>
        <v>3</v>
      </c>
      <c r="BE15">
        <v>-0.01</v>
      </c>
      <c r="BF15" s="86">
        <v>5</v>
      </c>
      <c r="BG15" s="86">
        <v>0.61</v>
      </c>
      <c r="BH15" s="101"/>
      <c r="BI15" s="101"/>
      <c r="BJ15" s="101"/>
      <c r="BK15" s="101"/>
      <c r="BL15" s="101"/>
      <c r="BM15" s="101"/>
      <c r="BN15" s="101"/>
      <c r="BO15" s="101"/>
      <c r="BP15" s="101"/>
      <c r="BQ15" s="101"/>
      <c r="BR15" s="101"/>
      <c r="BS15" s="101"/>
      <c r="BT15" s="101"/>
      <c r="BU15" s="70"/>
    </row>
    <row r="16" spans="1:73">
      <c r="B16">
        <v>0.33300000000000002</v>
      </c>
      <c r="C16" s="4">
        <f t="shared" si="27"/>
        <v>1.1519823954574739</v>
      </c>
      <c r="D16" s="4">
        <f t="shared" si="27"/>
        <v>1.2773111791740301</v>
      </c>
      <c r="E16" s="4">
        <f t="shared" si="27"/>
        <v>2.4012729911338107</v>
      </c>
      <c r="F16" s="4">
        <f t="shared" si="27"/>
        <v>2.7848354547600533</v>
      </c>
      <c r="G16" s="4">
        <f t="shared" si="27"/>
        <v>1.9380892201048314</v>
      </c>
      <c r="H16" s="4">
        <f t="shared" si="27"/>
        <v>1.8213956043921276</v>
      </c>
      <c r="I16" s="4">
        <f t="shared" si="27"/>
        <v>2.7341747317073617</v>
      </c>
      <c r="J16" s="4">
        <f t="shared" si="27"/>
        <v>3.234298056266351</v>
      </c>
      <c r="K16" s="4">
        <f t="shared" si="27"/>
        <v>0.76072397214195175</v>
      </c>
      <c r="L16" s="4">
        <f t="shared" si="27"/>
        <v>1.3207069743095903</v>
      </c>
      <c r="M16" s="4">
        <f t="shared" si="27"/>
        <v>1.4878309964839964</v>
      </c>
      <c r="N16" s="4">
        <f t="shared" si="27"/>
        <v>1.5263522026285141</v>
      </c>
      <c r="O16" s="38">
        <f t="shared" si="27"/>
        <v>3.3771087333328338</v>
      </c>
      <c r="P16" s="38">
        <f t="shared" si="27"/>
        <v>3.2491503988454919</v>
      </c>
      <c r="Q16" s="38">
        <f t="shared" si="27"/>
        <v>2.3894938972636086</v>
      </c>
      <c r="R16" s="70" t="s">
        <v>168</v>
      </c>
      <c r="S16">
        <v>0.91700000000000004</v>
      </c>
      <c r="T16" s="13">
        <f t="shared" ref="T16:AD16" si="55">AVERAGE(C36:C38)</f>
        <v>1.1252176329127443</v>
      </c>
      <c r="U16" s="13">
        <f t="shared" si="55"/>
        <v>1.200440481153014</v>
      </c>
      <c r="V16" s="13">
        <f t="shared" si="55"/>
        <v>1.7020418914955506</v>
      </c>
      <c r="W16" s="13">
        <f t="shared" si="55"/>
        <v>2.0849228302425118</v>
      </c>
      <c r="X16" s="13">
        <f t="shared" si="55"/>
        <v>1.9153715283170598</v>
      </c>
      <c r="Y16" s="13">
        <f t="shared" si="55"/>
        <v>-8.7739243075051505E-3</v>
      </c>
      <c r="Z16" s="13">
        <f t="shared" si="55"/>
        <v>1.3422150431803279</v>
      </c>
      <c r="AA16" s="13">
        <f t="shared" si="55"/>
        <v>1.8362901330739303</v>
      </c>
      <c r="AB16" s="13">
        <f t="shared" si="55"/>
        <v>-8.7739243075051505E-3</v>
      </c>
      <c r="AC16" s="13">
        <f t="shared" si="55"/>
        <v>1.1081375596070095</v>
      </c>
      <c r="AD16" s="13">
        <f t="shared" si="55"/>
        <v>1.0360024583666203</v>
      </c>
      <c r="AE16" s="13">
        <f t="shared" ref="AE16" si="56">AVERAGE(N36:N38)</f>
        <v>0.76064080010787016</v>
      </c>
      <c r="AF16" s="13">
        <f>AVERAGE(O36:O38)</f>
        <v>-8.7739243075051505E-3</v>
      </c>
      <c r="AG16" s="13">
        <f t="shared" ref="AG16:AH16" si="57">AVERAGE(P36:P38)</f>
        <v>1.7421666132265685</v>
      </c>
      <c r="AH16" s="13">
        <f t="shared" si="57"/>
        <v>-8.7739243075051505E-3</v>
      </c>
      <c r="AI16" s="84">
        <f t="shared" si="0"/>
        <v>4.1666666666666664E-2</v>
      </c>
      <c r="AJ16">
        <v>1</v>
      </c>
      <c r="AK16" s="13">
        <f t="shared" si="15"/>
        <v>1.7547408439362662</v>
      </c>
      <c r="AL16" s="13">
        <f t="shared" si="16"/>
        <v>0.38762096113292482</v>
      </c>
      <c r="AM16" s="13">
        <f t="shared" si="17"/>
        <v>0.19381048056646241</v>
      </c>
      <c r="AN16" s="13">
        <f t="shared" si="18"/>
        <v>0.37793043710460167</v>
      </c>
      <c r="AO16">
        <f t="shared" si="19"/>
        <v>4</v>
      </c>
      <c r="AP16" s="13">
        <f t="shared" si="1"/>
        <v>0.71741753100928185</v>
      </c>
      <c r="AQ16" s="13">
        <f t="shared" si="2"/>
        <v>0.84614289616538318</v>
      </c>
      <c r="AR16" s="13">
        <f t="shared" si="20"/>
        <v>0.42307144808269159</v>
      </c>
      <c r="AS16" s="13">
        <f t="shared" si="21"/>
        <v>0.82498932376124856</v>
      </c>
      <c r="AT16">
        <f t="shared" si="3"/>
        <v>4</v>
      </c>
      <c r="AU16" s="13">
        <f t="shared" si="4"/>
        <v>0.68317344325503304</v>
      </c>
      <c r="AV16" s="13">
        <f t="shared" si="5"/>
        <v>0.52291005189870898</v>
      </c>
      <c r="AW16" s="13">
        <f t="shared" si="22"/>
        <v>0.26145502594935449</v>
      </c>
      <c r="AX16" s="13">
        <f t="shared" si="23"/>
        <v>0.51245185086073475</v>
      </c>
      <c r="AY16">
        <f t="shared" si="6"/>
        <v>4</v>
      </c>
      <c r="AZ16" s="13">
        <f t="shared" si="7"/>
        <v>0.6442488603392581</v>
      </c>
      <c r="BA16" s="13">
        <f t="shared" si="8"/>
        <v>0.80155928009896871</v>
      </c>
      <c r="BB16" s="13">
        <f t="shared" si="24"/>
        <v>0.46278046613658225</v>
      </c>
      <c r="BC16" s="13">
        <f t="shared" si="25"/>
        <v>0.90242190896633534</v>
      </c>
      <c r="BD16">
        <f t="shared" si="9"/>
        <v>3</v>
      </c>
      <c r="BE16">
        <v>-0.01</v>
      </c>
      <c r="BF16" s="86">
        <v>5.9999900000000004</v>
      </c>
      <c r="BG16" s="86">
        <v>0.61</v>
      </c>
      <c r="BH16" s="101"/>
      <c r="BI16" s="101"/>
      <c r="BJ16" s="101"/>
      <c r="BK16" s="101"/>
      <c r="BL16" s="101"/>
      <c r="BM16" s="101"/>
      <c r="BN16" s="101"/>
      <c r="BO16" s="101"/>
      <c r="BP16" s="101"/>
      <c r="BQ16" s="101"/>
      <c r="BR16" s="101"/>
      <c r="BS16" s="101"/>
      <c r="BT16" s="101"/>
      <c r="BU16" s="70"/>
    </row>
    <row r="17" spans="2:73">
      <c r="B17">
        <v>0.33300000000000002</v>
      </c>
      <c r="C17" s="4">
        <f t="shared" si="27"/>
        <v>1.1543935379569974</v>
      </c>
      <c r="D17" s="4">
        <f t="shared" si="27"/>
        <v>1.270608970823178</v>
      </c>
      <c r="E17" s="4">
        <f t="shared" si="27"/>
        <v>2.396703115468481</v>
      </c>
      <c r="F17" s="4">
        <f t="shared" si="27"/>
        <v>2.7817840873880519</v>
      </c>
      <c r="G17" s="4">
        <f t="shared" si="27"/>
        <v>1.9286057787969337</v>
      </c>
      <c r="H17" s="4">
        <f t="shared" si="27"/>
        <v>-8.7739243075051505E-3</v>
      </c>
      <c r="I17" s="4">
        <f t="shared" si="27"/>
        <v>2.7272898790574867</v>
      </c>
      <c r="J17" s="4">
        <f t="shared" si="27"/>
        <v>3.2377975050913084</v>
      </c>
      <c r="K17" s="4">
        <f t="shared" si="27"/>
        <v>0.77180787899910563</v>
      </c>
      <c r="L17" s="4">
        <f t="shared" si="27"/>
        <v>1.3355180758942335</v>
      </c>
      <c r="M17" s="4">
        <f t="shared" si="27"/>
        <v>1.493081452734428</v>
      </c>
      <c r="N17" s="4">
        <f t="shared" si="27"/>
        <v>1.5010044581944719</v>
      </c>
      <c r="O17" s="38">
        <f t="shared" si="27"/>
        <v>3.3528213295387759</v>
      </c>
      <c r="P17" s="38">
        <f t="shared" si="27"/>
        <v>3.2555062373920993</v>
      </c>
      <c r="Q17" s="38">
        <f t="shared" si="27"/>
        <v>2.3688110696931766</v>
      </c>
      <c r="R17" s="70" t="s">
        <v>169</v>
      </c>
      <c r="S17">
        <v>1</v>
      </c>
      <c r="T17" s="13">
        <f t="shared" ref="T17:AD17" si="58">AVERAGE(C39:C41)</f>
        <v>1.2087536083198707</v>
      </c>
      <c r="U17" s="13">
        <f t="shared" si="58"/>
        <v>2.0434995334837835</v>
      </c>
      <c r="V17" s="13">
        <f t="shared" si="58"/>
        <v>1.7488502400568013</v>
      </c>
      <c r="W17" s="13">
        <f t="shared" si="58"/>
        <v>2.0178599938846093</v>
      </c>
      <c r="X17" s="13">
        <f t="shared" si="58"/>
        <v>1.9347741587879754</v>
      </c>
      <c r="Y17" s="13">
        <f t="shared" si="58"/>
        <v>-8.7739243075051505E-3</v>
      </c>
      <c r="Z17" s="13">
        <f t="shared" si="58"/>
        <v>0.56654661222705194</v>
      </c>
      <c r="AA17" s="13">
        <f t="shared" si="58"/>
        <v>0.37712327732960532</v>
      </c>
      <c r="AB17" s="13">
        <f t="shared" si="58"/>
        <v>-8.7739243075051505E-3</v>
      </c>
      <c r="AC17" s="13">
        <f t="shared" si="58"/>
        <v>0.97696027244057027</v>
      </c>
      <c r="AD17" s="13">
        <f t="shared" si="58"/>
        <v>1.1788485535063726</v>
      </c>
      <c r="AE17" s="13">
        <f t="shared" ref="AE17" si="59">AVERAGE(N39:N41)</f>
        <v>0.58565887138069439</v>
      </c>
      <c r="AF17" s="13">
        <f>AVERAGE(O39:O41)</f>
        <v>-8.7739243075051505E-3</v>
      </c>
      <c r="AG17" s="13">
        <f>AVERAGE(P39:P41)</f>
        <v>1.5387991699578523</v>
      </c>
      <c r="AH17" s="13">
        <f>AVERAGE(Q39:Q41)</f>
        <v>0.40272133536742727</v>
      </c>
      <c r="AI17" s="84">
        <f t="shared" si="0"/>
        <v>8.3333333333333329E-2</v>
      </c>
      <c r="AJ17">
        <v>2</v>
      </c>
      <c r="AK17" s="13">
        <f t="shared" si="15"/>
        <v>1.3298909493769691</v>
      </c>
      <c r="AL17" s="13">
        <f t="shared" si="16"/>
        <v>0.31370779168547303</v>
      </c>
      <c r="AM17" s="13">
        <f t="shared" si="17"/>
        <v>0.15685389584273651</v>
      </c>
      <c r="AN17" s="13">
        <f t="shared" si="18"/>
        <v>0.30586509689333619</v>
      </c>
      <c r="AO17">
        <f t="shared" si="19"/>
        <v>4</v>
      </c>
      <c r="AP17" s="13">
        <f t="shared" si="1"/>
        <v>0.99829198434415733</v>
      </c>
      <c r="AQ17" s="13">
        <f t="shared" si="2"/>
        <v>0.89941897504554214</v>
      </c>
      <c r="AR17" s="13">
        <f t="shared" si="20"/>
        <v>0.44970948752277107</v>
      </c>
      <c r="AS17" s="13">
        <f t="shared" si="21"/>
        <v>0.87693350066940357</v>
      </c>
      <c r="AT17">
        <f t="shared" si="3"/>
        <v>4</v>
      </c>
      <c r="AU17" s="13">
        <f t="shared" si="4"/>
        <v>0.18329887942765302</v>
      </c>
      <c r="AV17" s="13">
        <f t="shared" si="5"/>
        <v>0.26626348085431367</v>
      </c>
      <c r="AW17" s="13">
        <f t="shared" si="22"/>
        <v>0.13313174042715684</v>
      </c>
      <c r="AX17" s="13">
        <f t="shared" si="23"/>
        <v>0.26093821123722738</v>
      </c>
      <c r="AY17">
        <f t="shared" si="6"/>
        <v>4</v>
      </c>
      <c r="AZ17" s="13">
        <f t="shared" si="7"/>
        <v>-8.7739243075051505E-3</v>
      </c>
      <c r="BA17">
        <f t="shared" si="8"/>
        <v>0</v>
      </c>
      <c r="BB17">
        <f t="shared" si="24"/>
        <v>0</v>
      </c>
      <c r="BC17" s="13">
        <f t="shared" si="25"/>
        <v>0</v>
      </c>
      <c r="BD17">
        <f t="shared" si="9"/>
        <v>3</v>
      </c>
      <c r="BE17">
        <v>-0.01</v>
      </c>
      <c r="BF17" s="86">
        <v>6</v>
      </c>
      <c r="BG17" s="86">
        <v>0.5</v>
      </c>
      <c r="BH17" s="101"/>
      <c r="BI17" s="101"/>
      <c r="BJ17" s="101"/>
      <c r="BK17" s="101"/>
      <c r="BL17" s="101"/>
      <c r="BM17" s="101"/>
      <c r="BN17" s="101"/>
      <c r="BO17" s="101"/>
      <c r="BP17" s="101"/>
      <c r="BQ17" s="101"/>
      <c r="BR17" s="101"/>
      <c r="BS17" s="101"/>
      <c r="BT17" s="101"/>
      <c r="BU17" s="70"/>
    </row>
    <row r="18" spans="2:73">
      <c r="B18">
        <v>0.41699999999999998</v>
      </c>
      <c r="C18" s="80">
        <f t="shared" si="27"/>
        <v>1.0982975364946976</v>
      </c>
      <c r="D18" s="80">
        <f t="shared" si="27"/>
        <v>1.178660458538169</v>
      </c>
      <c r="E18" s="80">
        <f t="shared" si="27"/>
        <v>2.2077016737791624</v>
      </c>
      <c r="F18" s="80">
        <f t="shared" si="27"/>
        <v>2.6220885880701452</v>
      </c>
      <c r="G18" s="80">
        <f t="shared" si="27"/>
        <v>1.885123650270317</v>
      </c>
      <c r="H18" s="80">
        <f t="shared" si="27"/>
        <v>1.7867727105689817</v>
      </c>
      <c r="I18" s="80">
        <f t="shared" si="27"/>
        <v>2.6700481484121807</v>
      </c>
      <c r="J18" s="80">
        <f t="shared" si="27"/>
        <v>3.0861946249618315</v>
      </c>
      <c r="K18" s="80">
        <f t="shared" si="27"/>
        <v>0.70594919491029573</v>
      </c>
      <c r="L18" s="80">
        <f t="shared" si="27"/>
        <v>1.2416460780013887</v>
      </c>
      <c r="M18" s="80">
        <f t="shared" si="27"/>
        <v>1.5661191679368927</v>
      </c>
      <c r="N18" s="80">
        <f t="shared" si="27"/>
        <v>1.4451681333275692</v>
      </c>
      <c r="O18" s="80">
        <f t="shared" si="27"/>
        <v>3.1256025909557574</v>
      </c>
      <c r="P18" s="80">
        <f t="shared" si="27"/>
        <v>2.9656517600758807</v>
      </c>
      <c r="Q18" s="80">
        <f t="shared" si="27"/>
        <v>1.5813806887099868</v>
      </c>
      <c r="R18" s="70" t="s">
        <v>170</v>
      </c>
      <c r="S18">
        <v>2</v>
      </c>
      <c r="T18" s="13">
        <f t="shared" ref="T18:AD18" si="60">AVERAGE(C42:C44)</f>
        <v>1.1931907536969082</v>
      </c>
      <c r="U18" s="13">
        <f t="shared" si="60"/>
        <v>1.2866714342168508</v>
      </c>
      <c r="V18" s="13">
        <f t="shared" si="60"/>
        <v>1.7793624976030642</v>
      </c>
      <c r="W18" s="13">
        <f t="shared" si="60"/>
        <v>1.060339111991053</v>
      </c>
      <c r="X18" s="13">
        <f t="shared" si="60"/>
        <v>1.9364898904012937</v>
      </c>
      <c r="Y18" s="13">
        <f t="shared" si="60"/>
        <v>-8.7739243075051505E-3</v>
      </c>
      <c r="Z18" s="13">
        <f t="shared" si="60"/>
        <v>0.5178983339817379</v>
      </c>
      <c r="AA18" s="13">
        <f t="shared" si="60"/>
        <v>1.547553637301103</v>
      </c>
      <c r="AB18" s="13">
        <f t="shared" si="60"/>
        <v>-8.7739243075051505E-3</v>
      </c>
      <c r="AC18" s="13">
        <f t="shared" si="60"/>
        <v>-8.7739243075051505E-3</v>
      </c>
      <c r="AD18" s="13">
        <f t="shared" si="60"/>
        <v>0.55581679389073868</v>
      </c>
      <c r="AE18" s="13">
        <f t="shared" ref="AE18" si="61">AVERAGE(N42:N44)</f>
        <v>0.19492657243488376</v>
      </c>
      <c r="AF18" s="13">
        <f t="shared" ref="AF18" si="62">AVERAGE(O42:O44)</f>
        <v>-8.7739243075051505E-3</v>
      </c>
      <c r="AG18" s="13">
        <f t="shared" ref="AG18" si="63">AVERAGE(P42:P44)</f>
        <v>-8.7739243075051505E-3</v>
      </c>
      <c r="AH18" s="13">
        <f t="shared" ref="AH18" si="64">AVERAGE(Q42:Q44)</f>
        <v>-8.7739243075051505E-3</v>
      </c>
      <c r="AI18" s="84">
        <f t="shared" si="0"/>
        <v>0.125</v>
      </c>
      <c r="AJ18">
        <v>3</v>
      </c>
      <c r="AK18" s="13">
        <f t="shared" si="15"/>
        <v>1.4470503912366708</v>
      </c>
      <c r="AL18" s="13">
        <f t="shared" si="16"/>
        <v>0.21320105647605819</v>
      </c>
      <c r="AM18" s="13">
        <f t="shared" si="17"/>
        <v>0.1066005282380291</v>
      </c>
      <c r="AN18" s="13">
        <f t="shared" si="18"/>
        <v>0.20787103006415672</v>
      </c>
      <c r="AO18">
        <f t="shared" si="19"/>
        <v>4</v>
      </c>
      <c r="AP18" s="13">
        <f t="shared" si="1"/>
        <v>1.5314077340925272</v>
      </c>
      <c r="AQ18" s="13">
        <f t="shared" si="2"/>
        <v>1.0331505279246207</v>
      </c>
      <c r="AR18" s="13">
        <f t="shared" si="20"/>
        <v>0.51657526396231035</v>
      </c>
      <c r="AS18" s="13">
        <f t="shared" si="21"/>
        <v>1.0073217647265051</v>
      </c>
      <c r="AT18">
        <f t="shared" si="3"/>
        <v>4</v>
      </c>
      <c r="AU18" s="13">
        <f t="shared" si="4"/>
        <v>0.14100619109726442</v>
      </c>
      <c r="AV18" s="13">
        <f t="shared" si="5"/>
        <v>0.22298998706964565</v>
      </c>
      <c r="AW18" s="13">
        <f t="shared" si="22"/>
        <v>0.11149499353482283</v>
      </c>
      <c r="AX18" s="13">
        <f t="shared" si="23"/>
        <v>0.21853018732825275</v>
      </c>
      <c r="AY18">
        <f t="shared" si="6"/>
        <v>4</v>
      </c>
      <c r="AZ18" s="13">
        <f t="shared" si="7"/>
        <v>-8.7739243075051505E-3</v>
      </c>
      <c r="BA18">
        <f t="shared" si="8"/>
        <v>0</v>
      </c>
      <c r="BB18">
        <f t="shared" si="24"/>
        <v>0</v>
      </c>
      <c r="BC18" s="13">
        <f t="shared" si="25"/>
        <v>0</v>
      </c>
      <c r="BD18">
        <f t="shared" si="9"/>
        <v>3</v>
      </c>
      <c r="BE18">
        <v>-0.01</v>
      </c>
      <c r="BF18" s="86">
        <v>6.9999900000000004</v>
      </c>
      <c r="BG18" s="86">
        <v>0.5</v>
      </c>
      <c r="BH18" s="101"/>
      <c r="BI18" s="101"/>
      <c r="BJ18" s="101"/>
      <c r="BK18" s="101"/>
      <c r="BL18" s="101"/>
      <c r="BM18" s="101"/>
      <c r="BN18" s="101"/>
      <c r="BO18" s="101"/>
      <c r="BP18" s="101"/>
      <c r="BQ18" s="101"/>
      <c r="BR18" s="101"/>
      <c r="BS18" s="101"/>
      <c r="BT18" s="101"/>
      <c r="BU18" s="70"/>
    </row>
    <row r="19" spans="2:73">
      <c r="B19">
        <v>0.41699999999999998</v>
      </c>
      <c r="C19" s="80">
        <f t="shared" si="27"/>
        <v>1.1025023091854522</v>
      </c>
      <c r="D19" s="80">
        <f t="shared" si="27"/>
        <v>1.168733128934079</v>
      </c>
      <c r="E19" s="80">
        <f t="shared" si="27"/>
        <v>2.1874981594981424</v>
      </c>
      <c r="F19" s="80">
        <f t="shared" si="27"/>
        <v>2.6346898309782367</v>
      </c>
      <c r="G19" s="80">
        <f t="shared" si="27"/>
        <v>1.8839054798105213</v>
      </c>
      <c r="H19" s="80">
        <f t="shared" si="27"/>
        <v>-8.7739243075051505E-3</v>
      </c>
      <c r="I19" s="80">
        <f t="shared" si="27"/>
        <v>2.6600625241046316</v>
      </c>
      <c r="J19" s="80">
        <f t="shared" si="27"/>
        <v>3.0823350499197639</v>
      </c>
      <c r="K19" s="80">
        <f t="shared" si="27"/>
        <v>0.70260284134042705</v>
      </c>
      <c r="L19" s="80">
        <f t="shared" si="27"/>
        <v>1.2339347967306846</v>
      </c>
      <c r="M19" s="80">
        <f t="shared" si="27"/>
        <v>1.5507907365519602</v>
      </c>
      <c r="N19" s="80">
        <f t="shared" si="27"/>
        <v>1.4380357720930799</v>
      </c>
      <c r="O19" s="80">
        <f t="shared" si="27"/>
        <v>3.1297179206864669</v>
      </c>
      <c r="P19" s="80">
        <f t="shared" si="27"/>
        <v>2.9740960818220628</v>
      </c>
      <c r="Q19" s="80">
        <f t="shared" si="27"/>
        <v>1.5680491073012701</v>
      </c>
      <c r="R19" s="70" t="s">
        <v>171</v>
      </c>
      <c r="S19">
        <v>3</v>
      </c>
      <c r="T19" s="13">
        <f t="shared" ref="T19:AD19" si="65">AVERAGE(C45:C47)</f>
        <v>1.4326758111075293</v>
      </c>
      <c r="U19" s="13">
        <f t="shared" si="65"/>
        <v>1.4438900279740763</v>
      </c>
      <c r="V19" s="13">
        <f t="shared" si="65"/>
        <v>1.7165799363613683</v>
      </c>
      <c r="W19" s="13">
        <f t="shared" si="65"/>
        <v>1.1950557895037095</v>
      </c>
      <c r="X19" s="13">
        <f t="shared" si="65"/>
        <v>2.0702465084935349</v>
      </c>
      <c r="Y19" s="13">
        <f t="shared" si="65"/>
        <v>2.1705520772589719</v>
      </c>
      <c r="Z19" s="13">
        <f t="shared" si="65"/>
        <v>-8.7739243075051505E-3</v>
      </c>
      <c r="AA19" s="13">
        <f t="shared" si="65"/>
        <v>1.8936062749251066</v>
      </c>
      <c r="AB19" s="13">
        <f t="shared" si="65"/>
        <v>-8.7739243075051505E-3</v>
      </c>
      <c r="AC19" s="13">
        <f t="shared" si="65"/>
        <v>-8.7739243075051505E-3</v>
      </c>
      <c r="AD19" s="13">
        <f t="shared" si="65"/>
        <v>0.11839536834503887</v>
      </c>
      <c r="AE19" s="13">
        <f t="shared" ref="AE19" si="66">AVERAGE(N45:N47)</f>
        <v>0.46317724465902915</v>
      </c>
      <c r="AF19" s="13">
        <f t="shared" ref="AF19" si="67">AVERAGE(O45:O47)</f>
        <v>-8.7739243075051505E-3</v>
      </c>
      <c r="AG19" s="13">
        <f t="shared" ref="AG19" si="68">AVERAGE(P45:P47)</f>
        <v>-8.7739243075051505E-3</v>
      </c>
      <c r="AH19" s="13">
        <f t="shared" ref="AH19" si="69">AVERAGE(Q45:Q47)</f>
        <v>-8.7739243075051505E-3</v>
      </c>
      <c r="AI19" s="84">
        <f t="shared" si="0"/>
        <v>0.16666666666666666</v>
      </c>
      <c r="AJ19">
        <v>4</v>
      </c>
      <c r="AK19" s="13">
        <f t="shared" si="15"/>
        <v>1.6313976503920515</v>
      </c>
      <c r="AL19" s="13">
        <f t="shared" si="16"/>
        <v>0.36757920217657986</v>
      </c>
      <c r="AM19" s="13">
        <f t="shared" si="17"/>
        <v>0.18378960108828993</v>
      </c>
      <c r="AN19" s="13">
        <f t="shared" si="18"/>
        <v>0.35838972212216536</v>
      </c>
      <c r="AO19">
        <f t="shared" si="19"/>
        <v>4</v>
      </c>
      <c r="AP19" s="13">
        <f t="shared" si="1"/>
        <v>1.691885088281355</v>
      </c>
      <c r="AQ19" s="13">
        <f t="shared" si="2"/>
        <v>0.73864347050470691</v>
      </c>
      <c r="AR19" s="13">
        <f t="shared" si="20"/>
        <v>0.36932173525235346</v>
      </c>
      <c r="AS19" s="13">
        <f t="shared" si="21"/>
        <v>0.72017738374208917</v>
      </c>
      <c r="AT19">
        <f t="shared" si="3"/>
        <v>4</v>
      </c>
      <c r="AU19" s="13">
        <f t="shared" si="4"/>
        <v>0.31774524972733842</v>
      </c>
      <c r="AV19" s="13">
        <f t="shared" si="5"/>
        <v>0.38413785348106222</v>
      </c>
      <c r="AW19" s="13">
        <f t="shared" si="22"/>
        <v>0.19206892674053111</v>
      </c>
      <c r="AX19" s="13">
        <f t="shared" si="23"/>
        <v>0.37645509641144098</v>
      </c>
      <c r="AY19">
        <f t="shared" si="6"/>
        <v>4</v>
      </c>
      <c r="AZ19" s="13">
        <f t="shared" si="7"/>
        <v>-8.7739243075051505E-3</v>
      </c>
      <c r="BA19">
        <f t="shared" si="8"/>
        <v>0</v>
      </c>
      <c r="BB19">
        <f t="shared" si="24"/>
        <v>0</v>
      </c>
      <c r="BC19" s="13">
        <f t="shared" si="25"/>
        <v>0</v>
      </c>
      <c r="BD19">
        <f t="shared" si="9"/>
        <v>3</v>
      </c>
      <c r="BE19">
        <v>-0.01</v>
      </c>
      <c r="BF19" s="86">
        <v>7</v>
      </c>
      <c r="BG19" s="86">
        <v>0.43</v>
      </c>
      <c r="BH19" s="101"/>
      <c r="BI19" s="101"/>
      <c r="BJ19" s="101"/>
      <c r="BK19" s="101"/>
      <c r="BL19" s="101"/>
      <c r="BM19" s="101"/>
      <c r="BN19" s="101"/>
      <c r="BO19" s="101"/>
      <c r="BP19" s="101"/>
      <c r="BQ19" s="101"/>
      <c r="BR19" s="101"/>
      <c r="BS19" s="101"/>
      <c r="BT19" s="101"/>
      <c r="BU19" s="70"/>
    </row>
    <row r="20" spans="2:73">
      <c r="B20">
        <v>0.41699999999999998</v>
      </c>
      <c r="C20" s="80">
        <f t="shared" si="27"/>
        <v>1.0974308539442421</v>
      </c>
      <c r="D20" s="80">
        <f t="shared" si="27"/>
        <v>1.1737688231366501</v>
      </c>
      <c r="E20" s="80">
        <f t="shared" si="27"/>
        <v>2.2183043801572042</v>
      </c>
      <c r="F20" s="80">
        <f t="shared" si="27"/>
        <v>2.651001644993451</v>
      </c>
      <c r="G20" s="80">
        <f t="shared" si="27"/>
        <v>1.8901526458698323</v>
      </c>
      <c r="H20" s="80">
        <f t="shared" si="27"/>
        <v>-8.7739243075051505E-3</v>
      </c>
      <c r="I20" s="80">
        <f t="shared" si="27"/>
        <v>2.6667238472412436</v>
      </c>
      <c r="J20" s="80">
        <f t="shared" si="27"/>
        <v>3.0796178543731934</v>
      </c>
      <c r="K20" s="80">
        <f t="shared" si="27"/>
        <v>0.68133170596916581</v>
      </c>
      <c r="L20" s="80">
        <f t="shared" si="27"/>
        <v>1.2341374894509629</v>
      </c>
      <c r="M20" s="80">
        <f t="shared" si="27"/>
        <v>1.5551307390800104</v>
      </c>
      <c r="N20" s="80">
        <f t="shared" si="27"/>
        <v>1.4466303533162292</v>
      </c>
      <c r="O20" s="80">
        <f t="shared" si="27"/>
        <v>3.1289863325922593</v>
      </c>
      <c r="P20" s="80">
        <f t="shared" si="27"/>
        <v>2.9622978156409285</v>
      </c>
      <c r="Q20" s="80">
        <f t="shared" si="27"/>
        <v>1.5741470641507227</v>
      </c>
      <c r="R20" s="70" t="s">
        <v>172</v>
      </c>
      <c r="S20">
        <v>4</v>
      </c>
      <c r="T20" s="13">
        <f t="shared" ref="T20:AD20" si="70">AVERAGE(C48:C50)</f>
        <v>2.1125255136964252</v>
      </c>
      <c r="U20" s="13">
        <f t="shared" si="70"/>
        <v>1.4743641774971572</v>
      </c>
      <c r="V20" s="13">
        <f t="shared" si="70"/>
        <v>1.6892155163198213</v>
      </c>
      <c r="W20" s="13">
        <f t="shared" si="70"/>
        <v>1.2494853940548023</v>
      </c>
      <c r="X20" s="13">
        <f t="shared" si="70"/>
        <v>2.0740371910128821</v>
      </c>
      <c r="Y20" s="13">
        <f t="shared" si="70"/>
        <v>2.1384109707825369</v>
      </c>
      <c r="Z20" s="13">
        <f t="shared" si="70"/>
        <v>0.58906830568646507</v>
      </c>
      <c r="AA20" s="13">
        <f t="shared" si="70"/>
        <v>1.9660238856435361</v>
      </c>
      <c r="AB20" s="13">
        <f t="shared" si="70"/>
        <v>-8.7739243075051505E-3</v>
      </c>
      <c r="AC20" s="13">
        <f t="shared" si="70"/>
        <v>-8.7739243075051505E-3</v>
      </c>
      <c r="AD20" s="13">
        <f t="shared" si="70"/>
        <v>0.73433824732243747</v>
      </c>
      <c r="AE20" s="13">
        <f t="shared" ref="AE20" si="71">AVERAGE(N48:N50)</f>
        <v>0.55419060020192656</v>
      </c>
      <c r="AF20" s="13">
        <f t="shared" ref="AF20" si="72">AVERAGE(O48:O50)</f>
        <v>-8.7739243075051505E-3</v>
      </c>
      <c r="AG20" s="13">
        <f t="shared" ref="AG20" si="73">AVERAGE(P48:P50)</f>
        <v>-8.7739243075051505E-3</v>
      </c>
      <c r="AH20" s="13">
        <f t="shared" ref="AH20" si="74">AVERAGE(Q48:Q50)</f>
        <v>-8.7739243075051505E-3</v>
      </c>
      <c r="AI20" s="84">
        <f t="shared" si="0"/>
        <v>0.20833333333333334</v>
      </c>
      <c r="AJ20">
        <v>5</v>
      </c>
      <c r="AK20" s="13">
        <f t="shared" si="15"/>
        <v>1.5981307216714387</v>
      </c>
      <c r="AL20" s="13">
        <f t="shared" si="16"/>
        <v>0.41100593101809679</v>
      </c>
      <c r="AM20" s="13">
        <f t="shared" si="17"/>
        <v>0.2055029655090484</v>
      </c>
      <c r="AN20" s="13">
        <f t="shared" si="18"/>
        <v>0.40073078274264434</v>
      </c>
      <c r="AO20">
        <f t="shared" si="19"/>
        <v>4</v>
      </c>
      <c r="AP20" s="13">
        <f t="shared" si="1"/>
        <v>1.9766777301030811</v>
      </c>
      <c r="AQ20" s="13">
        <f t="shared" si="2"/>
        <v>0.51603154776009985</v>
      </c>
      <c r="AR20" s="13">
        <f t="shared" si="20"/>
        <v>0.25801577388004993</v>
      </c>
      <c r="AS20" s="13">
        <f t="shared" si="21"/>
        <v>0.50313075906609739</v>
      </c>
      <c r="AT20">
        <f t="shared" si="3"/>
        <v>4</v>
      </c>
      <c r="AU20" s="13">
        <f t="shared" si="4"/>
        <v>0.27369839709408611</v>
      </c>
      <c r="AV20" s="13">
        <f t="shared" si="5"/>
        <v>0.32701937138930109</v>
      </c>
      <c r="AW20" s="13">
        <f t="shared" si="22"/>
        <v>0.16350968569465055</v>
      </c>
      <c r="AX20" s="13">
        <f t="shared" si="23"/>
        <v>0.32047898396151508</v>
      </c>
      <c r="AY20">
        <f t="shared" si="6"/>
        <v>4</v>
      </c>
      <c r="AZ20" s="13">
        <f t="shared" si="7"/>
        <v>-8.7739243075051505E-3</v>
      </c>
      <c r="BA20">
        <f t="shared" si="8"/>
        <v>0</v>
      </c>
      <c r="BB20">
        <f t="shared" si="24"/>
        <v>0</v>
      </c>
      <c r="BC20" s="13">
        <f t="shared" si="25"/>
        <v>0</v>
      </c>
      <c r="BD20">
        <f t="shared" si="9"/>
        <v>3</v>
      </c>
      <c r="BE20">
        <v>-0.01</v>
      </c>
      <c r="BF20" s="86">
        <v>7.9999900000000004</v>
      </c>
      <c r="BG20" s="86">
        <v>0.43</v>
      </c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70"/>
    </row>
    <row r="21" spans="2:73">
      <c r="B21">
        <v>0.5</v>
      </c>
      <c r="C21" s="4">
        <f t="shared" si="27"/>
        <v>1.1041455505540081</v>
      </c>
      <c r="D21" s="4">
        <f t="shared" si="27"/>
        <v>1.1811000797280484</v>
      </c>
      <c r="E21" s="4">
        <f t="shared" si="27"/>
        <v>1.8890887058923904</v>
      </c>
      <c r="F21" s="4">
        <f t="shared" si="27"/>
        <v>2.5338177979343115</v>
      </c>
      <c r="G21" s="4">
        <f t="shared" si="27"/>
        <v>1.9428708210667007</v>
      </c>
      <c r="H21" s="4">
        <f t="shared" si="27"/>
        <v>-8.7739243075051505E-3</v>
      </c>
      <c r="I21" s="4">
        <f t="shared" si="27"/>
        <v>2.5511461295402191</v>
      </c>
      <c r="J21" s="4">
        <f t="shared" si="27"/>
        <v>2.9535915451936425</v>
      </c>
      <c r="K21" s="4">
        <f t="shared" si="27"/>
        <v>0.73591811653129713</v>
      </c>
      <c r="L21" s="4">
        <f t="shared" si="27"/>
        <v>1.0913151596972228</v>
      </c>
      <c r="M21" s="4">
        <f t="shared" si="27"/>
        <v>1.1702910586253934</v>
      </c>
      <c r="N21" s="4">
        <f t="shared" si="27"/>
        <v>1.4236390192399713</v>
      </c>
      <c r="O21" s="38">
        <f t="shared" si="27"/>
        <v>2.8772538285466762</v>
      </c>
      <c r="P21" s="38">
        <f t="shared" si="27"/>
        <v>2.6048381711852726</v>
      </c>
      <c r="Q21" s="38">
        <f t="shared" si="27"/>
        <v>0.70739983113324867</v>
      </c>
      <c r="R21" s="70" t="s">
        <v>173</v>
      </c>
      <c r="S21">
        <v>5</v>
      </c>
      <c r="T21" s="13">
        <f t="shared" ref="T21:AD21" si="75">AVERAGE(C51:C53)</f>
        <v>1.4881168543350676</v>
      </c>
      <c r="U21" s="13">
        <f t="shared" si="75"/>
        <v>2.1980528755448945</v>
      </c>
      <c r="V21" s="13">
        <f t="shared" si="75"/>
        <v>1.4390920009789252</v>
      </c>
      <c r="W21" s="13">
        <f t="shared" si="75"/>
        <v>1.2672611558268674</v>
      </c>
      <c r="X21" s="13">
        <f t="shared" si="75"/>
        <v>2.2128775513639649</v>
      </c>
      <c r="Y21" s="13">
        <f t="shared" si="75"/>
        <v>2.440713903391492</v>
      </c>
      <c r="Z21" s="13">
        <f t="shared" si="75"/>
        <v>1.2506737626619404</v>
      </c>
      <c r="AA21" s="13">
        <f t="shared" si="75"/>
        <v>2.0024457029949265</v>
      </c>
      <c r="AB21" s="13">
        <f t="shared" si="75"/>
        <v>-8.7739243075051505E-3</v>
      </c>
      <c r="AC21" s="13">
        <f t="shared" si="75"/>
        <v>-8.7739243075051505E-3</v>
      </c>
      <c r="AD21" s="13">
        <f t="shared" si="75"/>
        <v>0.58500263101934946</v>
      </c>
      <c r="AE21" s="13">
        <f t="shared" ref="AE21" si="76">AVERAGE(N51:N53)</f>
        <v>0.52733880597200533</v>
      </c>
      <c r="AF21" s="13">
        <f t="shared" ref="AF21" si="77">AVERAGE(O51:O53)</f>
        <v>-8.7739243075051505E-3</v>
      </c>
      <c r="AG21" s="13">
        <f t="shared" ref="AG21" si="78">AVERAGE(P51:P53)</f>
        <v>-8.7739243075051505E-3</v>
      </c>
      <c r="AH21" s="13">
        <f t="shared" ref="AH21" si="79">AVERAGE(Q51:Q53)</f>
        <v>-8.7739243075051505E-3</v>
      </c>
      <c r="AI21" s="84">
        <f t="shared" si="0"/>
        <v>0.25</v>
      </c>
      <c r="AJ21">
        <v>6</v>
      </c>
      <c r="AK21" s="13">
        <f t="shared" si="15"/>
        <v>1.7798059143641012</v>
      </c>
      <c r="AL21" s="13">
        <f t="shared" si="16"/>
        <v>0.55466989914720133</v>
      </c>
      <c r="AM21" s="13">
        <f t="shared" si="17"/>
        <v>0.27733494957360066</v>
      </c>
      <c r="AN21" s="13">
        <f t="shared" si="18"/>
        <v>0.54080315166852133</v>
      </c>
      <c r="AO21">
        <f t="shared" si="19"/>
        <v>4</v>
      </c>
      <c r="AP21" s="13">
        <f t="shared" si="1"/>
        <v>1.7705548722789377</v>
      </c>
      <c r="AQ21" s="13">
        <f t="shared" si="2"/>
        <v>0.60211508431318139</v>
      </c>
      <c r="AR21" s="13">
        <f t="shared" si="20"/>
        <v>0.3010575421565907</v>
      </c>
      <c r="AS21" s="13">
        <f t="shared" si="21"/>
        <v>0.58706220720535185</v>
      </c>
      <c r="AT21">
        <f t="shared" si="3"/>
        <v>4</v>
      </c>
      <c r="AU21" s="13">
        <f t="shared" si="4"/>
        <v>0.18912170552139801</v>
      </c>
      <c r="AV21" s="13">
        <f t="shared" si="5"/>
        <v>0.39579125965780632</v>
      </c>
      <c r="AW21" s="13">
        <f t="shared" si="22"/>
        <v>0.19789562982890316</v>
      </c>
      <c r="AX21" s="13">
        <f t="shared" si="23"/>
        <v>0.38787543446465017</v>
      </c>
      <c r="AY21">
        <f t="shared" si="6"/>
        <v>4</v>
      </c>
      <c r="AZ21" s="13">
        <f t="shared" si="7"/>
        <v>-8.7739243075051505E-3</v>
      </c>
      <c r="BA21">
        <f t="shared" si="8"/>
        <v>0</v>
      </c>
      <c r="BB21">
        <f t="shared" si="24"/>
        <v>0</v>
      </c>
      <c r="BC21" s="13">
        <f t="shared" si="25"/>
        <v>0</v>
      </c>
      <c r="BD21">
        <f t="shared" si="9"/>
        <v>3</v>
      </c>
      <c r="BE21">
        <v>-0.01</v>
      </c>
      <c r="BF21" s="86">
        <v>8</v>
      </c>
      <c r="BG21" s="86">
        <v>0.38</v>
      </c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70"/>
    </row>
    <row r="22" spans="2:73">
      <c r="B22">
        <v>0.5</v>
      </c>
      <c r="C22" s="4">
        <f t="shared" si="27"/>
        <v>1.1070742314120694</v>
      </c>
      <c r="D22" s="4">
        <f t="shared" si="27"/>
        <v>1.184492688528423</v>
      </c>
      <c r="E22" s="4">
        <f t="shared" si="27"/>
        <v>1.6640493516544297</v>
      </c>
      <c r="F22" s="4">
        <f t="shared" si="27"/>
        <v>2.5316028010324221</v>
      </c>
      <c r="G22" s="4">
        <f t="shared" si="27"/>
        <v>1.927534604123293</v>
      </c>
      <c r="H22" s="4">
        <f t="shared" si="27"/>
        <v>-8.7739243075051505E-3</v>
      </c>
      <c r="I22" s="4">
        <f t="shared" si="27"/>
        <v>2.5604518426673466</v>
      </c>
      <c r="J22" s="4">
        <f t="shared" si="27"/>
        <v>2.946937381919164</v>
      </c>
      <c r="K22" s="4">
        <f t="shared" si="27"/>
        <v>0.73727217653554344</v>
      </c>
      <c r="L22" s="4">
        <f t="shared" si="27"/>
        <v>1.1015408725583491</v>
      </c>
      <c r="M22" s="4">
        <f t="shared" si="27"/>
        <v>1.1762938825387663</v>
      </c>
      <c r="N22" s="4">
        <f t="shared" si="27"/>
        <v>1.4172058867643302</v>
      </c>
      <c r="O22" s="38">
        <f t="shared" si="27"/>
        <v>2.8739114680814346</v>
      </c>
      <c r="P22" s="38">
        <f t="shared" si="27"/>
        <v>2.5925719965101024</v>
      </c>
      <c r="Q22" s="38">
        <f t="shared" si="27"/>
        <v>0.65350194696293284</v>
      </c>
      <c r="R22" s="70" t="s">
        <v>174</v>
      </c>
      <c r="S22">
        <v>6</v>
      </c>
      <c r="T22" s="13">
        <f t="shared" ref="T22:AD22" si="80">AVERAGE(C54:C56)</f>
        <v>2.2343919000014143</v>
      </c>
      <c r="U22" s="13">
        <f t="shared" si="80"/>
        <v>2.204140839376366</v>
      </c>
      <c r="V22" s="13">
        <f t="shared" si="80"/>
        <v>1.6142218550178136</v>
      </c>
      <c r="W22" s="13">
        <f t="shared" si="80"/>
        <v>1.0664690630608107</v>
      </c>
      <c r="X22" s="13">
        <f t="shared" si="80"/>
        <v>2.1785527450490112</v>
      </c>
      <c r="Y22" s="13">
        <f t="shared" si="80"/>
        <v>2.3937320397691457</v>
      </c>
      <c r="Z22" s="13">
        <f t="shared" si="80"/>
        <v>1.2789954209277095</v>
      </c>
      <c r="AA22" s="13">
        <f t="shared" si="80"/>
        <v>1.2309392833698838</v>
      </c>
      <c r="AB22" s="13">
        <f t="shared" si="80"/>
        <v>-8.7739243075051505E-3</v>
      </c>
      <c r="AC22" s="13">
        <f t="shared" si="80"/>
        <v>-8.7739243075051505E-3</v>
      </c>
      <c r="AD22" s="13">
        <f t="shared" si="80"/>
        <v>0.78280859500810751</v>
      </c>
      <c r="AE22" s="13">
        <f t="shared" ref="AE22" si="81">AVERAGE(N54:N56)</f>
        <v>-8.7739243075051505E-3</v>
      </c>
      <c r="AF22" s="13">
        <f t="shared" ref="AF22" si="82">AVERAGE(O54:O56)</f>
        <v>-8.7739243075051505E-3</v>
      </c>
      <c r="AG22" s="13">
        <f t="shared" ref="AG22" si="83">AVERAGE(P54:P56)</f>
        <v>-8.7739243075051505E-3</v>
      </c>
      <c r="AH22" s="13">
        <f t="shared" ref="AH22" si="84">AVERAGE(Q54:Q56)</f>
        <v>-8.7739243075051505E-3</v>
      </c>
      <c r="AI22" s="84">
        <f t="shared" si="0"/>
        <v>0.29166666666666669</v>
      </c>
      <c r="AJ22">
        <v>7</v>
      </c>
      <c r="AK22" s="13">
        <f t="shared" si="15"/>
        <v>1.7142768857855009</v>
      </c>
      <c r="AL22" s="13">
        <f t="shared" si="16"/>
        <v>0.43272866383056741</v>
      </c>
      <c r="AM22" s="13">
        <f t="shared" si="17"/>
        <v>0.2163643319152837</v>
      </c>
      <c r="AN22" s="13">
        <f t="shared" si="18"/>
        <v>0.4219104472348032</v>
      </c>
      <c r="AO22">
        <f t="shared" si="19"/>
        <v>4</v>
      </c>
      <c r="AP22" s="13">
        <f t="shared" si="1"/>
        <v>2.0977193252183826</v>
      </c>
      <c r="AQ22" s="13">
        <f t="shared" si="2"/>
        <v>0.22046552433521299</v>
      </c>
      <c r="AR22" s="13">
        <f t="shared" si="20"/>
        <v>0.1102327621676065</v>
      </c>
      <c r="AS22" s="13">
        <f t="shared" si="21"/>
        <v>0.21495388622683267</v>
      </c>
      <c r="AT22">
        <f t="shared" si="3"/>
        <v>4</v>
      </c>
      <c r="AU22" s="13">
        <f t="shared" si="4"/>
        <v>0.1715604162551756</v>
      </c>
      <c r="AV22" s="13">
        <f t="shared" si="5"/>
        <v>0.36066868112536149</v>
      </c>
      <c r="AW22" s="13">
        <f t="shared" si="22"/>
        <v>0.18033434056268074</v>
      </c>
      <c r="AX22" s="13">
        <f t="shared" si="23"/>
        <v>0.35345530750285425</v>
      </c>
      <c r="AY22">
        <f t="shared" si="6"/>
        <v>4</v>
      </c>
      <c r="AZ22" s="13">
        <f t="shared" si="7"/>
        <v>-8.7739243075051505E-3</v>
      </c>
      <c r="BA22">
        <f t="shared" si="8"/>
        <v>0</v>
      </c>
      <c r="BB22">
        <f t="shared" si="24"/>
        <v>0</v>
      </c>
      <c r="BC22" s="13">
        <f t="shared" si="25"/>
        <v>0</v>
      </c>
      <c r="BD22">
        <f t="shared" si="9"/>
        <v>2</v>
      </c>
      <c r="BE22">
        <v>-0.01</v>
      </c>
      <c r="BF22" s="86">
        <v>11.99999</v>
      </c>
      <c r="BG22" s="86">
        <v>0.38</v>
      </c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70"/>
    </row>
    <row r="23" spans="2:73">
      <c r="B23">
        <v>0.5</v>
      </c>
      <c r="C23" s="4">
        <f t="shared" ref="C23:Q27" si="85">LOG10(C97)</f>
        <v>1.1018844871675422</v>
      </c>
      <c r="D23" s="4">
        <f t="shared" si="85"/>
        <v>1.2350989900949394</v>
      </c>
      <c r="E23" s="4">
        <f t="shared" si="85"/>
        <v>1.4978139334016902</v>
      </c>
      <c r="F23" s="4">
        <f t="shared" si="85"/>
        <v>2.5017204754426254</v>
      </c>
      <c r="G23" s="4">
        <f t="shared" si="85"/>
        <v>1.9327273673015293</v>
      </c>
      <c r="H23" s="4">
        <f t="shared" si="85"/>
        <v>-8.7739243075051505E-3</v>
      </c>
      <c r="I23" s="4">
        <f t="shared" si="85"/>
        <v>2.5544249499364562</v>
      </c>
      <c r="J23" s="4">
        <f t="shared" si="85"/>
        <v>2.942308232871008</v>
      </c>
      <c r="K23" s="4">
        <f t="shared" si="85"/>
        <v>0.71792002583699366</v>
      </c>
      <c r="L23" s="4">
        <f t="shared" si="85"/>
        <v>1.0860749539955252</v>
      </c>
      <c r="M23" s="4">
        <f t="shared" si="85"/>
        <v>1.1838105950981346</v>
      </c>
      <c r="N23" s="4">
        <f t="shared" si="85"/>
        <v>1.4203188847885888</v>
      </c>
      <c r="O23" s="38">
        <f t="shared" si="85"/>
        <v>2.8780936091061542</v>
      </c>
      <c r="P23" s="38">
        <f t="shared" si="85"/>
        <v>2.5917244558268631</v>
      </c>
      <c r="Q23" s="38">
        <f t="shared" si="85"/>
        <v>0.71374247840908256</v>
      </c>
      <c r="R23" s="70" t="s">
        <v>175</v>
      </c>
      <c r="S23">
        <v>7</v>
      </c>
      <c r="T23" s="13">
        <f t="shared" ref="T23:AD23" si="86">AVERAGE(C57:C59)</f>
        <v>1.6990689518923603</v>
      </c>
      <c r="U23" s="13">
        <f t="shared" si="86"/>
        <v>2.1351859891737299</v>
      </c>
      <c r="V23" s="13">
        <f t="shared" si="86"/>
        <v>1.9000583992160041</v>
      </c>
      <c r="W23" s="13">
        <f t="shared" si="86"/>
        <v>1.1227942028599087</v>
      </c>
      <c r="X23" s="13">
        <f t="shared" si="86"/>
        <v>2.1760602170420786</v>
      </c>
      <c r="Y23" s="13">
        <f t="shared" si="86"/>
        <v>2.3723538066946968</v>
      </c>
      <c r="Z23" s="13">
        <f t="shared" si="86"/>
        <v>1.9525201463273323</v>
      </c>
      <c r="AA23" s="13">
        <f t="shared" si="86"/>
        <v>1.8899431308094226</v>
      </c>
      <c r="AB23" s="13">
        <f t="shared" si="86"/>
        <v>-8.7739243075051505E-3</v>
      </c>
      <c r="AC23" s="13">
        <f t="shared" si="86"/>
        <v>-8.7739243075051505E-3</v>
      </c>
      <c r="AD23" s="13">
        <f t="shared" si="86"/>
        <v>0.71256343794321786</v>
      </c>
      <c r="AE23" s="13">
        <f t="shared" ref="AE23" si="87">AVERAGE(N57:N59)</f>
        <v>-8.7739243075051505E-3</v>
      </c>
      <c r="AF23" s="13">
        <f t="shared" ref="AF23" si="88">AVERAGE(O57:O59)</f>
        <v>-8.7739243075051505E-3</v>
      </c>
      <c r="AG23" s="13">
        <f t="shared" ref="AG23" si="89">AVERAGE(P57:P59)</f>
        <v>-8.7739243075051505E-3</v>
      </c>
      <c r="AH23" s="13"/>
      <c r="AI23" s="84">
        <f t="shared" si="0"/>
        <v>0.33333333333333331</v>
      </c>
      <c r="AJ23">
        <v>8</v>
      </c>
      <c r="AK23" s="13">
        <f t="shared" si="15"/>
        <v>2.0821354707653135</v>
      </c>
      <c r="AL23" s="13">
        <f t="shared" si="16"/>
        <v>8.8213233966177002E-2</v>
      </c>
      <c r="AM23" s="13">
        <f t="shared" si="17"/>
        <v>5.0929934376459735E-2</v>
      </c>
      <c r="AN23" s="13">
        <f t="shared" si="18"/>
        <v>9.9313372034096487E-2</v>
      </c>
      <c r="AO23">
        <f t="shared" si="19"/>
        <v>3</v>
      </c>
      <c r="AP23" s="13">
        <f t="shared" si="1"/>
        <v>1.8990034332786843</v>
      </c>
      <c r="AQ23" s="13">
        <f t="shared" si="2"/>
        <v>0.54278038972336295</v>
      </c>
      <c r="AR23" s="13">
        <f t="shared" si="20"/>
        <v>0.31337440411763362</v>
      </c>
      <c r="AS23" s="13">
        <f t="shared" si="21"/>
        <v>0.61108008802938552</v>
      </c>
      <c r="AT23">
        <f t="shared" si="3"/>
        <v>3</v>
      </c>
      <c r="AU23" s="13">
        <f t="shared" si="4"/>
        <v>0.61883889153940019</v>
      </c>
      <c r="AV23" s="13">
        <f t="shared" si="5"/>
        <v>0.64536093782164283</v>
      </c>
      <c r="AW23" s="13">
        <f t="shared" si="22"/>
        <v>0.37259931117579487</v>
      </c>
      <c r="AX23" s="13">
        <f t="shared" si="23"/>
        <v>0.73029464990455795</v>
      </c>
      <c r="AY23">
        <f t="shared" si="6"/>
        <v>3</v>
      </c>
      <c r="AZ23" s="13">
        <f t="shared" si="7"/>
        <v>-8.7739243075051505E-3</v>
      </c>
      <c r="BA23">
        <f t="shared" si="8"/>
        <v>0</v>
      </c>
      <c r="BB23">
        <f t="shared" si="24"/>
        <v>0</v>
      </c>
      <c r="BC23" s="13">
        <f t="shared" si="25"/>
        <v>0</v>
      </c>
      <c r="BD23">
        <f t="shared" si="9"/>
        <v>3</v>
      </c>
      <c r="BE23">
        <v>-0.01</v>
      </c>
      <c r="BF23" s="86">
        <v>12</v>
      </c>
      <c r="BG23" s="86">
        <v>0.25</v>
      </c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70"/>
    </row>
    <row r="24" spans="2:73">
      <c r="B24">
        <v>0.58299999999999996</v>
      </c>
      <c r="C24" s="80">
        <f t="shared" si="85"/>
        <v>1.129012793126035</v>
      </c>
      <c r="D24" s="80">
        <f t="shared" si="85"/>
        <v>1.2283233493080157</v>
      </c>
      <c r="E24" s="4">
        <f t="shared" si="85"/>
        <v>-8.7739243075051505E-3</v>
      </c>
      <c r="F24" s="80">
        <f t="shared" si="85"/>
        <v>2.3891394940924604</v>
      </c>
      <c r="G24" s="80">
        <f t="shared" si="85"/>
        <v>1.9101172541505111</v>
      </c>
      <c r="H24" s="80">
        <f t="shared" si="85"/>
        <v>-8.7739243075051505E-3</v>
      </c>
      <c r="I24" s="80">
        <f t="shared" si="85"/>
        <v>2.3562917094316207</v>
      </c>
      <c r="J24" s="80">
        <f t="shared" si="85"/>
        <v>2.7876085203207159</v>
      </c>
      <c r="K24" s="80">
        <f t="shared" si="85"/>
        <v>0.47813342810051757</v>
      </c>
      <c r="L24" s="80">
        <f t="shared" si="85"/>
        <v>1.1901915805753018</v>
      </c>
      <c r="M24" s="80">
        <f t="shared" si="85"/>
        <v>1.2415713820891674</v>
      </c>
      <c r="N24" s="80">
        <f t="shared" si="85"/>
        <v>1.1770745459100764</v>
      </c>
      <c r="O24" s="80">
        <f t="shared" si="85"/>
        <v>2.6196869477291722</v>
      </c>
      <c r="P24" s="80">
        <f t="shared" si="85"/>
        <v>1.2837985729149932</v>
      </c>
      <c r="Q24" s="80">
        <f t="shared" si="85"/>
        <v>-8.7739243075051505E-3</v>
      </c>
      <c r="R24" s="70" t="s">
        <v>176</v>
      </c>
      <c r="S24">
        <v>8</v>
      </c>
      <c r="T24" s="13">
        <f>AVERAGE(C60:C62)</f>
        <v>2.1509559186144798</v>
      </c>
      <c r="U24" s="13">
        <f>AVERAGE(D60:D62)</f>
        <v>2.1127589620594662</v>
      </c>
      <c r="V24" s="13">
        <f>AVERAGE(E60:E62)</f>
        <v>1.9826915316219946</v>
      </c>
      <c r="W24" s="13"/>
      <c r="X24" s="13">
        <f>AVERAGE(G60:G62)</f>
        <v>2.1495968343725687</v>
      </c>
      <c r="Y24" s="13">
        <f>AVERAGE(H60:H62)</f>
        <v>2.2712132773765288</v>
      </c>
      <c r="Z24" s="13">
        <f>AVERAGE(I60:I62)</f>
        <v>1.2762001880869549</v>
      </c>
      <c r="AA24" s="13"/>
      <c r="AB24" s="13">
        <f>AVERAGE(K60:K62)</f>
        <v>-8.7739243075051505E-3</v>
      </c>
      <c r="AC24" s="13">
        <f>AVERAGE(L60:L62)</f>
        <v>1.280592644767526</v>
      </c>
      <c r="AD24" s="13">
        <f>AVERAGE(M60:M62)</f>
        <v>0.5846979541581796</v>
      </c>
      <c r="AE24" s="13"/>
      <c r="AF24" s="13">
        <f t="shared" ref="AF24:AH24" si="90">AVERAGE(O60:O62)</f>
        <v>-8.7739243075051505E-3</v>
      </c>
      <c r="AG24" s="13">
        <f t="shared" si="90"/>
        <v>-8.7739243075051505E-3</v>
      </c>
      <c r="AH24" s="13">
        <f t="shared" si="90"/>
        <v>-8.7739243075051505E-3</v>
      </c>
      <c r="AI24" s="84">
        <f t="shared" si="0"/>
        <v>0.5</v>
      </c>
      <c r="AJ24">
        <v>12</v>
      </c>
      <c r="AK24" s="13">
        <f t="shared" si="15"/>
        <v>1.8564856625645605</v>
      </c>
      <c r="AL24" s="13">
        <f t="shared" si="16"/>
        <v>0.42729531089611356</v>
      </c>
      <c r="AM24" s="13">
        <f t="shared" si="17"/>
        <v>0.21364765544805678</v>
      </c>
      <c r="AN24" s="13">
        <f>AM24*1.95</f>
        <v>0.4166129281237107</v>
      </c>
      <c r="AO24">
        <f t="shared" si="19"/>
        <v>4</v>
      </c>
      <c r="AP24" s="13">
        <f t="shared" si="1"/>
        <v>1.9202522632937558</v>
      </c>
      <c r="AQ24" s="13">
        <f t="shared" si="2"/>
        <v>0.53958386193732322</v>
      </c>
      <c r="AR24" s="13">
        <f t="shared" si="20"/>
        <v>0.26979193096866161</v>
      </c>
      <c r="AS24" s="13">
        <f t="shared" si="21"/>
        <v>0.52609426538889015</v>
      </c>
      <c r="AT24">
        <f t="shared" si="3"/>
        <v>4</v>
      </c>
      <c r="AU24" s="13">
        <f t="shared" si="4"/>
        <v>0.31473031223052161</v>
      </c>
      <c r="AV24" s="13">
        <f t="shared" si="5"/>
        <v>0.33337630379158217</v>
      </c>
      <c r="AW24" s="13">
        <f t="shared" si="22"/>
        <v>0.16668815189579109</v>
      </c>
      <c r="AX24" s="13">
        <f t="shared" si="23"/>
        <v>0.32670877771575052</v>
      </c>
      <c r="AY24">
        <f t="shared" si="6"/>
        <v>4</v>
      </c>
      <c r="AZ24" s="13">
        <f t="shared" si="7"/>
        <v>-8.7739243075051505E-3</v>
      </c>
      <c r="BA24">
        <f t="shared" si="8"/>
        <v>0</v>
      </c>
      <c r="BB24">
        <f t="shared" si="24"/>
        <v>0</v>
      </c>
      <c r="BC24" s="13">
        <f t="shared" si="25"/>
        <v>0</v>
      </c>
      <c r="BD24">
        <f t="shared" si="9"/>
        <v>3</v>
      </c>
      <c r="BE24">
        <v>-0.01</v>
      </c>
      <c r="BF24" s="86">
        <v>17.99999</v>
      </c>
      <c r="BG24" s="86">
        <v>0.25</v>
      </c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70"/>
    </row>
    <row r="25" spans="2:73">
      <c r="B25">
        <v>0.58299999999999996</v>
      </c>
      <c r="C25" s="80">
        <f t="shared" si="85"/>
        <v>1.1352598985156586</v>
      </c>
      <c r="D25" s="80">
        <f t="shared" si="85"/>
        <v>1.2261357224736451</v>
      </c>
      <c r="E25" s="80">
        <f t="shared" si="85"/>
        <v>1.8451724841161281</v>
      </c>
      <c r="F25" s="80">
        <f t="shared" si="85"/>
        <v>2.3980338061503659</v>
      </c>
      <c r="G25" s="80">
        <f t="shared" si="85"/>
        <v>1.9036867317365025</v>
      </c>
      <c r="H25" s="80">
        <f t="shared" si="85"/>
        <v>-8.7739243075051505E-3</v>
      </c>
      <c r="I25" s="80">
        <f t="shared" si="85"/>
        <v>2.3538797017384763</v>
      </c>
      <c r="J25" s="80">
        <f t="shared" si="85"/>
        <v>2.7890777392585018</v>
      </c>
      <c r="K25" s="80">
        <f t="shared" si="85"/>
        <v>0.45347123372293591</v>
      </c>
      <c r="L25" s="80">
        <f t="shared" si="85"/>
        <v>1.1980244255331198</v>
      </c>
      <c r="M25" s="80">
        <f t="shared" si="85"/>
        <v>1.2488311928079616</v>
      </c>
      <c r="N25" s="80">
        <f t="shared" si="85"/>
        <v>1.1818150149994744</v>
      </c>
      <c r="O25" s="80">
        <f t="shared" si="85"/>
        <v>2.6056508353145422</v>
      </c>
      <c r="P25" s="80">
        <f t="shared" si="85"/>
        <v>1.3028718360676903</v>
      </c>
      <c r="Q25" s="80">
        <f t="shared" ref="Q25" si="91">LOG10(Q99)</f>
        <v>-8.7739243075051505E-3</v>
      </c>
      <c r="R25" s="70" t="s">
        <v>177</v>
      </c>
      <c r="S25">
        <v>12</v>
      </c>
      <c r="T25" s="13">
        <f t="shared" ref="T25:AE25" si="92">AVERAGE(C63:C65)</f>
        <v>2.1062445729829342</v>
      </c>
      <c r="U25" s="13">
        <f t="shared" si="92"/>
        <v>2.0681418240897487</v>
      </c>
      <c r="V25" s="13">
        <f t="shared" si="92"/>
        <v>2.0345042389150332</v>
      </c>
      <c r="W25" s="13">
        <f t="shared" si="92"/>
        <v>1.2170520142705261</v>
      </c>
      <c r="X25" s="13">
        <f t="shared" si="92"/>
        <v>2.1477477098715592</v>
      </c>
      <c r="Y25" s="13">
        <f t="shared" si="92"/>
        <v>2.2646324649551963</v>
      </c>
      <c r="Z25" s="13">
        <f t="shared" si="92"/>
        <v>1.1149015724895228</v>
      </c>
      <c r="AA25" s="13">
        <f t="shared" si="92"/>
        <v>2.1537273058587449</v>
      </c>
      <c r="AB25" s="13">
        <f t="shared" si="92"/>
        <v>-8.7739243075051505E-3</v>
      </c>
      <c r="AC25" s="13">
        <f t="shared" si="92"/>
        <v>0.77134810846633439</v>
      </c>
      <c r="AD25" s="13">
        <f t="shared" si="92"/>
        <v>0.17265907348731471</v>
      </c>
      <c r="AE25" s="13">
        <f t="shared" si="92"/>
        <v>0.32368799127594239</v>
      </c>
      <c r="AF25" s="13">
        <f t="shared" ref="AF25" si="93">AVERAGE(O63:O65)</f>
        <v>-8.7739243075051505E-3</v>
      </c>
      <c r="AG25" s="13">
        <f t="shared" ref="AG25" si="94">AVERAGE(P63:P65)</f>
        <v>-8.7739243075051505E-3</v>
      </c>
      <c r="AH25" s="13">
        <f t="shared" ref="AH25" si="95">AVERAGE(Q63:Q65)</f>
        <v>-8.7739243075051505E-3</v>
      </c>
      <c r="AI25" s="84">
        <f t="shared" si="0"/>
        <v>0.75</v>
      </c>
      <c r="AJ25">
        <v>18</v>
      </c>
      <c r="AK25" s="13">
        <f>AVERAGE(T26:W26)</f>
        <v>2.0697798550789774</v>
      </c>
      <c r="AL25" s="13">
        <f>STDEV(T26:W26)</f>
        <v>3.5602165807229538E-2</v>
      </c>
      <c r="AM25" s="13">
        <f t="shared" si="17"/>
        <v>2.0554920012537666E-2</v>
      </c>
      <c r="AN25" s="13">
        <f t="shared" si="18"/>
        <v>4.0082094024448449E-2</v>
      </c>
      <c r="AO25">
        <f>COUNT(T26:W26)</f>
        <v>3</v>
      </c>
      <c r="AP25" s="13">
        <f t="shared" si="1"/>
        <v>1.8420840294488452</v>
      </c>
      <c r="AQ25" s="13">
        <f t="shared" si="2"/>
        <v>0.59900964418320857</v>
      </c>
      <c r="AR25" s="13">
        <f t="shared" si="20"/>
        <v>0.34583837931635741</v>
      </c>
      <c r="AS25" s="13">
        <f t="shared" si="21"/>
        <v>0.674384839666897</v>
      </c>
      <c r="AT25">
        <f t="shared" si="3"/>
        <v>3</v>
      </c>
      <c r="AU25" s="13">
        <f t="shared" si="4"/>
        <v>4.4061816287182622E-2</v>
      </c>
      <c r="AV25" s="13">
        <f t="shared" si="5"/>
        <v>9.1514187165528671E-2</v>
      </c>
      <c r="AW25" s="13">
        <f t="shared" si="22"/>
        <v>5.2835740594687777E-2</v>
      </c>
      <c r="AX25" s="13">
        <f t="shared" si="23"/>
        <v>0.10355805156558805</v>
      </c>
      <c r="AY25">
        <f t="shared" si="6"/>
        <v>3</v>
      </c>
      <c r="AZ25" s="13">
        <f t="shared" si="7"/>
        <v>-8.7739243075051505E-3</v>
      </c>
      <c r="BA25">
        <f t="shared" si="8"/>
        <v>0</v>
      </c>
      <c r="BB25">
        <f t="shared" si="24"/>
        <v>0</v>
      </c>
      <c r="BC25" s="13">
        <f t="shared" si="25"/>
        <v>0</v>
      </c>
      <c r="BD25">
        <f t="shared" si="9"/>
        <v>3</v>
      </c>
      <c r="BE25">
        <v>-0.01</v>
      </c>
      <c r="BF25" s="86">
        <v>18</v>
      </c>
      <c r="BG25" s="86">
        <v>0.16</v>
      </c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70"/>
    </row>
    <row r="26" spans="2:73">
      <c r="B26">
        <v>0.58299999999999996</v>
      </c>
      <c r="C26" s="80">
        <f t="shared" si="85"/>
        <v>1.1320354383274986</v>
      </c>
      <c r="D26" s="80">
        <f t="shared" si="85"/>
        <v>1.2343654057416324</v>
      </c>
      <c r="E26" s="80">
        <f t="shared" si="85"/>
        <v>1.5284281655376364</v>
      </c>
      <c r="F26" s="80">
        <f t="shared" si="85"/>
        <v>2.394570745248652</v>
      </c>
      <c r="G26" s="80">
        <f t="shared" si="85"/>
        <v>1.9075725787985509</v>
      </c>
      <c r="H26" s="80">
        <f t="shared" si="85"/>
        <v>-8.7739243075051505E-3</v>
      </c>
      <c r="I26" s="80">
        <f t="shared" si="85"/>
        <v>2.3502518959461547</v>
      </c>
      <c r="J26" s="80">
        <f t="shared" si="85"/>
        <v>2.7480352215327062</v>
      </c>
      <c r="K26" s="80">
        <f t="shared" si="85"/>
        <v>0.45788189673399232</v>
      </c>
      <c r="L26" s="80">
        <f t="shared" si="85"/>
        <v>1.1781996991480599</v>
      </c>
      <c r="M26" s="80">
        <f t="shared" si="85"/>
        <v>1.2338334148844341</v>
      </c>
      <c r="N26" s="80">
        <f t="shared" si="85"/>
        <v>1.1915907263792107</v>
      </c>
      <c r="O26" s="80">
        <f t="shared" si="85"/>
        <v>2.6106537763593614</v>
      </c>
      <c r="P26" s="80">
        <f t="shared" si="85"/>
        <v>1.2352253450118655</v>
      </c>
      <c r="Q26" s="80">
        <f t="shared" ref="Q26" si="96">LOG10(Q100)</f>
        <v>-8.7739243075051505E-3</v>
      </c>
      <c r="R26" s="70" t="s">
        <v>178</v>
      </c>
      <c r="S26">
        <v>18</v>
      </c>
      <c r="T26" s="13">
        <f>AVERAGE(C66:C68)</f>
        <v>2.0521802775337643</v>
      </c>
      <c r="U26" s="13">
        <f>AVERAGE(D66:D68)</f>
        <v>2.0464050364283692</v>
      </c>
      <c r="V26" s="13">
        <f>AVERAGE(E66:E68)</f>
        <v>2.1107542512747988</v>
      </c>
      <c r="W26" s="13"/>
      <c r="X26" s="13">
        <f>AVERAGE(G66:G68)</f>
        <v>2.190739789672</v>
      </c>
      <c r="Y26" s="13">
        <f>AVERAGE(H66:H68)</f>
        <v>2.1850973563485634</v>
      </c>
      <c r="Z26" s="13">
        <f>AVERAGE(I66:I68)</f>
        <v>1.1504149423259724</v>
      </c>
      <c r="AA26" s="13"/>
      <c r="AB26" s="13">
        <f>AVERAGE(K66:K68)</f>
        <v>-8.7739243075051505E-3</v>
      </c>
      <c r="AC26" s="13">
        <f>AVERAGE(L66:L68)</f>
        <v>-8.7739243075051505E-3</v>
      </c>
      <c r="AD26" s="13">
        <f>AVERAGE(M66:M68)</f>
        <v>0.14973329747655817</v>
      </c>
      <c r="AE26" s="13"/>
      <c r="AF26" s="13">
        <f t="shared" ref="AF26:AH26" si="97">AVERAGE(O66:O68)</f>
        <v>-8.7739243075051505E-3</v>
      </c>
      <c r="AG26" s="13">
        <f t="shared" si="97"/>
        <v>-8.7739243075051505E-3</v>
      </c>
      <c r="AH26" s="13">
        <f t="shared" si="97"/>
        <v>-8.7739243075051505E-3</v>
      </c>
      <c r="AI26" s="72">
        <f t="shared" si="0"/>
        <v>1</v>
      </c>
      <c r="AJ26">
        <v>24</v>
      </c>
      <c r="AK26" s="13">
        <f t="shared" si="15"/>
        <v>2.0784503263259086</v>
      </c>
      <c r="AL26" s="13">
        <f t="shared" si="16"/>
        <v>8.8355792601450461E-2</v>
      </c>
      <c r="AM26" s="13">
        <f t="shared" si="17"/>
        <v>4.4177896300725231E-2</v>
      </c>
      <c r="AN26" s="13">
        <f t="shared" si="18"/>
        <v>8.6146897786414198E-2</v>
      </c>
      <c r="AO26">
        <f t="shared" si="19"/>
        <v>4</v>
      </c>
      <c r="AP26" s="13">
        <f t="shared" si="1"/>
        <v>2.053904128425287</v>
      </c>
      <c r="AQ26" s="13">
        <f t="shared" si="2"/>
        <v>0.67476745011547046</v>
      </c>
      <c r="AR26" s="13">
        <f t="shared" si="20"/>
        <v>0.33738372505773523</v>
      </c>
      <c r="AS26" s="13">
        <f>AR26*1.95</f>
        <v>0.65789826386258365</v>
      </c>
      <c r="AT26">
        <f t="shared" si="3"/>
        <v>4</v>
      </c>
      <c r="AU26" s="13">
        <f t="shared" si="4"/>
        <v>0.33475765945445357</v>
      </c>
      <c r="AV26" s="13">
        <f t="shared" si="5"/>
        <v>0.68706316752391727</v>
      </c>
      <c r="AW26" s="13">
        <f t="shared" si="22"/>
        <v>0.34353158376195864</v>
      </c>
      <c r="AX26" s="13">
        <f t="shared" si="23"/>
        <v>0.67332190417343896</v>
      </c>
      <c r="AY26">
        <f t="shared" si="6"/>
        <v>4</v>
      </c>
      <c r="AZ26" s="13">
        <f t="shared" si="7"/>
        <v>-8.7739243075051505E-3</v>
      </c>
      <c r="BA26">
        <f t="shared" si="8"/>
        <v>0</v>
      </c>
      <c r="BB26">
        <f t="shared" si="24"/>
        <v>0</v>
      </c>
      <c r="BC26" s="13">
        <f t="shared" si="25"/>
        <v>0</v>
      </c>
      <c r="BD26">
        <f t="shared" si="9"/>
        <v>2</v>
      </c>
      <c r="BE26">
        <v>-0.01</v>
      </c>
      <c r="BF26" s="86">
        <v>23.99999</v>
      </c>
      <c r="BG26" s="86">
        <v>0.16</v>
      </c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70"/>
    </row>
    <row r="27" spans="2:73" ht="16" thickBot="1">
      <c r="B27">
        <v>0.66700000000000004</v>
      </c>
      <c r="C27" s="4">
        <f>LOG10(C101)</f>
        <v>1.1352598985156586</v>
      </c>
      <c r="D27" s="4">
        <f t="shared" si="85"/>
        <v>1.221570712166461</v>
      </c>
      <c r="E27" s="4">
        <f t="shared" si="85"/>
        <v>0.91650658711515565</v>
      </c>
      <c r="F27" s="4">
        <f t="shared" si="85"/>
        <v>2.366661986891299</v>
      </c>
      <c r="G27" s="4">
        <f t="shared" si="85"/>
        <v>1.9080290384648164</v>
      </c>
      <c r="H27" s="4">
        <f t="shared" si="85"/>
        <v>-8.7739243075051505E-3</v>
      </c>
      <c r="I27" s="4">
        <f t="shared" si="85"/>
        <v>2.1563674001335214</v>
      </c>
      <c r="J27" s="4">
        <f t="shared" si="85"/>
        <v>2.5521435830508832</v>
      </c>
      <c r="K27" s="4">
        <f t="shared" si="85"/>
        <v>3.5829825252828171E-2</v>
      </c>
      <c r="L27" s="4">
        <f t="shared" si="85"/>
        <v>0.96534283556062217</v>
      </c>
      <c r="M27" s="4">
        <f t="shared" si="85"/>
        <v>1.3727647595437416</v>
      </c>
      <c r="N27" s="4">
        <f t="shared" si="85"/>
        <v>1.136688865672258</v>
      </c>
      <c r="O27" s="38">
        <f t="shared" si="85"/>
        <v>2.2861914108590318</v>
      </c>
      <c r="P27" s="38">
        <f t="shared" si="85"/>
        <v>2.1403980413596178</v>
      </c>
      <c r="Q27" s="38"/>
      <c r="R27" s="70" t="s">
        <v>179</v>
      </c>
      <c r="S27">
        <v>24</v>
      </c>
      <c r="T27" s="13">
        <f t="shared" ref="T27:AE28" si="98">AVERAGE(C69:C71)</f>
        <v>2.0464853040244511</v>
      </c>
      <c r="U27" s="13">
        <f t="shared" si="98"/>
        <v>2.0287199487381593</v>
      </c>
      <c r="V27" s="13">
        <f t="shared" si="98"/>
        <v>2.210370239297895</v>
      </c>
      <c r="W27" s="13">
        <f t="shared" si="98"/>
        <v>2.0282258132431288</v>
      </c>
      <c r="X27" s="13">
        <f t="shared" si="98"/>
        <v>2.0994371301378227</v>
      </c>
      <c r="Y27" s="13">
        <f t="shared" si="98"/>
        <v>2.1816968817069209</v>
      </c>
      <c r="Z27" s="13">
        <f t="shared" si="98"/>
        <v>1.150997358302476</v>
      </c>
      <c r="AA27" s="13">
        <f t="shared" si="98"/>
        <v>2.7834851435539285</v>
      </c>
      <c r="AB27" s="13">
        <f t="shared" si="98"/>
        <v>-8.7739243075051505E-3</v>
      </c>
      <c r="AC27" s="13">
        <f t="shared" si="98"/>
        <v>-8.7739243075051505E-3</v>
      </c>
      <c r="AD27" s="13">
        <f t="shared" si="98"/>
        <v>-8.7739243075051505E-3</v>
      </c>
      <c r="AE27" s="13">
        <f t="shared" si="98"/>
        <v>1.3653524107403296</v>
      </c>
      <c r="AF27" s="13">
        <f t="shared" ref="AF27" si="99">AVERAGE(O69:O71)</f>
        <v>-8.7739243075051505E-3</v>
      </c>
      <c r="AG27" s="13">
        <f t="shared" ref="AG27" si="100">AVERAGE(P69:P71)</f>
        <v>-8.7739243075051505E-3</v>
      </c>
      <c r="AH27" s="13"/>
      <c r="AI27" s="79">
        <f t="shared" si="0"/>
        <v>2</v>
      </c>
      <c r="AJ27" s="76">
        <v>48</v>
      </c>
      <c r="AK27" s="81">
        <f t="shared" si="15"/>
        <v>1.5202264944295318</v>
      </c>
      <c r="AL27" s="81">
        <f t="shared" si="16"/>
        <v>0.84370473066348628</v>
      </c>
      <c r="AM27" s="81">
        <f>AL27/SQRT(AO27)</f>
        <v>0.48711315336512451</v>
      </c>
      <c r="AN27" s="81">
        <f t="shared" si="18"/>
        <v>0.94987064906199281</v>
      </c>
      <c r="AO27" s="76">
        <f t="shared" si="19"/>
        <v>3</v>
      </c>
      <c r="AP27" s="81">
        <f t="shared" si="1"/>
        <v>2.2842673476844322</v>
      </c>
      <c r="AQ27" s="81">
        <f t="shared" si="2"/>
        <v>0.44293679437858852</v>
      </c>
      <c r="AR27" s="81">
        <f t="shared" si="20"/>
        <v>0.25572967746846803</v>
      </c>
      <c r="AS27" s="81">
        <f t="shared" si="21"/>
        <v>0.49867287106351266</v>
      </c>
      <c r="AT27" s="76">
        <f t="shared" si="3"/>
        <v>3</v>
      </c>
      <c r="AU27" s="81">
        <f t="shared" si="4"/>
        <v>0.23876775241980519</v>
      </c>
      <c r="AV27" s="81">
        <f t="shared" si="5"/>
        <v>0.49508335345462068</v>
      </c>
      <c r="AW27" s="81">
        <f t="shared" si="22"/>
        <v>0.24754167672731034</v>
      </c>
      <c r="AX27" s="81">
        <f t="shared" si="23"/>
        <v>0.48518168638552828</v>
      </c>
      <c r="AY27" s="76">
        <f t="shared" si="6"/>
        <v>4</v>
      </c>
      <c r="AZ27" s="81">
        <f t="shared" si="7"/>
        <v>-8.7739243075051505E-3</v>
      </c>
      <c r="BA27" s="76">
        <v>0</v>
      </c>
      <c r="BB27" s="76">
        <v>0</v>
      </c>
      <c r="BC27" s="81">
        <f t="shared" si="25"/>
        <v>0</v>
      </c>
      <c r="BD27" s="76">
        <f t="shared" si="9"/>
        <v>1</v>
      </c>
      <c r="BE27">
        <v>-0.01</v>
      </c>
      <c r="BF27" s="86">
        <v>24</v>
      </c>
      <c r="BG27" s="86">
        <v>0.12</v>
      </c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70"/>
    </row>
    <row r="28" spans="2:73" ht="16" thickBot="1">
      <c r="B28">
        <v>0.66700000000000004</v>
      </c>
      <c r="C28" s="4">
        <f t="shared" ref="C28:Q43" si="101">LOG10(C102)</f>
        <v>1.134272756620629</v>
      </c>
      <c r="D28" s="4">
        <f t="shared" si="101"/>
        <v>1.2255935481547995</v>
      </c>
      <c r="E28" s="4">
        <f t="shared" si="101"/>
        <v>0.90912794198926072</v>
      </c>
      <c r="F28" s="4">
        <f t="shared" si="101"/>
        <v>2.3790116575776108</v>
      </c>
      <c r="G28" s="4">
        <f t="shared" si="101"/>
        <v>1.911418639844171</v>
      </c>
      <c r="H28" s="4">
        <f t="shared" si="101"/>
        <v>-8.7739243075051505E-3</v>
      </c>
      <c r="I28" s="4">
        <f t="shared" si="101"/>
        <v>2.1682735018903441</v>
      </c>
      <c r="J28" s="4">
        <f t="shared" si="101"/>
        <v>2.5458981464892241</v>
      </c>
      <c r="K28" s="4">
        <f t="shared" si="101"/>
        <v>6.6698550422995259E-2</v>
      </c>
      <c r="L28" s="4">
        <f t="shared" si="101"/>
        <v>0.92972537837800451</v>
      </c>
      <c r="M28" s="4">
        <f t="shared" si="101"/>
        <v>1.3701428470511021</v>
      </c>
      <c r="N28" s="4">
        <f t="shared" si="101"/>
        <v>1.1367522663266632</v>
      </c>
      <c r="O28" s="38">
        <f t="shared" si="101"/>
        <v>2.2969809259947422</v>
      </c>
      <c r="P28" s="38">
        <f t="shared" si="101"/>
        <v>2.1297027790847163</v>
      </c>
      <c r="Q28" s="38"/>
      <c r="R28" s="82" t="s">
        <v>180</v>
      </c>
      <c r="S28" s="76">
        <v>48</v>
      </c>
      <c r="T28" s="81">
        <f>AVERAGE(C72:C74)</f>
        <v>0.55428614662492082</v>
      </c>
      <c r="U28" s="81">
        <f>AVERAGE(D72:D74)</f>
        <v>2.1130015220782732</v>
      </c>
      <c r="V28" s="81"/>
      <c r="W28" s="81">
        <f>AVERAGE(F72:F74)</f>
        <v>1.8933918145854014</v>
      </c>
      <c r="X28" s="81">
        <f>AVERAGE(G72:G74)</f>
        <v>1.9964570464767917</v>
      </c>
      <c r="Y28" s="81">
        <f>AVERAGE(H72:H74)</f>
        <v>2.0620209904346667</v>
      </c>
      <c r="Z28" s="81"/>
      <c r="AA28" s="81">
        <f>AVERAGE(J72:J74)</f>
        <v>2.7943240061418386</v>
      </c>
      <c r="AB28" s="81">
        <f>AVERAGE(K72:K74)</f>
        <v>-8.7739243075051505E-3</v>
      </c>
      <c r="AC28" s="81">
        <f t="shared" si="98"/>
        <v>-8.7739243075051505E-3</v>
      </c>
      <c r="AD28" s="81">
        <f t="shared" si="98"/>
        <v>-8.7739243075051505E-3</v>
      </c>
      <c r="AE28" s="81">
        <f>AVERAGE(N72:N74)</f>
        <v>0.98139278260173624</v>
      </c>
      <c r="AF28" s="81"/>
      <c r="AG28" s="81"/>
      <c r="AH28" s="83">
        <f t="shared" ref="AH28" si="102">AVERAGE(Q72:Q74)</f>
        <v>-8.7739243075051505E-3</v>
      </c>
      <c r="AI28" s="70"/>
      <c r="BF28" s="64">
        <v>47.999999000000003</v>
      </c>
      <c r="BG28" s="86">
        <v>0.12</v>
      </c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70"/>
    </row>
    <row r="29" spans="2:73">
      <c r="B29">
        <v>0.66700000000000004</v>
      </c>
      <c r="C29" s="4">
        <f t="shared" si="101"/>
        <v>1.129689892199301</v>
      </c>
      <c r="D29" s="4">
        <f t="shared" si="101"/>
        <v>1.2197154758555011</v>
      </c>
      <c r="E29" s="4">
        <f t="shared" si="101"/>
        <v>0.90476962590659515</v>
      </c>
      <c r="F29" s="4">
        <f t="shared" si="101"/>
        <v>2.3776576979010935</v>
      </c>
      <c r="G29" s="4">
        <f t="shared" si="101"/>
        <v>1.9142108914013778</v>
      </c>
      <c r="H29" s="4">
        <v>0</v>
      </c>
      <c r="I29" s="4">
        <f t="shared" si="101"/>
        <v>2.1660302723402167</v>
      </c>
      <c r="J29" s="4">
        <f t="shared" si="101"/>
        <v>2.5374878979524116</v>
      </c>
      <c r="K29" s="4">
        <f t="shared" si="101"/>
        <v>0.12188798510368115</v>
      </c>
      <c r="L29" s="4">
        <f t="shared" si="101"/>
        <v>0.94831514068934786</v>
      </c>
      <c r="M29" s="4">
        <f t="shared" si="101"/>
        <v>1.3826473031547108</v>
      </c>
      <c r="N29" s="4">
        <f t="shared" si="101"/>
        <v>1.1386815535103736</v>
      </c>
      <c r="O29" s="38">
        <f t="shared" si="101"/>
        <v>2.291797160829137</v>
      </c>
      <c r="P29" s="38">
        <f t="shared" si="101"/>
        <v>2.1353743890723385</v>
      </c>
      <c r="Q29" s="38"/>
      <c r="R29" s="70"/>
      <c r="S29" s="69"/>
      <c r="T29" s="164"/>
      <c r="U29" s="164"/>
      <c r="V29" s="164"/>
      <c r="W29" s="164"/>
      <c r="X29" s="168"/>
      <c r="Y29" s="168"/>
      <c r="Z29" s="168"/>
      <c r="AA29" s="168"/>
      <c r="AB29" s="164"/>
      <c r="AC29" s="164"/>
      <c r="AD29" s="164"/>
      <c r="AE29" s="164"/>
      <c r="AF29" s="68"/>
      <c r="AG29" s="68"/>
      <c r="AH29" s="68"/>
      <c r="AI29" s="70"/>
      <c r="AW29" s="68"/>
      <c r="AX29" s="68"/>
      <c r="AY29" s="68"/>
      <c r="AZ29" s="69"/>
      <c r="BA29" s="69"/>
      <c r="BB29" s="69"/>
      <c r="BC29" s="69"/>
      <c r="BD29" s="69"/>
      <c r="BE29" s="69"/>
      <c r="BF29" s="86">
        <v>48</v>
      </c>
      <c r="BG29" s="86">
        <v>1.6E-2</v>
      </c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70"/>
    </row>
    <row r="30" spans="2:73" ht="18">
      <c r="B30">
        <v>0.75</v>
      </c>
      <c r="C30" s="80">
        <f t="shared" si="101"/>
        <v>1.1391546584069043</v>
      </c>
      <c r="D30" s="80">
        <f t="shared" si="101"/>
        <v>1.1887316714457432</v>
      </c>
      <c r="E30" s="80">
        <f t="shared" si="101"/>
        <v>0.90971645323434458</v>
      </c>
      <c r="F30" s="80">
        <f t="shared" si="101"/>
        <v>2.194669716583773</v>
      </c>
      <c r="G30" s="80">
        <f t="shared" si="101"/>
        <v>1.8840019247687871</v>
      </c>
      <c r="H30" s="80">
        <f t="shared" si="101"/>
        <v>-8.7739243075051505E-3</v>
      </c>
      <c r="I30" s="80">
        <f t="shared" si="101"/>
        <v>1.7860696410292427</v>
      </c>
      <c r="J30" s="80">
        <f t="shared" si="101"/>
        <v>2.3293042976344638</v>
      </c>
      <c r="K30" s="80">
        <f t="shared" si="101"/>
        <v>0.44994098877333766</v>
      </c>
      <c r="L30" s="80">
        <f t="shared" si="101"/>
        <v>0.98186389099135041</v>
      </c>
      <c r="M30" s="80">
        <f t="shared" si="101"/>
        <v>1.119783586161698</v>
      </c>
      <c r="N30" s="80">
        <f t="shared" si="101"/>
        <v>1.0116550107247781</v>
      </c>
      <c r="O30" s="80">
        <f t="shared" si="101"/>
        <v>2.1530370096149234</v>
      </c>
      <c r="P30" s="80">
        <f t="shared" si="101"/>
        <v>2.0713111607383641</v>
      </c>
      <c r="Q30" s="80">
        <f t="shared" si="101"/>
        <v>-8.7739243075051505E-3</v>
      </c>
      <c r="R30" s="73"/>
      <c r="S30" s="105" t="s">
        <v>246</v>
      </c>
      <c r="T30" s="165" t="s">
        <v>141</v>
      </c>
      <c r="U30" s="165"/>
      <c r="V30" s="165"/>
      <c r="W30" s="165"/>
      <c r="X30" s="166" t="s">
        <v>142</v>
      </c>
      <c r="Y30" s="166"/>
      <c r="Z30" s="166"/>
      <c r="AA30" s="166"/>
      <c r="AB30" s="121"/>
      <c r="AC30" s="121" t="s">
        <v>197</v>
      </c>
      <c r="AD30" s="121"/>
      <c r="AE30" s="103"/>
      <c r="AF30" s="104"/>
      <c r="AG30" s="104"/>
      <c r="AH30" s="104"/>
      <c r="AI30" s="70" t="s">
        <v>207</v>
      </c>
      <c r="AW30" s="68"/>
      <c r="AX30" s="68"/>
      <c r="AY30" s="68"/>
      <c r="AZ30" s="68"/>
      <c r="BA30" s="106"/>
      <c r="BB30" s="106"/>
      <c r="BC30" s="106"/>
      <c r="BD30" s="106"/>
      <c r="BE30" s="106"/>
      <c r="BF30" s="86">
        <v>119.99999</v>
      </c>
      <c r="BG30" s="86">
        <v>1.6E-2</v>
      </c>
      <c r="BH30" s="69"/>
      <c r="BI30" s="69"/>
      <c r="BJ30" s="69"/>
      <c r="BK30" s="69"/>
      <c r="BL30" s="69"/>
      <c r="BM30" s="164"/>
      <c r="BN30" s="164"/>
      <c r="BO30" s="69"/>
      <c r="BP30" s="69"/>
      <c r="BQ30" s="69"/>
      <c r="BR30" s="69"/>
      <c r="BS30" s="69"/>
      <c r="BT30" s="69"/>
      <c r="BU30" s="70"/>
    </row>
    <row r="31" spans="2:73">
      <c r="B31">
        <v>0.75</v>
      </c>
      <c r="C31" s="80">
        <f t="shared" si="101"/>
        <v>1.1451653173506551</v>
      </c>
      <c r="D31" s="80">
        <f t="shared" si="101"/>
        <v>1.1914230666878078</v>
      </c>
      <c r="E31" s="80">
        <f t="shared" si="101"/>
        <v>0.90714253100314046</v>
      </c>
      <c r="F31" s="80">
        <f t="shared" si="101"/>
        <v>2.1979721209627989</v>
      </c>
      <c r="G31" s="80">
        <f t="shared" si="101"/>
        <v>1.884563149678123</v>
      </c>
      <c r="H31" s="80">
        <f t="shared" si="101"/>
        <v>-8.7739243075051505E-3</v>
      </c>
      <c r="I31" s="80">
        <f t="shared" si="101"/>
        <v>1.7473418800685208</v>
      </c>
      <c r="J31" s="80">
        <f t="shared" si="101"/>
        <v>2.3361974769052671</v>
      </c>
      <c r="K31" s="80">
        <f t="shared" si="101"/>
        <v>0.45408227073109003</v>
      </c>
      <c r="L31" s="80">
        <f t="shared" si="101"/>
        <v>0.97932069738202443</v>
      </c>
      <c r="M31" s="80">
        <f t="shared" si="101"/>
        <v>1.1291418457922853</v>
      </c>
      <c r="N31" s="80">
        <f t="shared" si="101"/>
        <v>1.0123731672224898</v>
      </c>
      <c r="O31" s="80">
        <f t="shared" si="101"/>
        <v>2.1552479548271832</v>
      </c>
      <c r="P31" s="80">
        <f t="shared" si="101"/>
        <v>2.0699195745551622</v>
      </c>
      <c r="Q31" s="80">
        <f t="shared" ref="Q31" si="103">LOG10(Q105)</f>
        <v>-8.7739243075051505E-3</v>
      </c>
      <c r="R31" s="70"/>
      <c r="T31" t="s">
        <v>29</v>
      </c>
      <c r="U31" t="s">
        <v>30</v>
      </c>
      <c r="V31" t="s">
        <v>31</v>
      </c>
      <c r="W31" t="s">
        <v>32</v>
      </c>
      <c r="X31" t="s">
        <v>38</v>
      </c>
      <c r="Y31" t="s">
        <v>39</v>
      </c>
      <c r="Z31" t="s">
        <v>40</v>
      </c>
      <c r="AA31" t="s">
        <v>41</v>
      </c>
      <c r="AB31" t="s">
        <v>198</v>
      </c>
      <c r="AC31" t="s">
        <v>199</v>
      </c>
      <c r="AD31" t="s">
        <v>200</v>
      </c>
      <c r="AE31" s="77"/>
      <c r="AF31" s="77"/>
      <c r="AG31" s="77"/>
      <c r="AH31" s="77"/>
      <c r="AI31" s="70"/>
      <c r="AJ31" s="91" t="s">
        <v>181</v>
      </c>
      <c r="AK31" s="69" t="s">
        <v>182</v>
      </c>
      <c r="AL31" s="77" t="s">
        <v>183</v>
      </c>
      <c r="AM31" s="77" t="s">
        <v>183</v>
      </c>
      <c r="AW31" s="77"/>
      <c r="AX31" s="77"/>
      <c r="AY31" s="69"/>
      <c r="AZ31" s="77"/>
      <c r="BA31" s="77"/>
      <c r="BB31" s="77"/>
      <c r="BC31" s="77"/>
      <c r="BD31" s="69"/>
      <c r="BE31" s="69"/>
      <c r="BF31" s="69">
        <f>5*24</f>
        <v>120</v>
      </c>
      <c r="BG31" s="86">
        <v>1.6E-2</v>
      </c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70"/>
    </row>
    <row r="32" spans="2:73" ht="18">
      <c r="B32">
        <v>0.75</v>
      </c>
      <c r="C32" s="80">
        <f t="shared" si="101"/>
        <v>1.1383974429905461</v>
      </c>
      <c r="D32" s="80">
        <f t="shared" si="101"/>
        <v>1.1872386198314788</v>
      </c>
      <c r="E32" s="80">
        <f t="shared" si="101"/>
        <v>0.90649665979935301</v>
      </c>
      <c r="F32" s="80">
        <f t="shared" si="101"/>
        <v>2.1993107851577243</v>
      </c>
      <c r="G32" s="80">
        <f t="shared" si="101"/>
        <v>1.9005582854095375</v>
      </c>
      <c r="H32" s="80">
        <f t="shared" si="101"/>
        <v>-8.7739243075051505E-3</v>
      </c>
      <c r="I32" s="80">
        <f t="shared" si="101"/>
        <v>1.7978282290292527</v>
      </c>
      <c r="J32" s="80">
        <f t="shared" si="101"/>
        <v>2.3511776536842848</v>
      </c>
      <c r="K32" s="80">
        <f t="shared" si="101"/>
        <v>0.41647407910022077</v>
      </c>
      <c r="L32" s="80">
        <f t="shared" si="101"/>
        <v>0.9740047968974147</v>
      </c>
      <c r="M32" s="80">
        <f t="shared" si="101"/>
        <v>1.1275583020046327</v>
      </c>
      <c r="N32" s="80">
        <f t="shared" si="101"/>
        <v>1.0105119627372137</v>
      </c>
      <c r="O32" s="80">
        <f t="shared" si="101"/>
        <v>2.1617392401817503</v>
      </c>
      <c r="P32" s="80">
        <f t="shared" si="101"/>
        <v>2.0853904865852821</v>
      </c>
      <c r="Q32" s="80">
        <f t="shared" ref="Q32" si="104">LOG10(Q106)</f>
        <v>-8.7739243075051505E-3</v>
      </c>
      <c r="R32" s="70"/>
      <c r="S32" t="s">
        <v>245</v>
      </c>
      <c r="T32" s="108" t="s">
        <v>249</v>
      </c>
      <c r="U32" s="108" t="s">
        <v>247</v>
      </c>
      <c r="V32" s="108" t="s">
        <v>250</v>
      </c>
      <c r="W32" s="108" t="s">
        <v>248</v>
      </c>
      <c r="X32" s="66" t="s">
        <v>251</v>
      </c>
      <c r="Y32" s="67" t="s">
        <v>252</v>
      </c>
      <c r="Z32" s="67" t="s">
        <v>253</v>
      </c>
      <c r="AA32" s="67" t="s">
        <v>254</v>
      </c>
      <c r="AB32" s="135" t="s">
        <v>194</v>
      </c>
      <c r="AC32" s="135" t="s">
        <v>195</v>
      </c>
      <c r="AD32" s="135" t="s">
        <v>196</v>
      </c>
      <c r="AE32" s="100"/>
      <c r="AF32" s="100"/>
      <c r="AG32" s="100"/>
      <c r="AH32" s="100"/>
      <c r="AI32" s="70"/>
      <c r="AJ32" s="91"/>
      <c r="AL32" s="102" t="s">
        <v>188</v>
      </c>
      <c r="AM32" s="66" t="s">
        <v>142</v>
      </c>
      <c r="AN32" t="s">
        <v>206</v>
      </c>
      <c r="AW32" s="77"/>
      <c r="AX32" s="77"/>
      <c r="AY32" s="69"/>
      <c r="AZ32" s="77"/>
      <c r="BA32" s="77"/>
      <c r="BB32" s="77"/>
      <c r="BC32" s="77"/>
      <c r="BD32" s="69"/>
      <c r="BE32" s="69"/>
      <c r="BF32" s="69">
        <v>192</v>
      </c>
      <c r="BG32" s="86">
        <v>1.6E-2</v>
      </c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70"/>
    </row>
    <row r="33" spans="2:73">
      <c r="B33">
        <v>0.83299999999999996</v>
      </c>
      <c r="C33" s="4">
        <f t="shared" si="101"/>
        <v>1.126780577012009</v>
      </c>
      <c r="D33" s="4">
        <f t="shared" si="101"/>
        <v>1.1888160305023527</v>
      </c>
      <c r="E33" s="4">
        <f t="shared" si="101"/>
        <v>0.90091306773766899</v>
      </c>
      <c r="F33" s="4">
        <f t="shared" si="101"/>
        <v>2.1104381857939369</v>
      </c>
      <c r="G33" s="4">
        <f t="shared" si="101"/>
        <v>1.8716079578822473</v>
      </c>
      <c r="H33" s="80">
        <f t="shared" ref="H33" si="105">LOG10(H107)</f>
        <v>-8.7739243075051505E-3</v>
      </c>
      <c r="I33" s="4">
        <f t="shared" si="101"/>
        <v>1.35566219858541</v>
      </c>
      <c r="J33" s="4">
        <f t="shared" si="101"/>
        <v>2.0938767553900446</v>
      </c>
      <c r="K33" s="4">
        <f t="shared" si="101"/>
        <v>-8.7739243075051505E-3</v>
      </c>
      <c r="L33" s="4">
        <f t="shared" si="101"/>
        <v>1.0108509573739228</v>
      </c>
      <c r="M33" s="4">
        <f t="shared" si="101"/>
        <v>1.2036311263305124</v>
      </c>
      <c r="N33" s="4">
        <f t="shared" si="101"/>
        <v>0.99712415565920454</v>
      </c>
      <c r="O33" s="38">
        <f t="shared" si="101"/>
        <v>1.8014242922064967</v>
      </c>
      <c r="P33" s="38">
        <f t="shared" si="101"/>
        <v>1.9158165157447269</v>
      </c>
      <c r="Q33" s="80">
        <f t="shared" ref="Q33" si="106">LOG10(Q107)</f>
        <v>-8.7739243075051505E-3</v>
      </c>
      <c r="R33" s="70"/>
      <c r="S33">
        <v>8.3000000000000004E-2</v>
      </c>
      <c r="T33" s="77">
        <f>AVERAGE(G80:G82)</f>
        <v>114.85966666666667</v>
      </c>
      <c r="U33" s="77">
        <f t="shared" ref="U33:AC33" si="107">AVERAGE(H80:H82)</f>
        <v>118.31433333333332</v>
      </c>
      <c r="V33" s="77">
        <f t="shared" si="107"/>
        <v>714.57733333333329</v>
      </c>
      <c r="W33" s="77">
        <f t="shared" si="107"/>
        <v>1468.3736666666666</v>
      </c>
      <c r="X33" s="77">
        <f t="shared" si="107"/>
        <v>9.874666666666668</v>
      </c>
      <c r="Y33" s="77">
        <f t="shared" si="107"/>
        <v>35.999666666666663</v>
      </c>
      <c r="Z33" s="77">
        <f t="shared" si="107"/>
        <v>50.969000000000001</v>
      </c>
      <c r="AA33" s="77">
        <f t="shared" si="107"/>
        <v>67.641666666666666</v>
      </c>
      <c r="AB33" s="77">
        <f t="shared" si="107"/>
        <v>7652.233666666667</v>
      </c>
      <c r="AC33" s="77">
        <f t="shared" si="107"/>
        <v>7573.8046666666669</v>
      </c>
      <c r="AD33" s="77"/>
      <c r="AE33" s="77"/>
      <c r="AF33" s="77"/>
      <c r="AG33" s="77"/>
      <c r="AH33" s="77"/>
      <c r="AI33" s="70"/>
      <c r="AJ33" s="109">
        <f t="shared" ref="AJ33:AJ55" si="108">AK33/24</f>
        <v>2.6041666666666665E-3</v>
      </c>
      <c r="AK33" s="75">
        <v>6.25E-2</v>
      </c>
      <c r="AL33" s="13">
        <f t="shared" ref="AL33:AL55" si="109">$AP5</f>
        <v>2.5360085246334054</v>
      </c>
      <c r="AM33" s="13">
        <f t="shared" ref="AM33:AM55" si="110">$AU5</f>
        <v>1.5217142352474025</v>
      </c>
      <c r="AN33" s="13">
        <f>AL33-AM33</f>
        <v>1.014294289386003</v>
      </c>
      <c r="AW33" s="77"/>
      <c r="AX33" s="77"/>
      <c r="AY33" s="69"/>
      <c r="AZ33" s="77"/>
      <c r="BA33" s="77"/>
      <c r="BB33" s="77"/>
      <c r="BC33" s="77"/>
      <c r="BD33" s="69"/>
      <c r="BE33" s="69"/>
      <c r="BF33" s="69">
        <f>11*24</f>
        <v>264</v>
      </c>
      <c r="BG33" s="86">
        <v>1.6E-2</v>
      </c>
      <c r="BH33" s="69"/>
      <c r="BI33" s="69"/>
      <c r="BJ33" s="69"/>
      <c r="BK33" s="69"/>
      <c r="BL33" s="69"/>
      <c r="BM33" s="164"/>
      <c r="BN33" s="164"/>
      <c r="BO33" s="69"/>
      <c r="BP33" s="69"/>
      <c r="BQ33" s="69"/>
      <c r="BR33" s="69"/>
      <c r="BS33" s="69"/>
      <c r="BT33" s="69"/>
      <c r="BU33" s="70"/>
    </row>
    <row r="34" spans="2:73">
      <c r="B34">
        <v>0.83299999999999996</v>
      </c>
      <c r="C34" s="4">
        <f t="shared" si="101"/>
        <v>1.1288837020997733</v>
      </c>
      <c r="D34" s="4">
        <f t="shared" si="101"/>
        <v>1.1888160305023527</v>
      </c>
      <c r="E34" s="4">
        <f t="shared" si="101"/>
        <v>0.89943745428617761</v>
      </c>
      <c r="F34" s="4">
        <f t="shared" si="101"/>
        <v>2.1142439136889073</v>
      </c>
      <c r="G34" s="4">
        <f t="shared" si="101"/>
        <v>1.8735066051297269</v>
      </c>
      <c r="H34" s="80">
        <f t="shared" ref="H34" si="111">LOG10(H108)</f>
        <v>-8.7739243075051505E-3</v>
      </c>
      <c r="I34" s="4">
        <f t="shared" si="101"/>
        <v>1.2322335211147337</v>
      </c>
      <c r="J34" s="4">
        <f t="shared" si="101"/>
        <v>2.1009079104614021</v>
      </c>
      <c r="K34" s="4">
        <f t="shared" si="101"/>
        <v>-8.7739243075051505E-3</v>
      </c>
      <c r="L34" s="4">
        <f t="shared" si="101"/>
        <v>0.98704028697926671</v>
      </c>
      <c r="M34" s="4">
        <f t="shared" si="101"/>
        <v>1.1935419885662173</v>
      </c>
      <c r="N34" s="4">
        <f t="shared" si="101"/>
        <v>1.0003472966853635</v>
      </c>
      <c r="O34" s="38">
        <f t="shared" si="101"/>
        <v>1.8309990337845039</v>
      </c>
      <c r="P34" s="38">
        <f t="shared" si="101"/>
        <v>1.9135065597924186</v>
      </c>
      <c r="Q34" s="80">
        <f t="shared" ref="Q34" si="112">LOG10(Q108)</f>
        <v>-8.7739243075051505E-3</v>
      </c>
      <c r="R34" s="70"/>
      <c r="S34">
        <v>0.16700000000000001</v>
      </c>
      <c r="T34" s="13">
        <f>AVERAGE(G83:G85)</f>
        <v>104.61433333333333</v>
      </c>
      <c r="U34" s="13">
        <f t="shared" ref="U34:AC34" si="113">AVERAGE(H83:H85)</f>
        <v>56.238333333333337</v>
      </c>
      <c r="V34" s="13">
        <f t="shared" si="113"/>
        <v>694.48166666666668</v>
      </c>
      <c r="W34" s="13">
        <f t="shared" si="113"/>
        <v>1567.982</v>
      </c>
      <c r="X34" s="13">
        <f t="shared" si="113"/>
        <v>7.301333333333333</v>
      </c>
      <c r="Y34" s="13">
        <f t="shared" si="113"/>
        <v>37.784333333333329</v>
      </c>
      <c r="Z34" s="13">
        <f t="shared" si="113"/>
        <v>40.808333333333337</v>
      </c>
      <c r="AA34" s="13">
        <f t="shared" si="113"/>
        <v>45.781666666666666</v>
      </c>
      <c r="AB34" s="13">
        <f t="shared" si="113"/>
        <v>5180.9643333333333</v>
      </c>
      <c r="AC34" s="13">
        <f t="shared" si="113"/>
        <v>4450.3753333333334</v>
      </c>
      <c r="AD34" s="13"/>
      <c r="AE34" s="77"/>
      <c r="AF34" s="77"/>
      <c r="AG34" s="77"/>
      <c r="AH34" s="77"/>
      <c r="AI34" s="70"/>
      <c r="AJ34" s="109">
        <f t="shared" si="108"/>
        <v>6.9583333333333337E-3</v>
      </c>
      <c r="AK34" s="13">
        <v>0.16700000000000001</v>
      </c>
      <c r="AL34" s="13">
        <f t="shared" si="109"/>
        <v>2.3340041277757302</v>
      </c>
      <c r="AM34" s="13">
        <f t="shared" si="110"/>
        <v>1.4279751728658157</v>
      </c>
      <c r="AN34" s="13">
        <f t="shared" ref="AN34:AN55" si="114">AL34-AM34</f>
        <v>0.90602895490991453</v>
      </c>
      <c r="AW34" s="77"/>
      <c r="AX34" s="77"/>
      <c r="AY34" s="69"/>
      <c r="AZ34" s="77"/>
      <c r="BA34" s="77"/>
      <c r="BB34" s="77"/>
      <c r="BC34" s="77"/>
      <c r="BD34" s="69"/>
      <c r="BE34" s="69"/>
      <c r="BF34" s="69">
        <f>14*24</f>
        <v>336</v>
      </c>
      <c r="BG34" s="86">
        <v>1.6E-2</v>
      </c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70"/>
    </row>
    <row r="35" spans="2:73">
      <c r="B35">
        <v>0.83299999999999996</v>
      </c>
      <c r="C35" s="4">
        <f t="shared" si="101"/>
        <v>1.1286254048759505</v>
      </c>
      <c r="D35" s="4">
        <f t="shared" si="101"/>
        <v>1.1882814795226671</v>
      </c>
      <c r="E35" s="4">
        <f t="shared" si="101"/>
        <v>0.8965262174895553</v>
      </c>
      <c r="F35" s="4">
        <f t="shared" si="101"/>
        <v>2.1169429642957751</v>
      </c>
      <c r="G35" s="4">
        <f t="shared" si="101"/>
        <v>1.8622685660646743</v>
      </c>
      <c r="H35" s="80">
        <f t="shared" ref="H35" si="115">LOG10(H109)</f>
        <v>-8.7739243075051505E-3</v>
      </c>
      <c r="I35" s="4">
        <f t="shared" si="101"/>
        <v>1.2986566173911456</v>
      </c>
      <c r="J35" s="4">
        <f t="shared" si="101"/>
        <v>2.1041250483636187</v>
      </c>
      <c r="K35" s="4">
        <f t="shared" si="101"/>
        <v>-8.7739243075051505E-3</v>
      </c>
      <c r="L35" s="4">
        <f t="shared" si="101"/>
        <v>1.0080463061583502</v>
      </c>
      <c r="M35" s="4">
        <f t="shared" si="101"/>
        <v>1.2002210261918762</v>
      </c>
      <c r="N35" s="4">
        <f t="shared" si="101"/>
        <v>1.0003038997848124</v>
      </c>
      <c r="O35" s="38">
        <f t="shared" si="101"/>
        <v>1.8136276843890964</v>
      </c>
      <c r="P35" s="38">
        <f t="shared" ref="P35" si="116">LOG10(P109)</f>
        <v>1.9282729213273928</v>
      </c>
      <c r="Q35" s="80">
        <f t="shared" ref="Q35" si="117">LOG10(Q109)</f>
        <v>-8.7739243075051505E-3</v>
      </c>
      <c r="R35" s="70"/>
      <c r="S35">
        <v>0.25</v>
      </c>
      <c r="T35" s="13">
        <f>AVERAGE(G86:G88)</f>
        <v>91.340333333333334</v>
      </c>
      <c r="U35" s="13">
        <f t="shared" ref="U35:AC35" si="118">AVERAGE(H86:H88)</f>
        <v>72.859333333333325</v>
      </c>
      <c r="V35" s="13">
        <f t="shared" si="118"/>
        <v>643.57499999999993</v>
      </c>
      <c r="W35" s="13">
        <f t="shared" si="118"/>
        <v>1762.9579999999999</v>
      </c>
      <c r="X35" s="13">
        <f t="shared" si="118"/>
        <v>7.4683333333333337</v>
      </c>
      <c r="Y35" s="13">
        <f t="shared" si="118"/>
        <v>28.401</v>
      </c>
      <c r="Z35" s="13">
        <f t="shared" si="118"/>
        <v>57.504999999999995</v>
      </c>
      <c r="AA35" s="13">
        <f t="shared" si="118"/>
        <v>45.276999999999994</v>
      </c>
      <c r="AB35" s="13">
        <f t="shared" si="118"/>
        <v>3369.0316666666663</v>
      </c>
      <c r="AC35" s="13">
        <f t="shared" si="118"/>
        <v>2835.135666666667</v>
      </c>
      <c r="AD35" s="13"/>
      <c r="AE35" s="77"/>
      <c r="AF35" s="77"/>
      <c r="AG35" s="77"/>
      <c r="AH35" s="77"/>
      <c r="AI35" s="70"/>
      <c r="AJ35" s="109">
        <f t="shared" si="108"/>
        <v>1.0416666666666666E-2</v>
      </c>
      <c r="AK35" s="13">
        <v>0.25</v>
      </c>
      <c r="AL35" s="13">
        <f t="shared" si="109"/>
        <v>2.4693983550177809</v>
      </c>
      <c r="AM35" s="13">
        <f t="shared" si="110"/>
        <v>1.4353573925255683</v>
      </c>
      <c r="AN35" s="13">
        <f t="shared" si="114"/>
        <v>1.0340409624922127</v>
      </c>
      <c r="BC35" s="77"/>
      <c r="BD35" s="69"/>
      <c r="BE35" s="69"/>
      <c r="BF35" s="69">
        <f>17*24</f>
        <v>408</v>
      </c>
      <c r="BG35" s="86">
        <v>1.6E-2</v>
      </c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70"/>
    </row>
    <row r="36" spans="2:73">
      <c r="B36">
        <v>0.91700000000000004</v>
      </c>
      <c r="C36" s="80">
        <f t="shared" si="101"/>
        <v>1.112806017266885</v>
      </c>
      <c r="D36" s="80">
        <f t="shared" si="101"/>
        <v>1.202787915033841</v>
      </c>
      <c r="E36" s="80">
        <f t="shared" si="101"/>
        <v>1.702869778901527</v>
      </c>
      <c r="F36" s="80">
        <f t="shared" si="101"/>
        <v>2.0782428807736584</v>
      </c>
      <c r="G36" s="80">
        <f t="shared" si="101"/>
        <v>1.9201546444750748</v>
      </c>
      <c r="H36" s="80">
        <f t="shared" ref="H36" si="119">LOG10(H110)</f>
        <v>-8.7739243075051505E-3</v>
      </c>
      <c r="I36" s="80">
        <f t="shared" si="101"/>
        <v>-8.7739243075051505E-3</v>
      </c>
      <c r="J36" s="80">
        <f t="shared" si="101"/>
        <v>1.8391699724343771</v>
      </c>
      <c r="K36" s="80">
        <f t="shared" si="101"/>
        <v>-8.7739243075051505E-3</v>
      </c>
      <c r="L36" s="80">
        <f t="shared" si="101"/>
        <v>1.1092747382302952</v>
      </c>
      <c r="M36" s="80">
        <f t="shared" si="101"/>
        <v>1.0368683299810548</v>
      </c>
      <c r="N36" s="80">
        <f t="shared" si="101"/>
        <v>0.77011529478710161</v>
      </c>
      <c r="O36" s="38">
        <f t="shared" ref="O36:P36" si="120">LOG10(O110)</f>
        <v>-8.7739243075051505E-3</v>
      </c>
      <c r="P36" s="38">
        <f t="shared" si="120"/>
        <v>1.7358702489615547</v>
      </c>
      <c r="Q36" s="80">
        <f t="shared" ref="Q36" si="121">LOG10(Q110)</f>
        <v>-8.7739243075051505E-3</v>
      </c>
      <c r="R36" s="70"/>
      <c r="S36">
        <v>0.33300000000000002</v>
      </c>
      <c r="T36" s="13">
        <f>AVERAGE(G89:G91)</f>
        <v>85.937333333333342</v>
      </c>
      <c r="U36" s="13">
        <f t="shared" ref="U36:AD36" si="122">AVERAGE(H89:H91)</f>
        <v>44.966000000000001</v>
      </c>
      <c r="V36" s="13">
        <f t="shared" si="122"/>
        <v>538.74533333333341</v>
      </c>
      <c r="W36" s="13">
        <f t="shared" si="122"/>
        <v>1713.2460000000001</v>
      </c>
      <c r="X36" s="13">
        <f t="shared" si="122"/>
        <v>5.8193333333333328</v>
      </c>
      <c r="Y36" s="13">
        <f t="shared" si="122"/>
        <v>21.395333333333337</v>
      </c>
      <c r="Z36" s="13">
        <f t="shared" si="122"/>
        <v>30.709666666666667</v>
      </c>
      <c r="AA36" s="13">
        <f t="shared" si="122"/>
        <v>32.381333333333338</v>
      </c>
      <c r="AB36" s="13">
        <f t="shared" si="122"/>
        <v>2336.9180000000001</v>
      </c>
      <c r="AC36" s="13">
        <f t="shared" si="122"/>
        <v>1795.6553333333334</v>
      </c>
      <c r="AD36" s="13">
        <f t="shared" si="122"/>
        <v>238.47266666666667</v>
      </c>
      <c r="AE36" s="77"/>
      <c r="AF36" s="77"/>
      <c r="AG36" s="77"/>
      <c r="AH36" s="77"/>
      <c r="AI36" s="70"/>
      <c r="AJ36" s="109">
        <f t="shared" si="108"/>
        <v>1.3875E-2</v>
      </c>
      <c r="AK36" s="13">
        <v>0.33300000000000002</v>
      </c>
      <c r="AL36" s="13">
        <f t="shared" si="109"/>
        <v>2.2784022377491637</v>
      </c>
      <c r="AM36" s="13">
        <f t="shared" si="110"/>
        <v>1.2731248121384611</v>
      </c>
      <c r="AN36" s="13">
        <f t="shared" si="114"/>
        <v>1.0052774256107027</v>
      </c>
      <c r="BC36" s="77"/>
      <c r="BD36" s="69"/>
      <c r="BE36" s="69"/>
      <c r="BF36" s="69">
        <f>20*24</f>
        <v>480</v>
      </c>
      <c r="BG36" s="86">
        <v>1.6E-2</v>
      </c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70"/>
    </row>
    <row r="37" spans="2:73">
      <c r="B37">
        <v>0.91700000000000004</v>
      </c>
      <c r="C37" s="80">
        <f t="shared" si="101"/>
        <v>1.1329637261307266</v>
      </c>
      <c r="D37" s="80">
        <f t="shared" si="101"/>
        <v>1.2129063927503023</v>
      </c>
      <c r="E37" s="80">
        <f t="shared" si="101"/>
        <v>1.7050422218462253</v>
      </c>
      <c r="F37" s="80">
        <f t="shared" si="101"/>
        <v>2.0862993100138474</v>
      </c>
      <c r="G37" s="80">
        <f t="shared" si="101"/>
        <v>1.9093901955031762</v>
      </c>
      <c r="H37" s="80">
        <f t="shared" si="101"/>
        <v>-8.7739243075051505E-3</v>
      </c>
      <c r="I37" s="80">
        <f t="shared" si="101"/>
        <v>2.0164357734654406</v>
      </c>
      <c r="J37" s="80">
        <f t="shared" si="101"/>
        <v>1.8325983170729649</v>
      </c>
      <c r="K37" s="80">
        <f t="shared" si="101"/>
        <v>-8.7739243075051505E-3</v>
      </c>
      <c r="L37" s="80">
        <f t="shared" si="101"/>
        <v>1.1000602239311525</v>
      </c>
      <c r="M37" s="80">
        <f t="shared" si="101"/>
        <v>1.036069700697702</v>
      </c>
      <c r="N37" s="80">
        <f t="shared" si="101"/>
        <v>0.75304656162652917</v>
      </c>
      <c r="O37" s="38">
        <f t="shared" ref="O37:P37" si="123">LOG10(O111)</f>
        <v>-8.7739243075051505E-3</v>
      </c>
      <c r="P37" s="38">
        <f t="shared" si="123"/>
        <v>1.7528010848223656</v>
      </c>
      <c r="Q37" s="80">
        <f t="shared" ref="Q37" si="124">LOG10(Q111)</f>
        <v>-8.7739243075051505E-3</v>
      </c>
      <c r="R37" s="70"/>
      <c r="S37">
        <v>0.41699999999999998</v>
      </c>
      <c r="T37" s="13">
        <f>AVERAGE(G92:G94)</f>
        <v>76.984333333333325</v>
      </c>
      <c r="U37" s="13">
        <f t="shared" ref="U37:AD37" si="125">AVERAGE(H92:H94)</f>
        <v>21.054333333333332</v>
      </c>
      <c r="V37" s="13">
        <f t="shared" si="125"/>
        <v>463.05366666666669</v>
      </c>
      <c r="W37" s="13">
        <f t="shared" si="125"/>
        <v>1209.8296666666668</v>
      </c>
      <c r="X37" s="13">
        <f t="shared" si="125"/>
        <v>4.9746666666666668</v>
      </c>
      <c r="Y37" s="13">
        <f t="shared" si="125"/>
        <v>17.242000000000001</v>
      </c>
      <c r="Z37" s="13">
        <f t="shared" si="125"/>
        <v>36.090666666666664</v>
      </c>
      <c r="AA37" s="13">
        <f t="shared" si="125"/>
        <v>27.751999999999999</v>
      </c>
      <c r="AB37" s="13">
        <f t="shared" si="125"/>
        <v>1343.0926666666667</v>
      </c>
      <c r="AC37" s="13">
        <f t="shared" si="125"/>
        <v>927.6346666666667</v>
      </c>
      <c r="AD37" s="13">
        <f t="shared" si="125"/>
        <v>37.545666666666669</v>
      </c>
      <c r="AE37" s="77"/>
      <c r="AF37" s="77"/>
      <c r="AG37" s="77"/>
      <c r="AH37" s="77"/>
      <c r="AI37" s="70"/>
      <c r="AJ37" s="109">
        <f t="shared" si="108"/>
        <v>1.7374999999999998E-2</v>
      </c>
      <c r="AK37" s="13">
        <v>0.41699999999999998</v>
      </c>
      <c r="AL37" s="13">
        <f t="shared" si="109"/>
        <v>2.0561157239097909</v>
      </c>
      <c r="AM37" s="13">
        <f t="shared" si="110"/>
        <v>1.2334564173923888</v>
      </c>
      <c r="AN37" s="13">
        <f t="shared" si="114"/>
        <v>0.82265930651740216</v>
      </c>
      <c r="BC37" s="77"/>
      <c r="BD37" s="69"/>
      <c r="BE37" s="69"/>
      <c r="BF37" s="69">
        <f>24*23</f>
        <v>552</v>
      </c>
      <c r="BG37" s="86">
        <v>1.6E-2</v>
      </c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70"/>
    </row>
    <row r="38" spans="2:73">
      <c r="B38">
        <v>0.91700000000000004</v>
      </c>
      <c r="C38" s="80">
        <f t="shared" si="101"/>
        <v>1.1298831553406212</v>
      </c>
      <c r="D38" s="80">
        <f t="shared" si="101"/>
        <v>1.1856271356748993</v>
      </c>
      <c r="E38" s="80">
        <f t="shared" si="101"/>
        <v>1.6982136737388993</v>
      </c>
      <c r="F38" s="80">
        <f t="shared" si="101"/>
        <v>2.0902262999400301</v>
      </c>
      <c r="G38" s="80">
        <f t="shared" si="101"/>
        <v>1.9165697449729291</v>
      </c>
      <c r="H38" s="80">
        <f t="shared" si="101"/>
        <v>-8.7739243075051505E-3</v>
      </c>
      <c r="I38" s="80">
        <f t="shared" si="101"/>
        <v>2.0189832803830483</v>
      </c>
      <c r="J38" s="80">
        <f t="shared" si="101"/>
        <v>1.8371021097144487</v>
      </c>
      <c r="K38" s="80">
        <f t="shared" si="101"/>
        <v>-8.7739243075051505E-3</v>
      </c>
      <c r="L38" s="80">
        <f t="shared" si="101"/>
        <v>1.1150777166595807</v>
      </c>
      <c r="M38" s="80">
        <f t="shared" si="101"/>
        <v>1.0350693444211043</v>
      </c>
      <c r="N38" s="80">
        <f t="shared" si="101"/>
        <v>0.7587605439099796</v>
      </c>
      <c r="O38" s="38">
        <f t="shared" ref="O38:P38" si="126">LOG10(O112)</f>
        <v>-8.7739243075051505E-3</v>
      </c>
      <c r="P38" s="38">
        <f t="shared" si="126"/>
        <v>1.7378285058957847</v>
      </c>
      <c r="Q38" s="80">
        <f t="shared" ref="Q38" si="127">LOG10(Q112)</f>
        <v>-8.7739243075051505E-3</v>
      </c>
      <c r="R38" s="70"/>
      <c r="S38">
        <v>0.5</v>
      </c>
      <c r="T38" s="13">
        <f>AVERAGE(G95:G97)</f>
        <v>85.985333333333344</v>
      </c>
      <c r="U38" s="13">
        <f t="shared" ref="U38:AD38" si="128">AVERAGE(H95:H97)</f>
        <v>0.98</v>
      </c>
      <c r="V38" s="13">
        <f t="shared" si="128"/>
        <v>359.21800000000002</v>
      </c>
      <c r="W38" s="13">
        <f t="shared" si="128"/>
        <v>886.41499999999996</v>
      </c>
      <c r="X38" s="13">
        <f t="shared" si="128"/>
        <v>5.3760000000000003</v>
      </c>
      <c r="Y38" s="13">
        <f t="shared" si="128"/>
        <v>12.388666666666666</v>
      </c>
      <c r="Z38" s="13">
        <f t="shared" si="128"/>
        <v>15.025666666666666</v>
      </c>
      <c r="AA38" s="13">
        <f t="shared" si="128"/>
        <v>26.326666666666668</v>
      </c>
      <c r="AB38" s="13">
        <f t="shared" si="128"/>
        <v>752.35600000000011</v>
      </c>
      <c r="AC38" s="13">
        <f t="shared" si="128"/>
        <v>394.83866666666671</v>
      </c>
      <c r="AD38" s="13">
        <f t="shared" si="128"/>
        <v>4.9246666666666661</v>
      </c>
      <c r="AE38" s="77"/>
      <c r="AF38" s="77"/>
      <c r="AG38" s="77"/>
      <c r="AH38" s="77"/>
      <c r="AI38" s="70"/>
      <c r="AJ38" s="109">
        <f t="shared" si="108"/>
        <v>2.0833333333333332E-2</v>
      </c>
      <c r="AK38" s="13">
        <v>0.5</v>
      </c>
      <c r="AL38" s="13">
        <f t="shared" si="109"/>
        <v>1.8571392584747368</v>
      </c>
      <c r="AM38" s="13">
        <f t="shared" si="110"/>
        <v>1.1051333860175097</v>
      </c>
      <c r="AN38" s="13">
        <f t="shared" si="114"/>
        <v>0.75200587245722716</v>
      </c>
      <c r="BC38" s="77"/>
      <c r="BD38" s="69"/>
      <c r="BE38" s="69"/>
      <c r="BF38" s="69">
        <f>24*26</f>
        <v>624</v>
      </c>
      <c r="BG38" s="86">
        <v>1.6E-2</v>
      </c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  <c r="BS38" s="69"/>
      <c r="BT38" s="69"/>
      <c r="BU38" s="70"/>
    </row>
    <row r="39" spans="2:73">
      <c r="B39">
        <v>1</v>
      </c>
      <c r="C39" s="4">
        <f t="shared" si="101"/>
        <v>1.2096222345115506</v>
      </c>
      <c r="D39" s="4">
        <f t="shared" si="101"/>
        <v>2.0451390493875996</v>
      </c>
      <c r="E39" s="4">
        <f t="shared" si="101"/>
        <v>1.7439328780825309</v>
      </c>
      <c r="F39" s="4">
        <f t="shared" si="101"/>
        <v>2.0174048362183314</v>
      </c>
      <c r="G39" s="4">
        <f t="shared" si="101"/>
        <v>1.9355475697068727</v>
      </c>
      <c r="H39" s="4">
        <f t="shared" si="101"/>
        <v>-8.7739243075051505E-3</v>
      </c>
      <c r="I39" s="4">
        <f t="shared" si="101"/>
        <v>-8.7739243075051505E-3</v>
      </c>
      <c r="J39" s="4">
        <f t="shared" si="101"/>
        <v>0.15986784709256668</v>
      </c>
      <c r="K39" s="4">
        <f t="shared" si="101"/>
        <v>-8.7739243075051505E-3</v>
      </c>
      <c r="L39" s="4">
        <f t="shared" si="101"/>
        <v>0.97474190450095022</v>
      </c>
      <c r="M39" s="4">
        <f t="shared" si="101"/>
        <v>1.1811573178806061</v>
      </c>
      <c r="N39" s="4">
        <f t="shared" si="101"/>
        <v>0.58103894877216722</v>
      </c>
      <c r="O39" s="38">
        <f t="shared" ref="O39:P39" si="129">LOG10(O113)</f>
        <v>-8.7739243075051505E-3</v>
      </c>
      <c r="P39" s="38">
        <f t="shared" si="129"/>
        <v>1.5408423152115802</v>
      </c>
      <c r="Q39" s="38">
        <f t="shared" si="101"/>
        <v>0.38898878512471408</v>
      </c>
      <c r="R39" s="70"/>
      <c r="S39">
        <v>0.58299999999999996</v>
      </c>
      <c r="T39" s="13">
        <f>AVERAGE(G98:G100)</f>
        <v>80.748333333333335</v>
      </c>
      <c r="U39" s="13">
        <f t="shared" ref="U39:AD39" si="130">AVERAGE(H98:H100)</f>
        <v>0.98</v>
      </c>
      <c r="V39" s="13">
        <f t="shared" si="130"/>
        <v>225.67399999999998</v>
      </c>
      <c r="W39" s="13">
        <f t="shared" si="130"/>
        <v>596.09966666666662</v>
      </c>
      <c r="X39" s="13">
        <f t="shared" si="130"/>
        <v>2.9060000000000001</v>
      </c>
      <c r="Y39" s="13">
        <f t="shared" si="130"/>
        <v>15.448333333333332</v>
      </c>
      <c r="Z39" s="13">
        <f t="shared" si="130"/>
        <v>17.436333333333334</v>
      </c>
      <c r="AA39" s="13">
        <f t="shared" si="130"/>
        <v>15.259333333333332</v>
      </c>
      <c r="AB39" s="13">
        <f t="shared" si="130"/>
        <v>409.29466666666667</v>
      </c>
      <c r="AC39" s="13">
        <f t="shared" si="130"/>
        <v>18.831666666666667</v>
      </c>
      <c r="AD39" s="13">
        <f t="shared" si="130"/>
        <v>0.98</v>
      </c>
      <c r="AE39" s="77"/>
      <c r="AF39" s="77"/>
      <c r="AG39" s="77"/>
      <c r="AH39" s="77"/>
      <c r="AI39" s="70"/>
      <c r="AJ39" s="109">
        <f t="shared" si="108"/>
        <v>2.4291666666666666E-2</v>
      </c>
      <c r="AK39" s="13">
        <v>0.58299999999999996</v>
      </c>
      <c r="AL39" s="13">
        <f t="shared" si="109"/>
        <v>1.7566832983326024</v>
      </c>
      <c r="AM39" s="13">
        <f t="shared" si="110"/>
        <v>1.0192182117403543</v>
      </c>
      <c r="AN39" s="13">
        <f t="shared" si="114"/>
        <v>0.73746508659224808</v>
      </c>
      <c r="BC39" s="77"/>
      <c r="BD39" s="69"/>
      <c r="BE39" s="69"/>
      <c r="BF39" s="69">
        <f>24*29</f>
        <v>696</v>
      </c>
      <c r="BG39" s="86">
        <v>1.6E-2</v>
      </c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70"/>
    </row>
    <row r="40" spans="2:73">
      <c r="B40">
        <v>1</v>
      </c>
      <c r="C40" s="4">
        <f t="shared" si="101"/>
        <v>1.2073380952883563</v>
      </c>
      <c r="D40" s="4">
        <f t="shared" si="101"/>
        <v>2.0424416204305276</v>
      </c>
      <c r="E40" s="4">
        <f t="shared" si="101"/>
        <v>1.7503849543667795</v>
      </c>
      <c r="F40" s="4">
        <f t="shared" si="101"/>
        <v>2.0152423626576135</v>
      </c>
      <c r="G40" s="4">
        <f t="shared" si="101"/>
        <v>1.9385647533759589</v>
      </c>
      <c r="H40" s="4">
        <f t="shared" si="101"/>
        <v>-8.7739243075051505E-3</v>
      </c>
      <c r="I40" s="4">
        <f t="shared" si="101"/>
        <v>-8.7739243075051505E-3</v>
      </c>
      <c r="J40" s="4">
        <f t="shared" si="101"/>
        <v>0.64414305050991894</v>
      </c>
      <c r="K40" s="4">
        <f t="shared" si="101"/>
        <v>-8.7739243075051505E-3</v>
      </c>
      <c r="L40" s="4">
        <f t="shared" si="101"/>
        <v>0.98560608305243647</v>
      </c>
      <c r="M40" s="4">
        <f t="shared" si="101"/>
        <v>1.1786316753932531</v>
      </c>
      <c r="N40" s="4">
        <f t="shared" si="101"/>
        <v>0.59239884611556382</v>
      </c>
      <c r="O40" s="38">
        <f t="shared" ref="O40:P40" si="131">LOG10(O114)</f>
        <v>-8.7739243075051505E-3</v>
      </c>
      <c r="P40" s="38">
        <f t="shared" si="131"/>
        <v>1.5359773113166677</v>
      </c>
      <c r="Q40" s="38">
        <f t="shared" si="101"/>
        <v>0.41212440617331725</v>
      </c>
      <c r="R40" s="70"/>
      <c r="S40">
        <v>0.66700000000000004</v>
      </c>
      <c r="T40" s="13">
        <f>AVERAGE(G101:G103)</f>
        <v>81.512999999999991</v>
      </c>
      <c r="U40" s="13">
        <f t="shared" ref="U40:AC40" si="132">AVERAGE(H101:H103)</f>
        <v>0.98</v>
      </c>
      <c r="V40" s="13">
        <f t="shared" si="132"/>
        <v>145.74299999999999</v>
      </c>
      <c r="W40" s="13">
        <f t="shared" si="132"/>
        <v>350.92800000000005</v>
      </c>
      <c r="X40" s="13">
        <f t="shared" si="132"/>
        <v>1.1919999999999999</v>
      </c>
      <c r="Y40" s="13">
        <f t="shared" si="132"/>
        <v>8.8723333333333336</v>
      </c>
      <c r="Z40" s="13">
        <f t="shared" si="132"/>
        <v>23.725666666666669</v>
      </c>
      <c r="AA40" s="13">
        <f t="shared" si="132"/>
        <v>13.720666666666666</v>
      </c>
      <c r="AB40" s="13">
        <f t="shared" si="132"/>
        <v>195.73966666666669</v>
      </c>
      <c r="AC40" s="13">
        <f t="shared" si="132"/>
        <v>136.51499999999999</v>
      </c>
      <c r="AD40" s="13"/>
      <c r="AE40" s="77"/>
      <c r="AF40" s="77"/>
      <c r="AG40" s="77"/>
      <c r="AH40" s="77"/>
      <c r="AI40" s="70"/>
      <c r="AJ40" s="109">
        <f t="shared" si="108"/>
        <v>2.7791666666666669E-2</v>
      </c>
      <c r="AK40" s="13">
        <v>0.66700000000000004</v>
      </c>
      <c r="AL40" s="13">
        <f t="shared" si="109"/>
        <v>1.6535259602459964</v>
      </c>
      <c r="AM40" s="13">
        <f t="shared" si="110"/>
        <v>0.88378977588886065</v>
      </c>
      <c r="AN40" s="13">
        <f t="shared" si="114"/>
        <v>0.76973618435713576</v>
      </c>
      <c r="BC40" s="77"/>
      <c r="BD40" s="69"/>
      <c r="BE40" s="69"/>
      <c r="BF40" s="69">
        <f>32*24</f>
        <v>768</v>
      </c>
      <c r="BG40" s="86">
        <v>1.6E-2</v>
      </c>
      <c r="BH40" s="69"/>
      <c r="BI40" s="69"/>
      <c r="BJ40" s="69"/>
      <c r="BK40" s="69"/>
      <c r="BL40" s="69"/>
      <c r="BM40" s="69"/>
      <c r="BN40" s="69"/>
      <c r="BO40" s="69"/>
      <c r="BP40" s="69"/>
      <c r="BQ40" s="69"/>
      <c r="BR40" s="69"/>
      <c r="BS40" s="69"/>
      <c r="BT40" s="69"/>
      <c r="BU40" s="70"/>
    </row>
    <row r="41" spans="2:73">
      <c r="B41">
        <v>1</v>
      </c>
      <c r="C41" s="4">
        <f t="shared" si="101"/>
        <v>1.2093004951597051</v>
      </c>
      <c r="D41" s="4">
        <f t="shared" si="101"/>
        <v>2.0429179306332235</v>
      </c>
      <c r="E41" s="4">
        <f t="shared" si="101"/>
        <v>1.7522328877210938</v>
      </c>
      <c r="F41" s="4">
        <f t="shared" si="101"/>
        <v>2.0209327827778822</v>
      </c>
      <c r="G41" s="4">
        <f t="shared" si="101"/>
        <v>1.930210153281094</v>
      </c>
      <c r="H41" s="4">
        <f t="shared" si="101"/>
        <v>-8.7739243075051505E-3</v>
      </c>
      <c r="I41" s="4">
        <f t="shared" si="101"/>
        <v>1.7171876852961661</v>
      </c>
      <c r="J41" s="4">
        <f t="shared" si="101"/>
        <v>0.32735893438633035</v>
      </c>
      <c r="K41" s="4">
        <f t="shared" si="101"/>
        <v>-8.7739243075051505E-3</v>
      </c>
      <c r="L41" s="4">
        <f t="shared" si="101"/>
        <v>0.97053282976832422</v>
      </c>
      <c r="M41" s="4">
        <f t="shared" si="101"/>
        <v>1.1767566672452585</v>
      </c>
      <c r="N41" s="4">
        <f t="shared" si="101"/>
        <v>0.58353881925435214</v>
      </c>
      <c r="O41" s="38">
        <f t="shared" ref="O41:P41" si="133">LOG10(O115)</f>
        <v>-8.7739243075051505E-3</v>
      </c>
      <c r="P41" s="38">
        <f t="shared" si="133"/>
        <v>1.5395778833453091</v>
      </c>
      <c r="Q41" s="38">
        <f t="shared" si="101"/>
        <v>0.40705081480425032</v>
      </c>
      <c r="R41" s="70"/>
      <c r="S41">
        <v>0.75</v>
      </c>
      <c r="T41" s="13">
        <f>AVERAGE(G104:G106)</f>
        <v>77.584666666666664</v>
      </c>
      <c r="U41" s="13">
        <f t="shared" ref="U41:AD41" si="134">AVERAGE(H104:H106)</f>
        <v>0.98</v>
      </c>
      <c r="V41" s="13">
        <f t="shared" si="134"/>
        <v>59.925333333333334</v>
      </c>
      <c r="W41" s="13">
        <f t="shared" si="134"/>
        <v>218.26766666666666</v>
      </c>
      <c r="X41" s="13">
        <f t="shared" si="134"/>
        <v>2.7573333333333334</v>
      </c>
      <c r="Y41" s="13">
        <f t="shared" si="134"/>
        <v>9.5149999999999988</v>
      </c>
      <c r="Z41" s="13">
        <f t="shared" si="134"/>
        <v>13.350999999999999</v>
      </c>
      <c r="AA41" s="13">
        <f t="shared" si="134"/>
        <v>10.268666666666666</v>
      </c>
      <c r="AB41" s="13">
        <f t="shared" si="134"/>
        <v>143.44666666666669</v>
      </c>
      <c r="AC41" s="13">
        <f t="shared" si="134"/>
        <v>119.01366666666667</v>
      </c>
      <c r="AD41" s="13">
        <f t="shared" si="134"/>
        <v>0.98</v>
      </c>
      <c r="AE41" s="77"/>
      <c r="AF41" s="77"/>
      <c r="AG41" s="77"/>
      <c r="AH41" s="77"/>
      <c r="AI41" s="70"/>
      <c r="AJ41" s="109">
        <f t="shared" si="108"/>
        <v>3.125E-2</v>
      </c>
      <c r="AK41" s="13">
        <v>0.75</v>
      </c>
      <c r="AL41" s="13">
        <f t="shared" si="109"/>
        <v>1.4992267304404137</v>
      </c>
      <c r="AM41" s="13">
        <f t="shared" si="110"/>
        <v>0.88889254987654476</v>
      </c>
      <c r="AN41" s="13">
        <f t="shared" si="114"/>
        <v>0.6103341805638689</v>
      </c>
      <c r="BC41" s="77"/>
      <c r="BD41" s="69"/>
      <c r="BE41" s="69"/>
      <c r="BF41" s="69">
        <f>35*24</f>
        <v>840</v>
      </c>
      <c r="BG41" s="86">
        <v>1.6E-2</v>
      </c>
      <c r="BH41" s="69"/>
      <c r="BI41" s="69"/>
      <c r="BJ41" s="69"/>
      <c r="BK41" s="69"/>
      <c r="BL41" s="69"/>
      <c r="BM41" s="69"/>
      <c r="BN41" s="69"/>
      <c r="BO41" s="69"/>
      <c r="BP41" s="69"/>
      <c r="BQ41" s="69"/>
      <c r="BR41" s="69"/>
      <c r="BS41" s="69"/>
      <c r="BT41" s="69"/>
      <c r="BU41" s="70"/>
    </row>
    <row r="42" spans="2:73">
      <c r="B42">
        <v>2</v>
      </c>
      <c r="C42" s="80">
        <f t="shared" si="101"/>
        <v>1.1879435290625271</v>
      </c>
      <c r="D42" s="80">
        <f t="shared" si="101"/>
        <v>1.2829391657547735</v>
      </c>
      <c r="E42" s="80">
        <f t="shared" si="101"/>
        <v>1.7807852049682986</v>
      </c>
      <c r="F42" s="80">
        <f t="shared" si="101"/>
        <v>1.0547279320821981</v>
      </c>
      <c r="G42" s="80">
        <f t="shared" si="101"/>
        <v>1.9325092779607809</v>
      </c>
      <c r="H42" s="80">
        <f t="shared" si="101"/>
        <v>-8.7739243075051505E-3</v>
      </c>
      <c r="I42" s="80">
        <f t="shared" si="101"/>
        <v>1.5712428505602238</v>
      </c>
      <c r="J42" s="80">
        <f t="shared" si="101"/>
        <v>1.548941916664869</v>
      </c>
      <c r="K42" s="4">
        <f t="shared" ref="K42" si="135">LOG10(K116)</f>
        <v>-8.7739243075051505E-3</v>
      </c>
      <c r="L42" s="80">
        <f t="shared" si="101"/>
        <v>-8.7739243075051505E-3</v>
      </c>
      <c r="M42" s="80">
        <f t="shared" si="101"/>
        <v>0.54691264318124255</v>
      </c>
      <c r="N42" s="80">
        <f t="shared" si="101"/>
        <v>0.21192108430850939</v>
      </c>
      <c r="O42" s="38">
        <f t="shared" ref="O42:P42" si="136">LOG10(O116)</f>
        <v>-8.7739243075051505E-3</v>
      </c>
      <c r="P42" s="38">
        <f t="shared" si="136"/>
        <v>-8.7739243075051505E-3</v>
      </c>
      <c r="Q42" s="38" t="s">
        <v>210</v>
      </c>
      <c r="R42" s="70"/>
      <c r="S42">
        <v>0.83299999999999996</v>
      </c>
      <c r="T42" s="13">
        <f>AVERAGE(G107:G109)</f>
        <v>73.987000000000009</v>
      </c>
      <c r="U42" s="13">
        <f t="shared" ref="U42:AD42" si="137">AVERAGE(H107:H109)</f>
        <v>0.98</v>
      </c>
      <c r="V42" s="13">
        <f t="shared" si="137"/>
        <v>19.880666666666666</v>
      </c>
      <c r="W42" s="13">
        <f t="shared" si="137"/>
        <v>125.79333333333334</v>
      </c>
      <c r="X42" s="13">
        <f t="shared" si="137"/>
        <v>0.98</v>
      </c>
      <c r="Y42" s="13">
        <f t="shared" si="137"/>
        <v>10.048666666666668</v>
      </c>
      <c r="Z42" s="13">
        <f t="shared" si="137"/>
        <v>15.818</v>
      </c>
      <c r="AA42" s="13">
        <f t="shared" si="137"/>
        <v>9.9829999999999988</v>
      </c>
      <c r="AB42" s="13">
        <f t="shared" si="137"/>
        <v>65.391333333333336</v>
      </c>
      <c r="AC42" s="13">
        <f t="shared" si="137"/>
        <v>83.032333333333327</v>
      </c>
      <c r="AD42" s="13">
        <f t="shared" si="137"/>
        <v>0.98</v>
      </c>
      <c r="AE42" s="77"/>
      <c r="AF42" s="77"/>
      <c r="AG42" s="77"/>
      <c r="AH42" s="77"/>
      <c r="AI42" s="70"/>
      <c r="AJ42" s="109">
        <f t="shared" si="108"/>
        <v>3.4708333333333334E-2</v>
      </c>
      <c r="AK42" s="13">
        <v>0.83299999999999996</v>
      </c>
      <c r="AL42" s="13">
        <f t="shared" si="109"/>
        <v>1.3138769506217072</v>
      </c>
      <c r="AM42" s="13">
        <f t="shared" si="110"/>
        <v>0.79789877256725095</v>
      </c>
      <c r="AN42" s="13">
        <f t="shared" si="114"/>
        <v>0.51597817805445623</v>
      </c>
      <c r="BC42" s="77"/>
      <c r="BD42" s="69"/>
      <c r="BE42" s="69"/>
      <c r="BF42" s="69">
        <f>24*38</f>
        <v>912</v>
      </c>
      <c r="BG42" s="86">
        <v>1.6E-2</v>
      </c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70"/>
    </row>
    <row r="43" spans="2:73">
      <c r="B43">
        <v>2</v>
      </c>
      <c r="C43" s="80">
        <f t="shared" si="101"/>
        <v>1.1972254061181919</v>
      </c>
      <c r="D43" s="80">
        <f t="shared" si="101"/>
        <v>1.2871296207191107</v>
      </c>
      <c r="E43" s="80">
        <f t="shared" si="101"/>
        <v>1.7802308767767645</v>
      </c>
      <c r="F43" s="80">
        <f t="shared" si="101"/>
        <v>1.0640459628644827</v>
      </c>
      <c r="G43" s="80">
        <f t="shared" si="101"/>
        <v>1.9397987085618293</v>
      </c>
      <c r="H43" s="80">
        <f t="shared" si="101"/>
        <v>-8.7739243075051505E-3</v>
      </c>
      <c r="I43" s="80">
        <f t="shared" si="101"/>
        <v>-8.7739243075051505E-3</v>
      </c>
      <c r="J43" s="80">
        <f t="shared" si="101"/>
        <v>1.5450348237554345</v>
      </c>
      <c r="K43" s="4">
        <f t="shared" ref="K43" si="138">LOG10(K117)</f>
        <v>-8.7739243075051505E-3</v>
      </c>
      <c r="L43" s="80">
        <f t="shared" si="101"/>
        <v>-8.7739243075051505E-3</v>
      </c>
      <c r="M43" s="80">
        <f t="shared" si="101"/>
        <v>0.5502283530550941</v>
      </c>
      <c r="N43" s="80">
        <f t="shared" si="101"/>
        <v>0.19589965240923377</v>
      </c>
      <c r="O43" s="38">
        <f t="shared" ref="O43:P43" si="139">LOG10(O117)</f>
        <v>-8.7739243075051505E-3</v>
      </c>
      <c r="P43" s="38">
        <f t="shared" si="139"/>
        <v>-8.7739243075051505E-3</v>
      </c>
      <c r="Q43" s="38">
        <f t="shared" ref="Q43" si="140">LOG10(Q117)</f>
        <v>-8.7739243075051505E-3</v>
      </c>
      <c r="R43" s="70"/>
      <c r="S43">
        <v>0.91700000000000004</v>
      </c>
      <c r="T43" s="13">
        <f>AVERAGE(G110:G112)</f>
        <v>82.298999999999992</v>
      </c>
      <c r="U43" s="13">
        <f t="shared" ref="U43:AD43" si="141">AVERAGE(H110:H112)</f>
        <v>0.98</v>
      </c>
      <c r="V43" s="13">
        <f t="shared" si="141"/>
        <v>69.768333333333331</v>
      </c>
      <c r="W43" s="13">
        <f t="shared" si="141"/>
        <v>68.596000000000004</v>
      </c>
      <c r="X43" s="13">
        <f t="shared" si="141"/>
        <v>0.98</v>
      </c>
      <c r="Y43" s="13">
        <f t="shared" si="141"/>
        <v>12.828666666666665</v>
      </c>
      <c r="Z43" s="13">
        <f t="shared" si="141"/>
        <v>10.864333333333333</v>
      </c>
      <c r="AA43" s="13">
        <f t="shared" si="141"/>
        <v>5.7636666666666665</v>
      </c>
      <c r="AB43" s="13">
        <f t="shared" si="141"/>
        <v>0.98</v>
      </c>
      <c r="AC43" s="13">
        <f t="shared" si="141"/>
        <v>55.237333333333332</v>
      </c>
      <c r="AD43" s="13">
        <f t="shared" si="141"/>
        <v>0.98</v>
      </c>
      <c r="AE43" s="77"/>
      <c r="AF43" s="77"/>
      <c r="AG43" s="77"/>
      <c r="AH43" s="77"/>
      <c r="AI43" s="70"/>
      <c r="AJ43" s="109">
        <f t="shared" si="108"/>
        <v>3.8208333333333337E-2</v>
      </c>
      <c r="AK43" s="13">
        <v>0.91700000000000004</v>
      </c>
      <c r="AL43" s="13">
        <f t="shared" si="109"/>
        <v>1.2712756950659532</v>
      </c>
      <c r="AM43" s="13">
        <f t="shared" si="110"/>
        <v>0.72400172344349878</v>
      </c>
      <c r="AN43" s="13">
        <f t="shared" si="114"/>
        <v>0.54727397162245439</v>
      </c>
      <c r="BC43" s="77"/>
      <c r="BD43" s="69"/>
      <c r="BE43" s="69"/>
      <c r="BF43" s="69">
        <f>24*41</f>
        <v>984</v>
      </c>
      <c r="BG43" s="86">
        <v>1.6E-2</v>
      </c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70"/>
    </row>
    <row r="44" spans="2:73">
      <c r="B44">
        <v>2</v>
      </c>
      <c r="C44" s="80">
        <f t="shared" ref="C44:O47" si="142">LOG10(C118)</f>
        <v>1.1944033259100062</v>
      </c>
      <c r="D44" s="80">
        <f t="shared" si="142"/>
        <v>1.289945516176668</v>
      </c>
      <c r="E44" s="80">
        <f t="shared" si="142"/>
        <v>1.7770714110641297</v>
      </c>
      <c r="F44" s="80">
        <f t="shared" si="142"/>
        <v>1.0622434410264781</v>
      </c>
      <c r="G44" s="80">
        <f t="shared" si="142"/>
        <v>1.9371616846812707</v>
      </c>
      <c r="H44" s="80">
        <f t="shared" si="142"/>
        <v>-8.7739243075051505E-3</v>
      </c>
      <c r="I44" s="80">
        <f t="shared" si="142"/>
        <v>-8.7739243075051505E-3</v>
      </c>
      <c r="J44" s="80">
        <f t="shared" si="142"/>
        <v>1.5486841714830051</v>
      </c>
      <c r="K44" s="4">
        <f t="shared" si="142"/>
        <v>-8.7739243075051505E-3</v>
      </c>
      <c r="L44" s="80">
        <f t="shared" si="142"/>
        <v>-8.7739243075051505E-3</v>
      </c>
      <c r="M44" s="80">
        <f t="shared" si="142"/>
        <v>0.57030938543587972</v>
      </c>
      <c r="N44" s="80">
        <f t="shared" si="142"/>
        <v>0.17695898058690812</v>
      </c>
      <c r="O44" s="38">
        <f t="shared" si="142"/>
        <v>-8.7739243075051505E-3</v>
      </c>
      <c r="P44" s="38">
        <f t="shared" ref="P44" si="143">LOG10(P118)</f>
        <v>-8.7739243075051505E-3</v>
      </c>
      <c r="Q44" s="38">
        <f t="shared" ref="Q44" si="144">LOG10(Q118)</f>
        <v>-8.7739243075051505E-3</v>
      </c>
      <c r="R44" s="70"/>
      <c r="S44">
        <v>1</v>
      </c>
      <c r="T44" s="13">
        <f>AVERAGE(G113:G115)</f>
        <v>86.057333333333347</v>
      </c>
      <c r="U44" s="13">
        <f t="shared" ref="U44:AD44" si="145">AVERAGE(H113:H115)</f>
        <v>0.98</v>
      </c>
      <c r="V44" s="13">
        <f t="shared" si="145"/>
        <v>18.034000000000002</v>
      </c>
      <c r="W44" s="13">
        <f t="shared" si="145"/>
        <v>2.6590000000000003</v>
      </c>
      <c r="X44" s="13">
        <f t="shared" si="145"/>
        <v>0.98</v>
      </c>
      <c r="Y44" s="13">
        <f t="shared" si="145"/>
        <v>9.4843333333333337</v>
      </c>
      <c r="Z44" s="13">
        <f t="shared" si="145"/>
        <v>15.095666666666666</v>
      </c>
      <c r="AA44" s="13">
        <f t="shared" si="145"/>
        <v>3.8520000000000003</v>
      </c>
      <c r="AB44" s="13">
        <f t="shared" si="145"/>
        <v>0.98</v>
      </c>
      <c r="AC44" s="13">
        <f t="shared" si="145"/>
        <v>34.578333333333333</v>
      </c>
      <c r="AD44" s="13">
        <f t="shared" si="145"/>
        <v>2.5283333333333333</v>
      </c>
      <c r="AE44" s="77"/>
      <c r="AF44" s="77"/>
      <c r="AG44" s="77"/>
      <c r="AH44" s="77"/>
      <c r="AI44" s="70"/>
      <c r="AJ44" s="109">
        <f t="shared" si="108"/>
        <v>4.1666666666666664E-2</v>
      </c>
      <c r="AK44">
        <v>1</v>
      </c>
      <c r="AL44" s="13">
        <f t="shared" si="109"/>
        <v>0.71741753100928185</v>
      </c>
      <c r="AM44" s="13">
        <f t="shared" si="110"/>
        <v>0.68317344325503304</v>
      </c>
      <c r="AN44" s="13">
        <f t="shared" si="114"/>
        <v>3.4244087754248809E-2</v>
      </c>
      <c r="BC44" s="77"/>
      <c r="BD44" s="69"/>
      <c r="BE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  <c r="BR44" s="69"/>
      <c r="BS44" s="69"/>
      <c r="BT44" s="69"/>
      <c r="BU44" s="70"/>
    </row>
    <row r="45" spans="2:73">
      <c r="B45">
        <v>3</v>
      </c>
      <c r="C45" s="4">
        <f t="shared" si="142"/>
        <v>1.433241641112682</v>
      </c>
      <c r="D45" s="4">
        <f t="shared" si="142"/>
        <v>1.4439354274224243</v>
      </c>
      <c r="E45" s="4">
        <f t="shared" si="142"/>
        <v>1.7102104787023522</v>
      </c>
      <c r="F45" s="4">
        <f t="shared" si="142"/>
        <v>1.1975837690357769</v>
      </c>
      <c r="G45" s="4">
        <f t="shared" si="142"/>
        <v>2.0712927338345746</v>
      </c>
      <c r="H45" s="4">
        <f t="shared" si="142"/>
        <v>2.1513269397102315</v>
      </c>
      <c r="I45" s="80">
        <f t="shared" ref="I45" si="146">LOG10(I119)</f>
        <v>-8.7739243075051505E-3</v>
      </c>
      <c r="J45" s="4">
        <f t="shared" si="142"/>
        <v>1.8889597361225738</v>
      </c>
      <c r="K45" s="4">
        <f t="shared" si="142"/>
        <v>-8.7739243075051505E-3</v>
      </c>
      <c r="L45" s="4">
        <f t="shared" si="142"/>
        <v>-8.7739243075051505E-3</v>
      </c>
      <c r="M45" s="4">
        <f t="shared" si="142"/>
        <v>0.16524432612531087</v>
      </c>
      <c r="N45" s="4">
        <f t="shared" si="142"/>
        <v>0.47741068790725155</v>
      </c>
      <c r="O45" s="38">
        <f t="shared" si="142"/>
        <v>-8.7739243075051505E-3</v>
      </c>
      <c r="P45" s="38">
        <f t="shared" ref="P45" si="147">LOG10(P119)</f>
        <v>-8.7739243075051505E-3</v>
      </c>
      <c r="Q45" s="38">
        <f t="shared" ref="Q45" si="148">LOG10(Q119)</f>
        <v>-8.7739243075051505E-3</v>
      </c>
      <c r="R45" s="70"/>
      <c r="S45">
        <v>2</v>
      </c>
      <c r="T45" s="13">
        <f>AVERAGE(G116:G118)</f>
        <v>86.397333333333336</v>
      </c>
      <c r="U45" s="13">
        <f t="shared" ref="U45:AD45" si="149">AVERAGE(H116:H118)</f>
        <v>0.98</v>
      </c>
      <c r="V45" s="13">
        <f t="shared" si="149"/>
        <v>13.073333333333331</v>
      </c>
      <c r="W45" s="13">
        <f t="shared" si="149"/>
        <v>35.282333333333334</v>
      </c>
      <c r="X45" s="13">
        <f t="shared" si="149"/>
        <v>0.98</v>
      </c>
      <c r="Y45" s="13">
        <f t="shared" si="149"/>
        <v>0.98</v>
      </c>
      <c r="Z45" s="13">
        <f t="shared" si="149"/>
        <v>3.597</v>
      </c>
      <c r="AA45" s="13">
        <f t="shared" si="149"/>
        <v>1.5673333333333332</v>
      </c>
      <c r="AB45" s="13">
        <f t="shared" si="149"/>
        <v>0.98</v>
      </c>
      <c r="AC45" s="13">
        <f t="shared" si="149"/>
        <v>0.98</v>
      </c>
      <c r="AD45" s="13">
        <f t="shared" si="149"/>
        <v>0.98</v>
      </c>
      <c r="AE45" s="77"/>
      <c r="AF45" s="77"/>
      <c r="AG45" s="77"/>
      <c r="AH45" s="77"/>
      <c r="AI45" s="70"/>
      <c r="AJ45" s="109">
        <f t="shared" si="108"/>
        <v>8.3333333333333329E-2</v>
      </c>
      <c r="AK45">
        <v>2</v>
      </c>
      <c r="AL45" s="13">
        <f t="shared" si="109"/>
        <v>0.99829198434415733</v>
      </c>
      <c r="AM45" s="13">
        <f t="shared" si="110"/>
        <v>0.18329887942765302</v>
      </c>
      <c r="AN45" s="13">
        <f t="shared" si="114"/>
        <v>0.81499310491650434</v>
      </c>
      <c r="BC45" s="77"/>
      <c r="BD45" s="69"/>
      <c r="BE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70"/>
    </row>
    <row r="46" spans="2:73">
      <c r="B46">
        <v>3</v>
      </c>
      <c r="C46" s="4">
        <f t="shared" si="142"/>
        <v>1.4368779277106576</v>
      </c>
      <c r="D46" s="4">
        <f t="shared" si="142"/>
        <v>1.4460709357010051</v>
      </c>
      <c r="E46" s="4">
        <f t="shared" si="142"/>
        <v>1.7226832713756246</v>
      </c>
      <c r="F46" s="4">
        <f t="shared" si="142"/>
        <v>1.1931802735653452</v>
      </c>
      <c r="G46" s="4">
        <f t="shared" si="142"/>
        <v>2.0653145012783121</v>
      </c>
      <c r="H46" s="4">
        <f t="shared" si="142"/>
        <v>2.2187979981117376</v>
      </c>
      <c r="I46" s="80">
        <f t="shared" ref="I46" si="150">LOG10(I120)</f>
        <v>-8.7739243075051505E-3</v>
      </c>
      <c r="J46" s="4">
        <f t="shared" si="142"/>
        <v>1.8865922366933412</v>
      </c>
      <c r="K46" s="4">
        <f t="shared" si="142"/>
        <v>-8.7739243075051505E-3</v>
      </c>
      <c r="L46" s="4">
        <f t="shared" si="142"/>
        <v>-8.7739243075051505E-3</v>
      </c>
      <c r="M46" s="4">
        <f t="shared" si="142"/>
        <v>0.1228709228644355</v>
      </c>
      <c r="N46" s="4">
        <f t="shared" si="142"/>
        <v>0.45484486000851021</v>
      </c>
      <c r="O46" s="38">
        <f t="shared" si="142"/>
        <v>-8.7739243075051505E-3</v>
      </c>
      <c r="P46" s="38">
        <f t="shared" ref="P46" si="151">LOG10(P120)</f>
        <v>-8.7739243075051505E-3</v>
      </c>
      <c r="Q46" s="38">
        <f t="shared" ref="Q46" si="152">LOG10(Q120)</f>
        <v>-8.7739243075051505E-3</v>
      </c>
      <c r="R46" s="70"/>
      <c r="S46">
        <v>3</v>
      </c>
      <c r="T46" s="13">
        <f>AVERAGE(G119:G121)</f>
        <v>117.56066666666668</v>
      </c>
      <c r="U46" s="13">
        <f t="shared" ref="U46:AD46" si="153">AVERAGE(H119:H121)</f>
        <v>148.57066666666668</v>
      </c>
      <c r="V46" s="13">
        <f t="shared" si="153"/>
        <v>0.98</v>
      </c>
      <c r="W46" s="13">
        <f t="shared" si="153"/>
        <v>78.286333333333332</v>
      </c>
      <c r="X46" s="13">
        <f t="shared" si="153"/>
        <v>0.98</v>
      </c>
      <c r="Y46" s="13">
        <f t="shared" si="153"/>
        <v>0.98</v>
      </c>
      <c r="Z46" s="13">
        <f t="shared" si="153"/>
        <v>1.319</v>
      </c>
      <c r="AA46" s="13">
        <f t="shared" si="153"/>
        <v>2.9060000000000001</v>
      </c>
      <c r="AB46" s="13">
        <f t="shared" si="153"/>
        <v>0.98</v>
      </c>
      <c r="AC46" s="13">
        <f t="shared" si="153"/>
        <v>0.98</v>
      </c>
      <c r="AD46" s="13">
        <f t="shared" si="153"/>
        <v>0.98</v>
      </c>
      <c r="AE46" s="77"/>
      <c r="AF46" s="77"/>
      <c r="AG46" s="77"/>
      <c r="AH46" s="77"/>
      <c r="AI46" s="70"/>
      <c r="AJ46" s="109">
        <f t="shared" si="108"/>
        <v>0.125</v>
      </c>
      <c r="AK46">
        <v>3</v>
      </c>
      <c r="AL46" s="13">
        <f t="shared" si="109"/>
        <v>1.5314077340925272</v>
      </c>
      <c r="AM46" s="13">
        <f t="shared" si="110"/>
        <v>0.14100619109726442</v>
      </c>
      <c r="AN46" s="13">
        <f t="shared" si="114"/>
        <v>1.3904015429952628</v>
      </c>
      <c r="BC46" s="77"/>
      <c r="BD46" s="69"/>
      <c r="BE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  <c r="BR46" s="69"/>
      <c r="BS46" s="69"/>
      <c r="BT46" s="69"/>
      <c r="BU46" s="70"/>
    </row>
    <row r="47" spans="2:73">
      <c r="B47">
        <v>3</v>
      </c>
      <c r="C47" s="4">
        <f>LOG10(C121)</f>
        <v>1.4279078644992482</v>
      </c>
      <c r="D47" s="4">
        <f t="shared" si="142"/>
        <v>1.4416637207987992</v>
      </c>
      <c r="E47" s="4">
        <f t="shared" si="142"/>
        <v>1.7168460590061283</v>
      </c>
      <c r="F47" s="4">
        <f t="shared" si="142"/>
        <v>1.1944033259100062</v>
      </c>
      <c r="G47" s="4">
        <f t="shared" si="142"/>
        <v>2.0741322903677184</v>
      </c>
      <c r="H47" s="4">
        <f t="shared" si="142"/>
        <v>2.1415312939549471</v>
      </c>
      <c r="I47" s="80">
        <f t="shared" ref="I47" si="154">LOG10(I121)</f>
        <v>-8.7739243075051505E-3</v>
      </c>
      <c r="J47" s="4">
        <f t="shared" si="142"/>
        <v>1.9052668519594045</v>
      </c>
      <c r="K47" s="4">
        <f t="shared" si="142"/>
        <v>-8.7739243075051505E-3</v>
      </c>
      <c r="L47" s="4">
        <f t="shared" si="142"/>
        <v>-8.7739243075051505E-3</v>
      </c>
      <c r="M47" s="4">
        <f t="shared" si="142"/>
        <v>6.7070856045370192E-2</v>
      </c>
      <c r="N47" s="4">
        <f t="shared" si="142"/>
        <v>0.4572761860613257</v>
      </c>
      <c r="O47" s="38">
        <f t="shared" si="142"/>
        <v>-8.7739243075051505E-3</v>
      </c>
      <c r="P47" s="38">
        <f t="shared" ref="P47" si="155">LOG10(P121)</f>
        <v>-8.7739243075051505E-3</v>
      </c>
      <c r="Q47" s="38">
        <f t="shared" ref="Q47" si="156">LOG10(Q121)</f>
        <v>-8.7739243075051505E-3</v>
      </c>
      <c r="R47" s="70"/>
      <c r="S47">
        <v>4</v>
      </c>
      <c r="T47" s="13">
        <f>AVERAGE(G122:G124)</f>
        <v>118.59066666666666</v>
      </c>
      <c r="U47" s="13">
        <f t="shared" ref="U47:AD47" si="157">AVERAGE(H122:H124)</f>
        <v>137.95899999999997</v>
      </c>
      <c r="V47" s="13">
        <f t="shared" si="157"/>
        <v>20.959666666666667</v>
      </c>
      <c r="W47" s="13">
        <f t="shared" si="157"/>
        <v>92.47699999999999</v>
      </c>
      <c r="X47" s="13">
        <f t="shared" si="157"/>
        <v>0.98</v>
      </c>
      <c r="Y47" s="13">
        <f t="shared" si="157"/>
        <v>0.98</v>
      </c>
      <c r="Z47" s="13">
        <f t="shared" si="157"/>
        <v>5.4249999999999998</v>
      </c>
      <c r="AA47" s="13">
        <f t="shared" si="157"/>
        <v>3.5833333333333335</v>
      </c>
      <c r="AB47" s="13">
        <f t="shared" si="157"/>
        <v>0.98</v>
      </c>
      <c r="AC47" s="13">
        <f t="shared" si="157"/>
        <v>0.98</v>
      </c>
      <c r="AD47" s="13">
        <f t="shared" si="157"/>
        <v>0.98</v>
      </c>
      <c r="AE47" s="77"/>
      <c r="AF47" s="77"/>
      <c r="AG47" s="77"/>
      <c r="AH47" s="77"/>
      <c r="AI47" s="70"/>
      <c r="AJ47" s="109">
        <f t="shared" si="108"/>
        <v>0.16666666666666666</v>
      </c>
      <c r="AK47">
        <v>4</v>
      </c>
      <c r="AL47" s="13">
        <f t="shared" si="109"/>
        <v>1.691885088281355</v>
      </c>
      <c r="AM47" s="13">
        <f t="shared" si="110"/>
        <v>0.31774524972733842</v>
      </c>
      <c r="AN47" s="13">
        <f t="shared" si="114"/>
        <v>1.3741398385540164</v>
      </c>
      <c r="BC47" s="77"/>
      <c r="BD47" s="69"/>
      <c r="BE47" s="69"/>
      <c r="BH47" s="69"/>
      <c r="BI47" s="69"/>
      <c r="BJ47" s="69"/>
      <c r="BK47" s="69"/>
      <c r="BL47" s="69"/>
      <c r="BM47" s="69"/>
      <c r="BN47" s="69"/>
      <c r="BO47" s="69"/>
      <c r="BP47" s="69"/>
      <c r="BQ47" s="69"/>
      <c r="BR47" s="69"/>
      <c r="BS47" s="69"/>
      <c r="BT47" s="69"/>
      <c r="BU47" s="70"/>
    </row>
    <row r="48" spans="2:73">
      <c r="B48">
        <v>4</v>
      </c>
      <c r="C48" s="80">
        <f t="shared" ref="C48:Q63" si="158">LOG10(C122)</f>
        <v>2.1111280363451241</v>
      </c>
      <c r="D48" s="80">
        <f t="shared" si="158"/>
        <v>1.4757873719746419</v>
      </c>
      <c r="E48" s="80">
        <f t="shared" si="158"/>
        <v>1.6827586141990916</v>
      </c>
      <c r="F48" s="80">
        <f t="shared" si="158"/>
        <v>1.2525617862063294</v>
      </c>
      <c r="G48" s="80">
        <f t="shared" si="158"/>
        <v>2.0776984973998074</v>
      </c>
      <c r="H48" s="80">
        <f t="shared" si="158"/>
        <v>2.1158300993373143</v>
      </c>
      <c r="I48" s="80">
        <f t="shared" si="158"/>
        <v>-8.7739243075051505E-3</v>
      </c>
      <c r="J48" s="80">
        <f t="shared" si="158"/>
        <v>1.9685062970919855</v>
      </c>
      <c r="K48" s="80">
        <f t="shared" si="158"/>
        <v>-8.7739243075051505E-3</v>
      </c>
      <c r="L48" s="80">
        <f t="shared" si="158"/>
        <v>-8.7739243075051505E-3</v>
      </c>
      <c r="M48" s="80">
        <f t="shared" si="158"/>
        <v>0.72435780422642648</v>
      </c>
      <c r="N48" s="80">
        <f t="shared" si="158"/>
        <v>0.56086269472746475</v>
      </c>
      <c r="O48" s="38">
        <f t="shared" si="158"/>
        <v>-8.7739243075051505E-3</v>
      </c>
      <c r="P48" s="38">
        <f t="shared" ref="P48" si="159">LOG10(P122)</f>
        <v>-8.7739243075051505E-3</v>
      </c>
      <c r="Q48" s="38">
        <f t="shared" ref="Q48" si="160">LOG10(Q122)</f>
        <v>-8.7739243075051505E-3</v>
      </c>
      <c r="R48" s="70"/>
      <c r="S48">
        <v>5</v>
      </c>
      <c r="T48" s="13">
        <f>AVERAGE(G125:G127)</f>
        <v>163.26133333333334</v>
      </c>
      <c r="U48" s="13">
        <f t="shared" ref="U48:AD48" si="161">AVERAGE(H125:H127)</f>
        <v>276.10233333333332</v>
      </c>
      <c r="V48" s="13">
        <f t="shared" si="161"/>
        <v>50.945333333333338</v>
      </c>
      <c r="W48" s="13">
        <f t="shared" si="161"/>
        <v>100.59133333333334</v>
      </c>
      <c r="X48" s="13">
        <f t="shared" si="161"/>
        <v>0.98</v>
      </c>
      <c r="Y48" s="13">
        <f t="shared" si="161"/>
        <v>0.98</v>
      </c>
      <c r="Z48" s="13">
        <f t="shared" si="161"/>
        <v>3.8460000000000001</v>
      </c>
      <c r="AA48" s="13">
        <f t="shared" si="161"/>
        <v>3.3686666666666665</v>
      </c>
      <c r="AB48" s="13">
        <f t="shared" si="161"/>
        <v>0.98</v>
      </c>
      <c r="AC48" s="13">
        <f t="shared" si="161"/>
        <v>0.98</v>
      </c>
      <c r="AD48" s="13">
        <f t="shared" si="161"/>
        <v>0.98</v>
      </c>
      <c r="AE48" s="77"/>
      <c r="AF48" s="77"/>
      <c r="AG48" s="77"/>
      <c r="AH48" s="77"/>
      <c r="AI48" s="70"/>
      <c r="AJ48" s="109">
        <f t="shared" si="108"/>
        <v>0.20833333333333334</v>
      </c>
      <c r="AK48">
        <v>5</v>
      </c>
      <c r="AL48" s="13">
        <f t="shared" si="109"/>
        <v>1.9766777301030811</v>
      </c>
      <c r="AM48" s="13">
        <f t="shared" si="110"/>
        <v>0.27369839709408611</v>
      </c>
      <c r="AN48" s="13">
        <f t="shared" si="114"/>
        <v>1.7029793330089951</v>
      </c>
      <c r="BC48" s="77"/>
      <c r="BD48" s="69"/>
      <c r="BE48" s="69"/>
      <c r="BH48" s="69"/>
      <c r="BI48" s="69"/>
      <c r="BJ48" s="69"/>
      <c r="BK48" s="69"/>
      <c r="BL48" s="69"/>
      <c r="BM48" s="69"/>
      <c r="BN48" s="69"/>
      <c r="BO48" s="69"/>
      <c r="BP48" s="69"/>
      <c r="BQ48" s="69"/>
      <c r="BR48" s="69"/>
      <c r="BS48" s="69"/>
      <c r="BT48" s="69"/>
      <c r="BU48" s="70"/>
    </row>
    <row r="49" spans="2:73">
      <c r="B49">
        <v>4</v>
      </c>
      <c r="C49" s="80">
        <f t="shared" si="158"/>
        <v>2.1127591219173554</v>
      </c>
      <c r="D49" s="80">
        <f t="shared" si="158"/>
        <v>1.4722589923890326</v>
      </c>
      <c r="E49" s="80">
        <f t="shared" si="158"/>
        <v>1.6911434034200954</v>
      </c>
      <c r="F49" s="80">
        <f t="shared" si="158"/>
        <v>1.2467939187751549</v>
      </c>
      <c r="G49" s="80">
        <f t="shared" si="158"/>
        <v>2.0695015977790958</v>
      </c>
      <c r="H49" s="80">
        <f t="shared" si="158"/>
        <v>2.1132010769913538</v>
      </c>
      <c r="I49" s="80">
        <f t="shared" si="158"/>
        <v>-8.7739243075051505E-3</v>
      </c>
      <c r="J49" s="80">
        <f t="shared" si="158"/>
        <v>1.9676509217603022</v>
      </c>
      <c r="K49" s="80">
        <f t="shared" si="158"/>
        <v>-8.7739243075051505E-3</v>
      </c>
      <c r="L49" s="80">
        <f t="shared" si="158"/>
        <v>-8.7739243075051505E-3</v>
      </c>
      <c r="M49" s="80">
        <f t="shared" si="158"/>
        <v>0.73695395378314599</v>
      </c>
      <c r="N49" s="80">
        <f t="shared" si="158"/>
        <v>0.54120469068325838</v>
      </c>
      <c r="O49" s="38">
        <f t="shared" si="158"/>
        <v>-8.7739243075051505E-3</v>
      </c>
      <c r="P49" s="38">
        <f t="shared" ref="P49" si="162">LOG10(P123)</f>
        <v>-8.7739243075051505E-3</v>
      </c>
      <c r="Q49" s="38">
        <f t="shared" ref="Q49" si="163">LOG10(Q123)</f>
        <v>-8.7739243075051505E-3</v>
      </c>
      <c r="R49" s="70"/>
      <c r="S49">
        <v>6</v>
      </c>
      <c r="T49" s="13">
        <f>AVERAGE(G128:G130)</f>
        <v>150.899</v>
      </c>
      <c r="U49" s="13">
        <f t="shared" ref="U49:AD49" si="164">AVERAGE(H128:H130)</f>
        <v>247.61199999999999</v>
      </c>
      <c r="V49" s="13">
        <f t="shared" si="164"/>
        <v>56.146999999999998</v>
      </c>
      <c r="W49" s="13">
        <f t="shared" si="164"/>
        <v>47.609999999999992</v>
      </c>
      <c r="X49" s="13">
        <f t="shared" si="164"/>
        <v>0.98</v>
      </c>
      <c r="Y49" s="13">
        <f t="shared" si="164"/>
        <v>0.98</v>
      </c>
      <c r="Z49" s="13">
        <f t="shared" si="164"/>
        <v>6.0656666666666661</v>
      </c>
      <c r="AA49" s="13">
        <f t="shared" si="164"/>
        <v>0.98</v>
      </c>
      <c r="AB49" s="13">
        <f t="shared" si="164"/>
        <v>0.98</v>
      </c>
      <c r="AC49" s="13">
        <f t="shared" si="164"/>
        <v>0.98</v>
      </c>
      <c r="AD49" s="13">
        <f t="shared" si="164"/>
        <v>0.98</v>
      </c>
      <c r="AE49" s="77"/>
      <c r="AF49" s="77"/>
      <c r="AG49" s="77"/>
      <c r="AH49" s="77"/>
      <c r="AI49" s="70"/>
      <c r="AJ49" s="109">
        <f t="shared" si="108"/>
        <v>0.25</v>
      </c>
      <c r="AK49">
        <v>6</v>
      </c>
      <c r="AL49" s="13">
        <f t="shared" si="109"/>
        <v>1.7705548722789377</v>
      </c>
      <c r="AM49" s="13">
        <f t="shared" si="110"/>
        <v>0.18912170552139801</v>
      </c>
      <c r="AN49" s="13">
        <f t="shared" si="114"/>
        <v>1.5814331667575396</v>
      </c>
      <c r="BC49" s="77"/>
      <c r="BD49" s="69"/>
      <c r="BE49" s="69"/>
      <c r="BH49" s="69"/>
      <c r="BI49" s="69"/>
      <c r="BJ49" s="69"/>
      <c r="BK49" s="69"/>
      <c r="BL49" s="69"/>
      <c r="BM49" s="69"/>
      <c r="BN49" s="69"/>
      <c r="BO49" s="69"/>
      <c r="BP49" s="69"/>
      <c r="BQ49" s="69"/>
      <c r="BR49" s="69"/>
      <c r="BS49" s="69"/>
      <c r="BT49" s="69"/>
      <c r="BU49" s="70"/>
    </row>
    <row r="50" spans="2:73">
      <c r="B50">
        <v>4</v>
      </c>
      <c r="C50" s="80">
        <f t="shared" si="158"/>
        <v>2.1136893828267946</v>
      </c>
      <c r="D50" s="80">
        <f t="shared" si="158"/>
        <v>1.4750461681277978</v>
      </c>
      <c r="E50" s="80">
        <f t="shared" si="158"/>
        <v>1.6937445313402766</v>
      </c>
      <c r="F50" s="80">
        <f t="shared" si="158"/>
        <v>1.2491004771829224</v>
      </c>
      <c r="G50" s="80">
        <f t="shared" si="158"/>
        <v>2.0749114778597435</v>
      </c>
      <c r="H50" s="80">
        <f t="shared" si="158"/>
        <v>2.1862017360189419</v>
      </c>
      <c r="I50" s="80">
        <f t="shared" si="158"/>
        <v>1.7847527656744053</v>
      </c>
      <c r="J50" s="80">
        <f t="shared" si="158"/>
        <v>1.9619144380783207</v>
      </c>
      <c r="K50" s="80">
        <f t="shared" si="158"/>
        <v>-8.7739243075051505E-3</v>
      </c>
      <c r="L50" s="80">
        <f t="shared" si="158"/>
        <v>-8.7739243075051505E-3</v>
      </c>
      <c r="M50" s="80">
        <f t="shared" si="158"/>
        <v>0.74170298395773993</v>
      </c>
      <c r="N50" s="80">
        <f t="shared" si="158"/>
        <v>0.56050441519505656</v>
      </c>
      <c r="O50" s="38">
        <f t="shared" si="158"/>
        <v>-8.7739243075051505E-3</v>
      </c>
      <c r="P50" s="38">
        <f t="shared" ref="P50" si="165">LOG10(P124)</f>
        <v>-8.7739243075051505E-3</v>
      </c>
      <c r="Q50" s="38">
        <f t="shared" ref="Q50" si="166">LOG10(Q124)</f>
        <v>-8.7739243075051505E-3</v>
      </c>
      <c r="R50" s="70"/>
      <c r="S50">
        <v>7</v>
      </c>
      <c r="T50" s="13">
        <f>AVERAGE(G131:G133)</f>
        <v>150.01700000000002</v>
      </c>
      <c r="U50" s="13">
        <f t="shared" ref="U50:AC50" si="167">AVERAGE(H131:H133)</f>
        <v>235.74666666666667</v>
      </c>
      <c r="V50" s="13">
        <f t="shared" si="167"/>
        <v>89.655000000000015</v>
      </c>
      <c r="W50" s="13">
        <f t="shared" si="167"/>
        <v>77.61633333333333</v>
      </c>
      <c r="X50" s="13">
        <f t="shared" si="167"/>
        <v>0.98</v>
      </c>
      <c r="Y50" s="13">
        <f t="shared" si="167"/>
        <v>0.98</v>
      </c>
      <c r="Z50" s="13">
        <f t="shared" si="167"/>
        <v>5.1606666666666667</v>
      </c>
      <c r="AA50" s="13">
        <f t="shared" si="167"/>
        <v>0.98</v>
      </c>
      <c r="AB50" s="13">
        <f t="shared" si="167"/>
        <v>0.98</v>
      </c>
      <c r="AC50" s="13">
        <f t="shared" si="167"/>
        <v>0.98</v>
      </c>
      <c r="AD50" s="13"/>
      <c r="AE50" s="77"/>
      <c r="AF50" s="77"/>
      <c r="AG50" s="77"/>
      <c r="AH50" s="77"/>
      <c r="AI50" s="70"/>
      <c r="AJ50" s="109">
        <f t="shared" si="108"/>
        <v>0.29166666666666669</v>
      </c>
      <c r="AK50">
        <v>7</v>
      </c>
      <c r="AL50" s="13">
        <f t="shared" si="109"/>
        <v>2.0977193252183826</v>
      </c>
      <c r="AM50" s="13">
        <f t="shared" si="110"/>
        <v>0.1715604162551756</v>
      </c>
      <c r="AN50" s="13">
        <f t="shared" si="114"/>
        <v>1.926158908963207</v>
      </c>
      <c r="BC50" s="77"/>
      <c r="BD50" s="69"/>
      <c r="BE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70"/>
    </row>
    <row r="51" spans="2:73">
      <c r="B51">
        <v>5</v>
      </c>
      <c r="C51" s="80">
        <f t="shared" si="158"/>
        <v>-8.7739243075051505E-3</v>
      </c>
      <c r="D51" s="4">
        <f t="shared" si="158"/>
        <v>2.1911155223803065</v>
      </c>
      <c r="E51" s="4">
        <f t="shared" si="158"/>
        <v>1.4427462218289051</v>
      </c>
      <c r="F51" s="4">
        <f t="shared" si="158"/>
        <v>1.2699796766453237</v>
      </c>
      <c r="G51" s="4">
        <f t="shared" si="158"/>
        <v>2.2126003875884113</v>
      </c>
      <c r="H51" s="4">
        <f t="shared" si="158"/>
        <v>2.4595703914164027</v>
      </c>
      <c r="I51" s="4">
        <f t="shared" si="158"/>
        <v>1.8823423578958289</v>
      </c>
      <c r="J51" s="4">
        <f t="shared" si="158"/>
        <v>1.9977488733389588</v>
      </c>
      <c r="K51" s="4">
        <f t="shared" si="158"/>
        <v>-8.7739243075051505E-3</v>
      </c>
      <c r="L51" s="80">
        <f t="shared" ref="L51" si="168">LOG10(L125)</f>
        <v>-8.7739243075051505E-3</v>
      </c>
      <c r="M51" s="4">
        <f t="shared" si="158"/>
        <v>0.58523506336577535</v>
      </c>
      <c r="N51" s="4">
        <f t="shared" si="158"/>
        <v>0.54157924394658097</v>
      </c>
      <c r="O51" s="38">
        <f t="shared" si="158"/>
        <v>-8.7739243075051505E-3</v>
      </c>
      <c r="P51" s="38">
        <f t="shared" ref="P51" si="169">LOG10(P125)</f>
        <v>-8.7739243075051505E-3</v>
      </c>
      <c r="Q51" s="38">
        <f t="shared" ref="Q51" si="170">LOG10(Q125)</f>
        <v>-8.7739243075051505E-3</v>
      </c>
      <c r="R51" s="70"/>
      <c r="S51">
        <v>8</v>
      </c>
      <c r="T51" s="13">
        <f>AVERAGE(G134:G136)</f>
        <v>141.13866666666669</v>
      </c>
      <c r="U51" s="13">
        <f t="shared" ref="U51:AD51" si="171">AVERAGE(H134:H136)</f>
        <v>186.76233333333334</v>
      </c>
      <c r="V51" s="13">
        <f t="shared" si="171"/>
        <v>55.61033333333333</v>
      </c>
      <c r="W51" s="13"/>
      <c r="X51" s="13">
        <f t="shared" si="171"/>
        <v>0.98</v>
      </c>
      <c r="Y51" s="13">
        <f t="shared" si="171"/>
        <v>19.080666666666669</v>
      </c>
      <c r="Z51" s="13">
        <f t="shared" si="171"/>
        <v>3.8433333333333333</v>
      </c>
      <c r="AA51" s="13"/>
      <c r="AB51" s="13">
        <f t="shared" si="171"/>
        <v>0.98</v>
      </c>
      <c r="AC51" s="13">
        <f t="shared" si="171"/>
        <v>0.98</v>
      </c>
      <c r="AD51" s="13">
        <f t="shared" si="171"/>
        <v>0.98</v>
      </c>
      <c r="AE51" s="77"/>
      <c r="AF51" s="77"/>
      <c r="AG51" s="77"/>
      <c r="AH51" s="77"/>
      <c r="AI51" s="70"/>
      <c r="AJ51" s="109">
        <f t="shared" si="108"/>
        <v>0.33333333333333331</v>
      </c>
      <c r="AK51">
        <v>8</v>
      </c>
      <c r="AL51" s="13">
        <f t="shared" si="109"/>
        <v>1.8990034332786843</v>
      </c>
      <c r="AM51" s="13">
        <f t="shared" si="110"/>
        <v>0.61883889153940019</v>
      </c>
      <c r="AN51" s="13">
        <f t="shared" si="114"/>
        <v>1.2801645417392842</v>
      </c>
      <c r="BC51" s="77"/>
      <c r="BD51" s="69"/>
      <c r="BE51" s="69"/>
      <c r="BH51" s="69"/>
      <c r="BI51" s="69"/>
      <c r="BJ51" s="69"/>
      <c r="BK51" s="69"/>
      <c r="BL51" s="69"/>
      <c r="BM51" s="69"/>
      <c r="BN51" s="69"/>
      <c r="BO51" s="69"/>
      <c r="BP51" s="69"/>
      <c r="BQ51" s="69"/>
      <c r="BR51" s="69"/>
      <c r="BS51" s="69"/>
      <c r="BT51" s="69"/>
      <c r="BU51" s="70"/>
    </row>
    <row r="52" spans="2:73">
      <c r="B52">
        <v>5</v>
      </c>
      <c r="C52" s="4">
        <f t="shared" si="158"/>
        <v>2.2381013278174842</v>
      </c>
      <c r="D52" s="4">
        <f t="shared" si="158"/>
        <v>2.208398354856087</v>
      </c>
      <c r="E52" s="4">
        <f t="shared" si="158"/>
        <v>1.4385739902186339</v>
      </c>
      <c r="F52" s="4">
        <f t="shared" si="158"/>
        <v>1.2664198658791035</v>
      </c>
      <c r="G52" s="4">
        <f t="shared" si="158"/>
        <v>2.2157512105404522</v>
      </c>
      <c r="H52" s="4">
        <f t="shared" si="158"/>
        <v>2.445423598844624</v>
      </c>
      <c r="I52" s="4">
        <f t="shared" si="158"/>
        <v>-8.7739243075051505E-3</v>
      </c>
      <c r="J52" s="4">
        <f t="shared" si="158"/>
        <v>1.9932862958639046</v>
      </c>
      <c r="K52" s="4">
        <f t="shared" ref="K52" si="172">LOG10(K126)</f>
        <v>-8.7739243075051505E-3</v>
      </c>
      <c r="L52" s="80">
        <f t="shared" ref="L52" si="173">LOG10(L126)</f>
        <v>-8.7739243075051505E-3</v>
      </c>
      <c r="M52" s="4">
        <f t="shared" si="158"/>
        <v>0.5819496583733178</v>
      </c>
      <c r="N52" s="4">
        <f t="shared" si="158"/>
        <v>0.52179164963912339</v>
      </c>
      <c r="O52" s="38">
        <f t="shared" si="158"/>
        <v>-8.7739243075051505E-3</v>
      </c>
      <c r="P52" s="38">
        <f t="shared" ref="P52" si="174">LOG10(P126)</f>
        <v>-8.7739243075051505E-3</v>
      </c>
      <c r="Q52" s="38">
        <f t="shared" ref="Q52" si="175">LOG10(Q126)</f>
        <v>-8.7739243075051505E-3</v>
      </c>
      <c r="R52" s="70"/>
      <c r="S52">
        <v>12</v>
      </c>
      <c r="T52" s="13">
        <f>AVERAGE(G137:G139)</f>
        <v>140.53133333333332</v>
      </c>
      <c r="U52" s="13">
        <f t="shared" ref="U52:AD52" si="176">AVERAGE(H137:H139)</f>
        <v>183.92433333333329</v>
      </c>
      <c r="V52" s="13">
        <f t="shared" si="176"/>
        <v>31.996666666666666</v>
      </c>
      <c r="W52" s="13">
        <f t="shared" si="176"/>
        <v>143.36466666666666</v>
      </c>
      <c r="X52" s="13">
        <f t="shared" si="176"/>
        <v>0.98</v>
      </c>
      <c r="Y52" s="13">
        <f t="shared" si="176"/>
        <v>5.9083333333333341</v>
      </c>
      <c r="Z52" s="13">
        <f t="shared" si="176"/>
        <v>1.4896666666666667</v>
      </c>
      <c r="AA52" s="13">
        <f t="shared" si="176"/>
        <v>2.1073333333333331</v>
      </c>
      <c r="AB52" s="13">
        <f t="shared" si="176"/>
        <v>0.98</v>
      </c>
      <c r="AC52" s="13">
        <f t="shared" si="176"/>
        <v>0.98</v>
      </c>
      <c r="AD52" s="13">
        <f t="shared" si="176"/>
        <v>0.98</v>
      </c>
      <c r="AE52" s="77"/>
      <c r="AF52" s="77"/>
      <c r="AG52" s="77"/>
      <c r="AH52" s="77"/>
      <c r="AI52" s="70"/>
      <c r="AJ52" s="109">
        <f t="shared" si="108"/>
        <v>0.5</v>
      </c>
      <c r="AK52">
        <v>12</v>
      </c>
      <c r="AL52" s="13">
        <f t="shared" si="109"/>
        <v>1.9202522632937558</v>
      </c>
      <c r="AM52" s="13">
        <f t="shared" si="110"/>
        <v>0.31473031223052161</v>
      </c>
      <c r="AN52" s="13">
        <f t="shared" si="114"/>
        <v>1.6055219510632341</v>
      </c>
      <c r="BC52" s="77"/>
      <c r="BD52" s="69"/>
      <c r="BE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70"/>
    </row>
    <row r="53" spans="2:73">
      <c r="B53">
        <v>5</v>
      </c>
      <c r="C53" s="4">
        <f t="shared" si="158"/>
        <v>2.2350231594952237</v>
      </c>
      <c r="D53" s="4">
        <f t="shared" si="158"/>
        <v>2.1946447493982895</v>
      </c>
      <c r="E53" s="4">
        <f t="shared" si="158"/>
        <v>1.4359557908892371</v>
      </c>
      <c r="F53" s="4">
        <f t="shared" si="158"/>
        <v>1.2653839249561747</v>
      </c>
      <c r="G53" s="4">
        <f t="shared" si="158"/>
        <v>2.2102810559630313</v>
      </c>
      <c r="H53" s="4">
        <f t="shared" si="158"/>
        <v>2.4171477199134492</v>
      </c>
      <c r="I53" s="4">
        <f t="shared" si="158"/>
        <v>1.8784528543974974</v>
      </c>
      <c r="J53" s="4">
        <f t="shared" si="158"/>
        <v>2.0163019397819157</v>
      </c>
      <c r="K53" s="4">
        <f t="shared" ref="K53" si="177">LOG10(K127)</f>
        <v>-8.7739243075051505E-3</v>
      </c>
      <c r="L53" s="80">
        <f t="shared" ref="L53" si="178">LOG10(L127)</f>
        <v>-8.7739243075051505E-3</v>
      </c>
      <c r="M53" s="4">
        <f t="shared" si="158"/>
        <v>0.58782317131895512</v>
      </c>
      <c r="N53" s="4">
        <f t="shared" si="158"/>
        <v>0.51864552433031152</v>
      </c>
      <c r="O53" s="38">
        <f t="shared" si="158"/>
        <v>-8.7739243075051505E-3</v>
      </c>
      <c r="P53" s="38">
        <f t="shared" ref="P53" si="179">LOG10(P127)</f>
        <v>-8.7739243075051505E-3</v>
      </c>
      <c r="Q53" s="134">
        <f t="shared" ref="Q53" si="180">LOG10(Q127)</f>
        <v>-8.7739243075051505E-3</v>
      </c>
      <c r="R53" s="117"/>
      <c r="S53">
        <v>18</v>
      </c>
      <c r="T53" s="13">
        <f>AVERAGE(G140:G142)</f>
        <v>155.20466666666667</v>
      </c>
      <c r="U53" s="13">
        <f t="shared" ref="U53:AD53" si="181">AVERAGE(H140:H142)</f>
        <v>153.14566666666667</v>
      </c>
      <c r="V53" s="13">
        <f t="shared" si="181"/>
        <v>36.129666666666665</v>
      </c>
      <c r="W53" s="13"/>
      <c r="X53" s="13">
        <f t="shared" si="181"/>
        <v>0.98</v>
      </c>
      <c r="Y53" s="13">
        <f t="shared" si="181"/>
        <v>0.98</v>
      </c>
      <c r="Z53" s="13">
        <f t="shared" si="181"/>
        <v>1.413</v>
      </c>
      <c r="AA53" s="13"/>
      <c r="AB53" s="13">
        <f t="shared" si="181"/>
        <v>0.98</v>
      </c>
      <c r="AC53" s="13">
        <f t="shared" si="181"/>
        <v>0.98</v>
      </c>
      <c r="AD53" s="13">
        <f t="shared" si="181"/>
        <v>0.98</v>
      </c>
      <c r="AE53" s="77"/>
      <c r="AF53" s="77"/>
      <c r="AG53" s="77"/>
      <c r="AH53" s="77"/>
      <c r="AI53" s="70"/>
      <c r="AJ53" s="109">
        <f t="shared" si="108"/>
        <v>0.75</v>
      </c>
      <c r="AK53">
        <v>18</v>
      </c>
      <c r="AL53" s="13">
        <f t="shared" si="109"/>
        <v>1.8420840294488452</v>
      </c>
      <c r="AM53" s="13">
        <f t="shared" si="110"/>
        <v>4.4061816287182622E-2</v>
      </c>
      <c r="AN53" s="13">
        <f t="shared" si="114"/>
        <v>1.7980222131616626</v>
      </c>
      <c r="BC53" s="109"/>
      <c r="BD53" s="91"/>
      <c r="BE53" s="91"/>
      <c r="BF53" s="117"/>
      <c r="BH53" s="69"/>
      <c r="BI53" s="69"/>
      <c r="BJ53" s="69"/>
      <c r="BK53" s="69"/>
      <c r="BL53" s="69"/>
      <c r="BM53" s="69"/>
      <c r="BN53" s="69"/>
      <c r="BO53" s="69"/>
      <c r="BP53" s="69"/>
      <c r="BQ53" s="69"/>
      <c r="BR53" s="69"/>
      <c r="BS53" s="69"/>
      <c r="BT53" s="69"/>
      <c r="BU53" s="70"/>
    </row>
    <row r="54" spans="2:73">
      <c r="B54">
        <v>6</v>
      </c>
      <c r="C54" s="80">
        <f t="shared" si="158"/>
        <v>2.2347424710937358</v>
      </c>
      <c r="D54" s="80">
        <f t="shared" si="158"/>
        <v>2.2006015552331721</v>
      </c>
      <c r="E54" s="80">
        <f t="shared" si="158"/>
        <v>1.619958968366304</v>
      </c>
      <c r="F54" s="80">
        <f t="shared" si="158"/>
        <v>1.0696680969115957</v>
      </c>
      <c r="G54" s="80">
        <f t="shared" si="158"/>
        <v>2.1926984466771149</v>
      </c>
      <c r="H54" s="80">
        <f t="shared" si="158"/>
        <v>2.4002546990246789</v>
      </c>
      <c r="I54" s="80">
        <f t="shared" si="158"/>
        <v>1.9211139738366807</v>
      </c>
      <c r="J54" s="80">
        <f t="shared" si="158"/>
        <v>1.8525287880284478</v>
      </c>
      <c r="K54" s="4">
        <f t="shared" ref="K54" si="182">LOG10(K128)</f>
        <v>-8.7739243075051505E-3</v>
      </c>
      <c r="L54" s="80">
        <f t="shared" ref="L54" si="183">LOG10(L128)</f>
        <v>-8.7739243075051505E-3</v>
      </c>
      <c r="M54" s="80">
        <f t="shared" si="158"/>
        <v>0.77371332527702164</v>
      </c>
      <c r="N54" s="80">
        <f t="shared" si="158"/>
        <v>-8.7739243075051505E-3</v>
      </c>
      <c r="O54" s="38">
        <f t="shared" si="158"/>
        <v>-8.7739243075051505E-3</v>
      </c>
      <c r="P54" s="38">
        <f t="shared" si="158"/>
        <v>-8.7739243075051505E-3</v>
      </c>
      <c r="Q54" s="38">
        <f t="shared" si="158"/>
        <v>-8.7739243075051505E-3</v>
      </c>
      <c r="R54" s="69"/>
      <c r="S54">
        <v>24</v>
      </c>
      <c r="T54" s="13">
        <f>AVERAGE(G143:G145)</f>
        <v>125.73599999999999</v>
      </c>
      <c r="U54" s="13">
        <f t="shared" ref="U54:AC54" si="184">AVERAGE(H143:H145)</f>
        <v>151.96699999999998</v>
      </c>
      <c r="V54" s="13">
        <f t="shared" si="184"/>
        <v>36.201666666666668</v>
      </c>
      <c r="W54" s="13">
        <f t="shared" si="184"/>
        <v>607.56366666666656</v>
      </c>
      <c r="X54" s="13">
        <f t="shared" si="184"/>
        <v>0.98</v>
      </c>
      <c r="Y54" s="13">
        <f t="shared" si="184"/>
        <v>0.98</v>
      </c>
      <c r="Z54" s="13">
        <f t="shared" si="184"/>
        <v>0.98</v>
      </c>
      <c r="AA54" s="13">
        <f t="shared" si="184"/>
        <v>23.192999999999998</v>
      </c>
      <c r="AB54" s="13">
        <f t="shared" si="184"/>
        <v>0.98</v>
      </c>
      <c r="AC54" s="13">
        <f t="shared" si="184"/>
        <v>0.98</v>
      </c>
      <c r="AD54" s="13"/>
      <c r="AE54" s="69"/>
      <c r="AF54" s="69"/>
      <c r="AG54" s="69"/>
      <c r="AH54" s="69"/>
      <c r="AI54" s="70"/>
      <c r="AJ54" s="91">
        <f t="shared" si="108"/>
        <v>1</v>
      </c>
      <c r="AK54">
        <v>24</v>
      </c>
      <c r="AL54" s="13">
        <f t="shared" si="109"/>
        <v>2.053904128425287</v>
      </c>
      <c r="AM54" s="13">
        <f t="shared" si="110"/>
        <v>0.33475765945445357</v>
      </c>
      <c r="AN54" s="13">
        <f t="shared" si="114"/>
        <v>1.7191464689708336</v>
      </c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9"/>
      <c r="BS54" s="69"/>
      <c r="BT54" s="69"/>
      <c r="BU54" s="70"/>
    </row>
    <row r="55" spans="2:73">
      <c r="B55">
        <v>6</v>
      </c>
      <c r="C55" s="80">
        <f t="shared" si="158"/>
        <v>2.2361844428801496</v>
      </c>
      <c r="D55" s="80">
        <f t="shared" si="158"/>
        <v>2.2069876947564082</v>
      </c>
      <c r="E55" s="80">
        <f t="shared" si="158"/>
        <v>1.6096050797202244</v>
      </c>
      <c r="F55" s="80">
        <f t="shared" si="158"/>
        <v>1.06513137214021</v>
      </c>
      <c r="G55" s="80">
        <f t="shared" si="158"/>
        <v>2.1666224989098857</v>
      </c>
      <c r="H55" s="80">
        <f t="shared" si="158"/>
        <v>2.3949224949494985</v>
      </c>
      <c r="I55" s="80">
        <f t="shared" si="158"/>
        <v>1.9246462132539535</v>
      </c>
      <c r="J55" s="80">
        <f t="shared" si="158"/>
        <v>1.8490629863887087</v>
      </c>
      <c r="K55" s="4">
        <f t="shared" ref="K55" si="185">LOG10(K129)</f>
        <v>-8.7739243075051505E-3</v>
      </c>
      <c r="L55" s="80">
        <f t="shared" ref="L55" si="186">LOG10(L129)</f>
        <v>-8.7739243075051505E-3</v>
      </c>
      <c r="M55" s="80">
        <f t="shared" si="158"/>
        <v>0.79274178583474864</v>
      </c>
      <c r="N55" s="80">
        <f t="shared" si="158"/>
        <v>-8.7739243075051505E-3</v>
      </c>
      <c r="O55" s="38">
        <f t="shared" ref="O55:Q55" si="187">LOG10(O129)</f>
        <v>-8.7739243075051505E-3</v>
      </c>
      <c r="P55" s="38">
        <f t="shared" si="187"/>
        <v>-8.7739243075051505E-3</v>
      </c>
      <c r="Q55" s="38">
        <f t="shared" si="187"/>
        <v>-8.7739243075051505E-3</v>
      </c>
      <c r="R55" s="69"/>
      <c r="S55" s="117">
        <v>48</v>
      </c>
      <c r="T55" s="13">
        <f>AVERAGE(G146:G148)</f>
        <v>99.192999999999998</v>
      </c>
      <c r="U55" s="13">
        <f t="shared" ref="U55:AD55" si="188">AVERAGE(H146:H148)</f>
        <v>115.358</v>
      </c>
      <c r="V55" s="13"/>
      <c r="W55" s="13">
        <f t="shared" si="188"/>
        <v>622.77333333333343</v>
      </c>
      <c r="X55" s="13">
        <f t="shared" si="188"/>
        <v>0.98</v>
      </c>
      <c r="Y55" s="13"/>
      <c r="Z55" s="13"/>
      <c r="AA55" s="13">
        <f t="shared" si="188"/>
        <v>9.5810000000000013</v>
      </c>
      <c r="AB55" s="13"/>
      <c r="AC55" s="13"/>
      <c r="AD55" s="13">
        <f t="shared" si="188"/>
        <v>0.98</v>
      </c>
      <c r="AI55" s="70"/>
      <c r="AJ55" s="91">
        <f t="shared" si="108"/>
        <v>2</v>
      </c>
      <c r="AK55" s="117">
        <v>48</v>
      </c>
      <c r="AL55" s="13">
        <f t="shared" si="109"/>
        <v>2.2842673476844322</v>
      </c>
      <c r="AM55" s="13">
        <f t="shared" si="110"/>
        <v>0.23876775241980519</v>
      </c>
      <c r="AN55" s="13">
        <f t="shared" si="114"/>
        <v>2.0454995952646269</v>
      </c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BS55" s="69"/>
      <c r="BT55" s="69"/>
      <c r="BU55" s="70"/>
    </row>
    <row r="56" spans="2:73">
      <c r="B56">
        <v>6</v>
      </c>
      <c r="C56" s="80">
        <f t="shared" si="158"/>
        <v>2.232248786030357</v>
      </c>
      <c r="D56" s="80">
        <f t="shared" si="158"/>
        <v>2.2048332681395175</v>
      </c>
      <c r="E56" s="80">
        <f t="shared" si="158"/>
        <v>1.6131015169669127</v>
      </c>
      <c r="F56" s="80">
        <f t="shared" si="158"/>
        <v>1.0646077201306265</v>
      </c>
      <c r="G56" s="80">
        <f t="shared" si="158"/>
        <v>2.1763372895600321</v>
      </c>
      <c r="H56" s="80">
        <f t="shared" si="158"/>
        <v>2.3860189253332584</v>
      </c>
      <c r="I56" s="80">
        <f t="shared" si="158"/>
        <v>-8.7739243075051505E-3</v>
      </c>
      <c r="J56" s="80">
        <f t="shared" si="158"/>
        <v>-8.7739243075051505E-3</v>
      </c>
      <c r="K56" s="4">
        <f t="shared" ref="K56" si="189">LOG10(K130)</f>
        <v>-8.7739243075051505E-3</v>
      </c>
      <c r="L56" s="80">
        <f t="shared" ref="L56" si="190">LOG10(L130)</f>
        <v>-8.7739243075051505E-3</v>
      </c>
      <c r="M56" s="80">
        <f t="shared" si="158"/>
        <v>0.78197067391255204</v>
      </c>
      <c r="N56" s="80">
        <f t="shared" si="158"/>
        <v>-8.7739243075051505E-3</v>
      </c>
      <c r="O56" s="38">
        <f t="shared" ref="O56:Q56" si="191">LOG10(O130)</f>
        <v>-8.7739243075051505E-3</v>
      </c>
      <c r="P56" s="38">
        <f t="shared" si="191"/>
        <v>-8.7739243075051505E-3</v>
      </c>
      <c r="Q56" s="38">
        <f t="shared" si="191"/>
        <v>-8.7739243075051505E-3</v>
      </c>
      <c r="R56" s="69"/>
      <c r="S56" s="117"/>
      <c r="AI56" s="70"/>
      <c r="BH56" s="69"/>
      <c r="BI56" s="69"/>
      <c r="BJ56" s="69"/>
      <c r="BK56" s="69"/>
      <c r="BL56" s="69"/>
      <c r="BM56" s="69"/>
      <c r="BN56" s="69"/>
      <c r="BO56" s="69"/>
      <c r="BP56" s="69"/>
      <c r="BQ56" s="69"/>
      <c r="BR56" s="69"/>
      <c r="BS56" s="69"/>
      <c r="BT56" s="69"/>
      <c r="BU56" s="70"/>
    </row>
    <row r="57" spans="2:73">
      <c r="B57">
        <v>7</v>
      </c>
      <c r="C57" s="4">
        <f t="shared" si="158"/>
        <v>1.7010150517664315</v>
      </c>
      <c r="D57" s="4">
        <f t="shared" si="158"/>
        <v>2.1320065976271243</v>
      </c>
      <c r="E57" s="4">
        <f t="shared" si="158"/>
        <v>1.8973136264766393</v>
      </c>
      <c r="F57" s="4">
        <f t="shared" si="158"/>
        <v>1.1220847507108693</v>
      </c>
      <c r="G57" s="4">
        <f t="shared" si="158"/>
        <v>2.1876419679535419</v>
      </c>
      <c r="H57" s="4">
        <f t="shared" si="158"/>
        <v>2.3773718274985782</v>
      </c>
      <c r="I57" s="4">
        <f t="shared" si="158"/>
        <v>1.9612454422018695</v>
      </c>
      <c r="J57" s="4">
        <f t="shared" si="158"/>
        <v>1.8940168282165659</v>
      </c>
      <c r="K57" s="4">
        <f t="shared" ref="K57" si="192">LOG10(K131)</f>
        <v>-8.7739243075051505E-3</v>
      </c>
      <c r="L57" s="80">
        <f t="shared" ref="L57" si="193">LOG10(L131)</f>
        <v>-8.7739243075051505E-3</v>
      </c>
      <c r="M57" s="4">
        <f t="shared" si="158"/>
        <v>0.69696764074402318</v>
      </c>
      <c r="N57" s="4">
        <f t="shared" si="158"/>
        <v>-8.7739243075051505E-3</v>
      </c>
      <c r="O57" s="38">
        <f t="shared" ref="O57:P57" si="194">LOG10(O131)</f>
        <v>-8.7739243075051505E-3</v>
      </c>
      <c r="P57" s="38">
        <f t="shared" si="194"/>
        <v>-8.7739243075051505E-3</v>
      </c>
      <c r="Q57" s="38"/>
      <c r="R57" s="69"/>
      <c r="AI57" s="70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BS57" s="69"/>
      <c r="BT57" s="69"/>
    </row>
    <row r="58" spans="2:73">
      <c r="B58">
        <v>7</v>
      </c>
      <c r="C58" s="4">
        <f t="shared" si="158"/>
        <v>1.702016725569145</v>
      </c>
      <c r="D58" s="4">
        <f t="shared" si="158"/>
        <v>2.133411155911022</v>
      </c>
      <c r="E58" s="4">
        <f t="shared" si="158"/>
        <v>1.9019321358596528</v>
      </c>
      <c r="F58" s="4">
        <f t="shared" si="158"/>
        <v>1.1228709228644356</v>
      </c>
      <c r="G58" s="4">
        <f t="shared" si="158"/>
        <v>2.1721590703199203</v>
      </c>
      <c r="H58" s="4">
        <f t="shared" si="158"/>
        <v>2.3799053182907492</v>
      </c>
      <c r="I58" s="4">
        <f t="shared" si="158"/>
        <v>1.9518570011538388</v>
      </c>
      <c r="J58" s="4">
        <f t="shared" si="158"/>
        <v>1.887161389446413</v>
      </c>
      <c r="K58" s="4">
        <f t="shared" ref="K58" si="195">LOG10(K132)</f>
        <v>-8.7739243075051505E-3</v>
      </c>
      <c r="L58" s="80">
        <f t="shared" ref="L58" si="196">LOG10(L132)</f>
        <v>-8.7739243075051505E-3</v>
      </c>
      <c r="M58" s="4">
        <f t="shared" si="158"/>
        <v>0.72238709417712366</v>
      </c>
      <c r="N58" s="4">
        <f t="shared" si="158"/>
        <v>-8.7739243075051505E-3</v>
      </c>
      <c r="O58" s="38">
        <f t="shared" ref="O58:P58" si="197">LOG10(O132)</f>
        <v>-8.7739243075051505E-3</v>
      </c>
      <c r="P58" s="38">
        <f t="shared" si="197"/>
        <v>-8.7739243075051505E-3</v>
      </c>
      <c r="Q58" s="38"/>
      <c r="R58" s="69"/>
      <c r="V58" s="110"/>
      <c r="W58" s="110"/>
      <c r="X58" s="110"/>
      <c r="Y58" s="110"/>
      <c r="AI58" s="70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9"/>
      <c r="BS58" s="69"/>
      <c r="BT58" s="69"/>
    </row>
    <row r="59" spans="2:73">
      <c r="B59">
        <v>7</v>
      </c>
      <c r="C59" s="4">
        <f t="shared" si="158"/>
        <v>1.6941750783415039</v>
      </c>
      <c r="D59" s="4">
        <f t="shared" si="158"/>
        <v>2.140140213983043</v>
      </c>
      <c r="E59" s="4">
        <f t="shared" si="158"/>
        <v>1.9009294353117205</v>
      </c>
      <c r="F59" s="4">
        <f t="shared" si="158"/>
        <v>1.1234269350044213</v>
      </c>
      <c r="G59" s="4">
        <f t="shared" si="158"/>
        <v>2.1683796128527737</v>
      </c>
      <c r="H59" s="4">
        <f t="shared" si="158"/>
        <v>2.3597842742947632</v>
      </c>
      <c r="I59" s="4">
        <f t="shared" si="158"/>
        <v>1.9444579956262891</v>
      </c>
      <c r="J59" s="4">
        <f t="shared" si="158"/>
        <v>1.8886511747652888</v>
      </c>
      <c r="K59" s="4">
        <f t="shared" ref="K59" si="198">LOG10(K133)</f>
        <v>-8.7739243075051505E-3</v>
      </c>
      <c r="L59" s="80">
        <f t="shared" ref="L59" si="199">LOG10(L133)</f>
        <v>-8.7739243075051505E-3</v>
      </c>
      <c r="M59" s="4">
        <f t="shared" si="158"/>
        <v>0.71833557890850663</v>
      </c>
      <c r="N59" s="4">
        <f t="shared" si="158"/>
        <v>-8.7739243075051505E-3</v>
      </c>
      <c r="O59" s="38">
        <f t="shared" ref="O59:P59" si="200">LOG10(O133)</f>
        <v>-8.7739243075051505E-3</v>
      </c>
      <c r="P59" s="38">
        <f t="shared" si="200"/>
        <v>-8.7739243075051505E-3</v>
      </c>
      <c r="Q59" s="38"/>
      <c r="R59" s="69"/>
      <c r="V59" s="110"/>
      <c r="W59" s="110"/>
      <c r="X59" s="110"/>
      <c r="Y59" s="110"/>
      <c r="AI59" s="70"/>
    </row>
    <row r="60" spans="2:73">
      <c r="B60">
        <v>8</v>
      </c>
      <c r="C60" s="80">
        <f t="shared" si="158"/>
        <v>2.1452989832469433</v>
      </c>
      <c r="D60" s="80">
        <f t="shared" si="158"/>
        <v>2.1058166374336857</v>
      </c>
      <c r="E60" s="80">
        <f t="shared" si="158"/>
        <v>1.9875590184800194</v>
      </c>
      <c r="F60" s="80"/>
      <c r="G60" s="80">
        <f t="shared" si="158"/>
        <v>2.1539123791742978</v>
      </c>
      <c r="H60" s="80">
        <f t="shared" si="158"/>
        <v>2.2780879347770147</v>
      </c>
      <c r="I60" s="80">
        <f t="shared" si="158"/>
        <v>1.9178257295995222</v>
      </c>
      <c r="J60" s="80"/>
      <c r="K60" s="4">
        <f t="shared" ref="K60" si="201">LOG10(K134)</f>
        <v>-8.7739243075051505E-3</v>
      </c>
      <c r="L60" s="80">
        <f t="shared" si="158"/>
        <v>1.2817830715064469</v>
      </c>
      <c r="M60" s="80">
        <f t="shared" si="158"/>
        <v>0.58883172559420727</v>
      </c>
      <c r="N60" s="80"/>
      <c r="O60" s="38">
        <f t="shared" ref="O60:Q60" si="202">LOG10(O134)</f>
        <v>-8.7739243075051505E-3</v>
      </c>
      <c r="P60" s="38">
        <f t="shared" si="202"/>
        <v>-8.7739243075051505E-3</v>
      </c>
      <c r="Q60" s="38">
        <f t="shared" si="202"/>
        <v>-8.7739243075051505E-3</v>
      </c>
      <c r="R60" s="69"/>
      <c r="V60" s="110"/>
      <c r="W60" s="110"/>
      <c r="X60" s="110"/>
      <c r="Y60" s="110"/>
      <c r="AI60" s="70"/>
    </row>
    <row r="61" spans="2:73">
      <c r="B61">
        <v>8</v>
      </c>
      <c r="C61" s="80">
        <f t="shared" si="158"/>
        <v>2.1526338074843068</v>
      </c>
      <c r="D61" s="80">
        <f t="shared" si="158"/>
        <v>2.1176325049332503</v>
      </c>
      <c r="E61" s="80">
        <f t="shared" si="158"/>
        <v>1.983720982761626</v>
      </c>
      <c r="F61" s="80"/>
      <c r="G61" s="80">
        <f t="shared" si="158"/>
        <v>2.1545335220253059</v>
      </c>
      <c r="H61" s="80">
        <f t="shared" si="158"/>
        <v>2.2757765031557149</v>
      </c>
      <c r="I61" s="80">
        <f t="shared" si="158"/>
        <v>1.919548758968848</v>
      </c>
      <c r="J61" s="80"/>
      <c r="K61" s="4">
        <f t="shared" ref="K61" si="203">LOG10(K135)</f>
        <v>-8.7739243075051505E-3</v>
      </c>
      <c r="L61" s="80">
        <f t="shared" si="158"/>
        <v>1.2796669440484556</v>
      </c>
      <c r="M61" s="80">
        <f t="shared" si="158"/>
        <v>0.58319877396862274</v>
      </c>
      <c r="N61" s="80"/>
      <c r="O61" s="38">
        <f t="shared" ref="O61:Q61" si="204">LOG10(O135)</f>
        <v>-8.7739243075051505E-3</v>
      </c>
      <c r="P61" s="38">
        <f t="shared" si="204"/>
        <v>-8.7739243075051505E-3</v>
      </c>
      <c r="Q61" s="38">
        <f t="shared" si="204"/>
        <v>-8.7739243075051505E-3</v>
      </c>
      <c r="R61" s="69"/>
      <c r="AI61" s="70"/>
    </row>
    <row r="62" spans="2:73">
      <c r="B62">
        <v>8</v>
      </c>
      <c r="C62" s="80">
        <f t="shared" si="158"/>
        <v>2.1549349651121887</v>
      </c>
      <c r="D62" s="80">
        <f t="shared" si="158"/>
        <v>2.1148277438114618</v>
      </c>
      <c r="E62" s="80">
        <f t="shared" si="158"/>
        <v>1.9767945936243385</v>
      </c>
      <c r="F62" s="80"/>
      <c r="G62" s="80">
        <f t="shared" si="158"/>
        <v>2.1403446019181027</v>
      </c>
      <c r="H62" s="80">
        <f t="shared" si="158"/>
        <v>2.2597753941968581</v>
      </c>
      <c r="I62" s="80">
        <f t="shared" si="158"/>
        <v>-8.7739243075051505E-3</v>
      </c>
      <c r="J62" s="80"/>
      <c r="K62" s="4">
        <f t="shared" ref="K62" si="205">LOG10(K136)</f>
        <v>-8.7739243075051505E-3</v>
      </c>
      <c r="L62" s="80">
        <f t="shared" si="158"/>
        <v>1.2803279187476757</v>
      </c>
      <c r="M62" s="80">
        <f t="shared" si="158"/>
        <v>0.58206336291170868</v>
      </c>
      <c r="N62" s="80"/>
      <c r="O62" s="38">
        <f t="shared" ref="O62:Q62" si="206">LOG10(O136)</f>
        <v>-8.7739243075051505E-3</v>
      </c>
      <c r="P62" s="38">
        <f t="shared" si="206"/>
        <v>-8.7739243075051505E-3</v>
      </c>
      <c r="Q62" s="38">
        <f t="shared" si="206"/>
        <v>-8.7739243075051505E-3</v>
      </c>
      <c r="R62" s="69"/>
      <c r="AI62" s="70"/>
    </row>
    <row r="63" spans="2:73">
      <c r="B63">
        <v>12</v>
      </c>
      <c r="C63" s="4">
        <f t="shared" si="158"/>
        <v>2.1032665050992811</v>
      </c>
      <c r="D63" s="4">
        <f t="shared" si="158"/>
        <v>2.0695126997073721</v>
      </c>
      <c r="E63" s="4">
        <f t="shared" si="158"/>
        <v>2.0353456730524533</v>
      </c>
      <c r="F63" s="4">
        <f t="shared" si="158"/>
        <v>1.2186667714958719</v>
      </c>
      <c r="G63" s="4">
        <f t="shared" si="158"/>
        <v>2.1489880434922255</v>
      </c>
      <c r="H63" s="4">
        <f t="shared" si="158"/>
        <v>2.2665397811968271</v>
      </c>
      <c r="I63" s="80">
        <f t="shared" si="158"/>
        <v>-8.7739243075051505E-3</v>
      </c>
      <c r="J63" s="4">
        <f t="shared" si="158"/>
        <v>2.1241519513403939</v>
      </c>
      <c r="K63" s="4">
        <f t="shared" ref="K63" si="207">LOG10(K137)</f>
        <v>-8.7739243075051505E-3</v>
      </c>
      <c r="L63" s="4">
        <f t="shared" si="158"/>
        <v>0.77930782758358585</v>
      </c>
      <c r="M63" s="4">
        <f t="shared" si="158"/>
        <v>0.16672605558005171</v>
      </c>
      <c r="N63" s="4">
        <f t="shared" si="158"/>
        <v>0.32592595577146616</v>
      </c>
      <c r="O63" s="38">
        <f t="shared" ref="O63:Q63" si="208">LOG10(O137)</f>
        <v>-8.7739243075051505E-3</v>
      </c>
      <c r="P63" s="38">
        <f t="shared" si="208"/>
        <v>-8.7739243075051505E-3</v>
      </c>
      <c r="Q63" s="38">
        <f t="shared" si="208"/>
        <v>-8.7739243075051505E-3</v>
      </c>
      <c r="R63" s="69"/>
      <c r="AI63" s="91"/>
      <c r="AJ63" s="91"/>
      <c r="AK63" s="91"/>
      <c r="AL63" s="91"/>
      <c r="AM63" s="91"/>
      <c r="AN63" s="91"/>
    </row>
    <row r="64" spans="2:73">
      <c r="B64">
        <v>12</v>
      </c>
      <c r="C64" s="4">
        <f t="shared" ref="C64:Q66" si="209">LOG10(C138)</f>
        <v>2.1072642530654635</v>
      </c>
      <c r="D64" s="4">
        <f t="shared" si="209"/>
        <v>2.0663818395069429</v>
      </c>
      <c r="E64" s="4">
        <f t="shared" si="209"/>
        <v>2.0309557541293501</v>
      </c>
      <c r="F64" s="4">
        <f t="shared" si="209"/>
        <v>1.2168781417028569</v>
      </c>
      <c r="G64" s="4">
        <f t="shared" si="209"/>
        <v>2.1527896345038315</v>
      </c>
      <c r="H64" s="4">
        <f t="shared" si="209"/>
        <v>2.2612200321557245</v>
      </c>
      <c r="I64" s="4">
        <f t="shared" si="209"/>
        <v>1.6767027525703497</v>
      </c>
      <c r="J64" s="4">
        <f t="shared" si="209"/>
        <v>2.1156105116742996</v>
      </c>
      <c r="K64" s="4">
        <f t="shared" si="209"/>
        <v>-8.7739243075051505E-3</v>
      </c>
      <c r="L64" s="4">
        <f t="shared" si="209"/>
        <v>0.77764427769648492</v>
      </c>
      <c r="M64" s="4">
        <f t="shared" si="209"/>
        <v>0.15259407792746976</v>
      </c>
      <c r="N64" s="4">
        <f t="shared" si="209"/>
        <v>0.31513031718360174</v>
      </c>
      <c r="O64" s="38">
        <f t="shared" si="209"/>
        <v>-8.7739243075051505E-3</v>
      </c>
      <c r="P64" s="38">
        <f t="shared" si="209"/>
        <v>-8.7739243075051505E-3</v>
      </c>
      <c r="Q64" s="38">
        <f t="shared" si="209"/>
        <v>-8.7739243075051505E-3</v>
      </c>
      <c r="R64" s="69"/>
      <c r="AI64" s="91"/>
      <c r="AJ64" s="91"/>
      <c r="AK64" s="91"/>
      <c r="AL64" s="109"/>
      <c r="AM64" s="109"/>
      <c r="AN64" s="91"/>
    </row>
    <row r="65" spans="1:40">
      <c r="B65">
        <v>12</v>
      </c>
      <c r="C65" s="4">
        <f t="shared" si="209"/>
        <v>2.1082029607840584</v>
      </c>
      <c r="D65" s="4">
        <f t="shared" si="209"/>
        <v>2.0685309330549311</v>
      </c>
      <c r="E65" s="4">
        <f t="shared" si="209"/>
        <v>2.0372112895632948</v>
      </c>
      <c r="F65" s="4">
        <f t="shared" si="209"/>
        <v>1.2156111296128493</v>
      </c>
      <c r="G65" s="4">
        <f t="shared" si="209"/>
        <v>2.1414654516186205</v>
      </c>
      <c r="H65" s="4">
        <f t="shared" si="209"/>
        <v>2.2661375815130369</v>
      </c>
      <c r="I65" s="4">
        <f t="shared" si="209"/>
        <v>1.6767758892057236</v>
      </c>
      <c r="J65" s="4">
        <f t="shared" si="209"/>
        <v>2.2214194545615404</v>
      </c>
      <c r="K65" s="4">
        <f t="shared" si="209"/>
        <v>-8.7739243075051505E-3</v>
      </c>
      <c r="L65" s="4">
        <f t="shared" si="209"/>
        <v>0.75709222011893262</v>
      </c>
      <c r="M65" s="4">
        <f t="shared" si="209"/>
        <v>0.19865708695442263</v>
      </c>
      <c r="N65" s="4">
        <f t="shared" si="209"/>
        <v>0.33000770087275921</v>
      </c>
      <c r="O65" s="38">
        <f t="shared" si="209"/>
        <v>-8.7739243075051505E-3</v>
      </c>
      <c r="P65" s="38">
        <f t="shared" si="209"/>
        <v>-8.7739243075051505E-3</v>
      </c>
      <c r="Q65" s="38">
        <f t="shared" si="209"/>
        <v>-8.7739243075051505E-3</v>
      </c>
      <c r="R65" s="69"/>
      <c r="AI65" s="91"/>
      <c r="AJ65" s="91"/>
      <c r="AK65" s="91"/>
      <c r="AL65" s="132"/>
      <c r="AM65" s="86"/>
      <c r="AN65" s="91"/>
    </row>
    <row r="66" spans="1:40">
      <c r="B66">
        <v>18</v>
      </c>
      <c r="C66" s="80">
        <f>LOG10(C140)</f>
        <v>2.0480337324619695</v>
      </c>
      <c r="D66" s="80">
        <f t="shared" si="209"/>
        <v>2.0571447898890289</v>
      </c>
      <c r="E66" s="80">
        <f t="shared" si="209"/>
        <v>2.1151276939682035</v>
      </c>
      <c r="F66" s="4"/>
      <c r="G66" s="80">
        <f t="shared" si="209"/>
        <v>2.1878280023537333</v>
      </c>
      <c r="H66" s="80">
        <f t="shared" si="209"/>
        <v>2.1845154065365575</v>
      </c>
      <c r="I66" s="80">
        <f t="shared" si="209"/>
        <v>1.7289459668314251</v>
      </c>
      <c r="J66" s="80"/>
      <c r="K66" s="4">
        <f t="shared" ref="K66" si="210">LOG10(K140)</f>
        <v>-8.7739243075051505E-3</v>
      </c>
      <c r="L66" s="80">
        <f t="shared" si="209"/>
        <v>-8.7739243075051505E-3</v>
      </c>
      <c r="M66" s="80">
        <f t="shared" si="209"/>
        <v>0.15986784709256668</v>
      </c>
      <c r="N66" s="80"/>
      <c r="O66" s="38">
        <f t="shared" ref="O66:Q66" si="211">LOG10(O140)</f>
        <v>-8.7739243075051505E-3</v>
      </c>
      <c r="P66" s="38">
        <f t="shared" si="211"/>
        <v>-8.7739243075051505E-3</v>
      </c>
      <c r="Q66" s="38">
        <f t="shared" si="211"/>
        <v>-8.7739243075051505E-3</v>
      </c>
      <c r="R66" s="69"/>
      <c r="AI66" s="91"/>
      <c r="AJ66" s="109"/>
      <c r="AK66" s="133"/>
      <c r="AL66" s="109"/>
      <c r="AM66" s="109"/>
      <c r="AN66" s="109"/>
    </row>
    <row r="67" spans="1:40">
      <c r="B67">
        <v>18</v>
      </c>
      <c r="C67" s="80">
        <f t="shared" ref="C67:O74" si="212">LOG10(C141)</f>
        <v>2.0532014121207256</v>
      </c>
      <c r="D67" s="80">
        <f t="shared" si="212"/>
        <v>2.0407842468773159</v>
      </c>
      <c r="E67" s="80">
        <f t="shared" si="212"/>
        <v>2.1100608284441247</v>
      </c>
      <c r="F67" s="4"/>
      <c r="G67" s="80">
        <f t="shared" si="212"/>
        <v>2.2066154215102491</v>
      </c>
      <c r="H67" s="80">
        <f t="shared" si="212"/>
        <v>2.1823347485963063</v>
      </c>
      <c r="I67" s="80">
        <f t="shared" si="212"/>
        <v>1.7310727844539975</v>
      </c>
      <c r="J67" s="80"/>
      <c r="K67" s="4">
        <f t="shared" ref="K67:K74" si="213">LOG10(K141)</f>
        <v>-8.7739243075051505E-3</v>
      </c>
      <c r="L67" s="80">
        <f t="shared" si="212"/>
        <v>-8.7739243075051505E-3</v>
      </c>
      <c r="M67" s="80">
        <f t="shared" si="212"/>
        <v>0.16613397030510912</v>
      </c>
      <c r="N67" s="80"/>
      <c r="O67" s="38">
        <f t="shared" ref="O67:Q67" si="214">LOG10(O141)</f>
        <v>-8.7739243075051505E-3</v>
      </c>
      <c r="P67" s="38">
        <f t="shared" si="214"/>
        <v>-8.7739243075051505E-3</v>
      </c>
      <c r="Q67" s="38">
        <f t="shared" si="214"/>
        <v>-8.7739243075051505E-3</v>
      </c>
      <c r="R67" s="69"/>
      <c r="AI67" s="91"/>
      <c r="AJ67" s="109"/>
      <c r="AK67" s="109"/>
      <c r="AL67" s="109"/>
      <c r="AM67" s="109"/>
      <c r="AN67" s="109"/>
    </row>
    <row r="68" spans="1:40">
      <c r="B68">
        <v>18</v>
      </c>
      <c r="C68" s="80">
        <f t="shared" si="212"/>
        <v>2.0553056880185978</v>
      </c>
      <c r="D68" s="80">
        <f t="shared" si="212"/>
        <v>2.041286072518762</v>
      </c>
      <c r="E68" s="80">
        <f t="shared" si="212"/>
        <v>2.1070742314120694</v>
      </c>
      <c r="F68" s="4"/>
      <c r="G68" s="80">
        <f t="shared" si="212"/>
        <v>2.1777759451520176</v>
      </c>
      <c r="H68" s="80">
        <f t="shared" si="212"/>
        <v>2.1884419139128264</v>
      </c>
      <c r="I68" s="80">
        <f t="shared" si="212"/>
        <v>-8.7739243075051505E-3</v>
      </c>
      <c r="J68" s="80"/>
      <c r="K68" s="4">
        <f t="shared" si="213"/>
        <v>-8.7739243075051505E-3</v>
      </c>
      <c r="L68" s="80">
        <f t="shared" si="212"/>
        <v>-8.7739243075051505E-3</v>
      </c>
      <c r="M68" s="80">
        <f t="shared" si="212"/>
        <v>0.12319807503199871</v>
      </c>
      <c r="N68" s="80"/>
      <c r="O68" s="38">
        <f t="shared" ref="O68:Q68" si="215">LOG10(O142)</f>
        <v>-8.7739243075051505E-3</v>
      </c>
      <c r="P68" s="38">
        <f t="shared" ref="P68" si="216">LOG10(P142)</f>
        <v>-8.7739243075051505E-3</v>
      </c>
      <c r="Q68" s="38">
        <f t="shared" si="215"/>
        <v>-8.7739243075051505E-3</v>
      </c>
      <c r="R68" s="69"/>
      <c r="AI68" s="91"/>
      <c r="AJ68" s="109"/>
      <c r="AK68" s="109"/>
      <c r="AL68" s="109"/>
      <c r="AM68" s="109"/>
      <c r="AN68" s="109"/>
    </row>
    <row r="69" spans="1:40">
      <c r="B69">
        <v>24</v>
      </c>
      <c r="C69" s="4">
        <f t="shared" si="212"/>
        <v>2.0390570180334437</v>
      </c>
      <c r="D69" s="4">
        <f t="shared" si="212"/>
        <v>2.0268599859845615</v>
      </c>
      <c r="E69" s="4">
        <f t="shared" si="212"/>
        <v>2.2147617480383732</v>
      </c>
      <c r="F69" s="4">
        <f t="shared" si="212"/>
        <v>2.0265291789492168</v>
      </c>
      <c r="G69" s="4">
        <f t="shared" si="212"/>
        <v>2.1044836970341794</v>
      </c>
      <c r="H69" s="4">
        <f t="shared" si="212"/>
        <v>2.1910931470238055</v>
      </c>
      <c r="I69" s="4">
        <f t="shared" si="212"/>
        <v>1.7312663490754916</v>
      </c>
      <c r="J69" s="4">
        <f t="shared" si="212"/>
        <v>2.7841099629654793</v>
      </c>
      <c r="K69" s="4">
        <f t="shared" si="213"/>
        <v>-8.7739243075051505E-3</v>
      </c>
      <c r="L69" s="4">
        <f t="shared" si="212"/>
        <v>-8.7739243075051505E-3</v>
      </c>
      <c r="M69" s="80">
        <f t="shared" ref="M69" si="217">LOG10(M143)</f>
        <v>-8.7739243075051505E-3</v>
      </c>
      <c r="N69" s="4">
        <f t="shared" si="212"/>
        <v>1.3670762422687501</v>
      </c>
      <c r="O69" s="38">
        <f t="shared" si="212"/>
        <v>-8.7739243075051505E-3</v>
      </c>
      <c r="P69" s="38">
        <f t="shared" ref="P69" si="218">LOG10(P143)</f>
        <v>-8.7739243075051505E-3</v>
      </c>
      <c r="Q69" s="38"/>
      <c r="R69" s="69"/>
      <c r="S69" s="69"/>
      <c r="AI69" s="91"/>
      <c r="AJ69" s="109"/>
      <c r="AK69" s="109"/>
      <c r="AL69" s="109"/>
      <c r="AM69" s="109"/>
      <c r="AN69" s="109"/>
    </row>
    <row r="70" spans="1:40">
      <c r="B70">
        <v>24</v>
      </c>
      <c r="C70" s="4">
        <f t="shared" si="212"/>
        <v>2.0508204014832447</v>
      </c>
      <c r="D70" s="4">
        <f t="shared" si="212"/>
        <v>2.0314367429716138</v>
      </c>
      <c r="E70" s="4">
        <f t="shared" si="212"/>
        <v>2.2102087950991236</v>
      </c>
      <c r="F70" s="4">
        <f t="shared" si="212"/>
        <v>2.0281115030961865</v>
      </c>
      <c r="G70" s="4">
        <f t="shared" si="212"/>
        <v>2.0937122850287548</v>
      </c>
      <c r="H70" s="4">
        <f t="shared" si="212"/>
        <v>2.1756393577650783</v>
      </c>
      <c r="I70" s="4">
        <f t="shared" si="212"/>
        <v>1.7304996501394416</v>
      </c>
      <c r="J70" s="4">
        <f t="shared" si="212"/>
        <v>2.7713927027971104</v>
      </c>
      <c r="K70" s="4">
        <f t="shared" si="213"/>
        <v>-8.7739243075051505E-3</v>
      </c>
      <c r="L70" s="4">
        <f t="shared" si="212"/>
        <v>-8.7739243075051505E-3</v>
      </c>
      <c r="M70" s="80">
        <f t="shared" ref="M70" si="219">LOG10(M144)</f>
        <v>-8.7739243075051505E-3</v>
      </c>
      <c r="N70" s="4">
        <f t="shared" si="212"/>
        <v>1.3625767124605392</v>
      </c>
      <c r="O70" s="38">
        <f t="shared" si="212"/>
        <v>-8.7739243075051505E-3</v>
      </c>
      <c r="P70" s="38">
        <f t="shared" ref="P70" si="220">LOG10(P144)</f>
        <v>-8.7739243075051505E-3</v>
      </c>
      <c r="Q70" s="38"/>
      <c r="R70" s="70"/>
      <c r="AI70" s="91"/>
      <c r="AJ70" s="109"/>
      <c r="AK70" s="109"/>
      <c r="AL70" s="109"/>
      <c r="AM70" s="109"/>
      <c r="AN70" s="109"/>
    </row>
    <row r="71" spans="1:40">
      <c r="B71">
        <v>24</v>
      </c>
      <c r="C71" s="4">
        <f t="shared" si="212"/>
        <v>2.0495784925566642</v>
      </c>
      <c r="D71" s="4">
        <f t="shared" si="212"/>
        <v>2.0278631172583026</v>
      </c>
      <c r="E71" s="4">
        <f t="shared" si="212"/>
        <v>2.2061401747561891</v>
      </c>
      <c r="F71" s="4">
        <f t="shared" si="212"/>
        <v>2.0300367576839831</v>
      </c>
      <c r="G71" s="4">
        <f t="shared" si="212"/>
        <v>2.1001154083505349</v>
      </c>
      <c r="H71" s="4">
        <f t="shared" si="212"/>
        <v>2.1783581403318788</v>
      </c>
      <c r="I71" s="4">
        <f t="shared" si="212"/>
        <v>-8.7739243075051505E-3</v>
      </c>
      <c r="J71" s="4">
        <f t="shared" si="212"/>
        <v>2.7949527648991963</v>
      </c>
      <c r="K71" s="4">
        <f t="shared" si="213"/>
        <v>-8.7739243075051505E-3</v>
      </c>
      <c r="L71" s="4">
        <f t="shared" si="212"/>
        <v>-8.7739243075051505E-3</v>
      </c>
      <c r="M71" s="80">
        <f t="shared" ref="M71" si="221">LOG10(M145)</f>
        <v>-8.7739243075051505E-3</v>
      </c>
      <c r="N71" s="4">
        <f t="shared" si="212"/>
        <v>1.3664042774917002</v>
      </c>
      <c r="O71" s="38">
        <f t="shared" si="212"/>
        <v>-8.7739243075051505E-3</v>
      </c>
      <c r="P71" s="38">
        <f t="shared" ref="P71:Q72" si="222">LOG10(P145)</f>
        <v>-8.7739243075051505E-3</v>
      </c>
      <c r="Q71" s="38"/>
      <c r="R71" s="70"/>
      <c r="AI71" s="91"/>
      <c r="AJ71" s="109"/>
      <c r="AK71" s="109"/>
      <c r="AL71" s="109"/>
      <c r="AM71" s="109"/>
      <c r="AN71" s="109"/>
    </row>
    <row r="72" spans="1:40">
      <c r="B72">
        <v>48</v>
      </c>
      <c r="C72" s="80">
        <f t="shared" si="212"/>
        <v>0.55978696820055651</v>
      </c>
      <c r="D72" s="80">
        <f t="shared" si="212"/>
        <v>2.1108757790928365</v>
      </c>
      <c r="E72" s="4"/>
      <c r="F72" s="80">
        <f t="shared" si="212"/>
        <v>1.892795589285923</v>
      </c>
      <c r="G72" s="80">
        <f t="shared" si="212"/>
        <v>1.9959158599159235</v>
      </c>
      <c r="H72" s="80">
        <f t="shared" si="212"/>
        <v>2.062657180225564</v>
      </c>
      <c r="I72" s="80"/>
      <c r="J72" s="80">
        <f t="shared" si="212"/>
        <v>2.7969335528854389</v>
      </c>
      <c r="K72" s="4">
        <f t="shared" si="213"/>
        <v>-8.7739243075051505E-3</v>
      </c>
      <c r="L72" s="80"/>
      <c r="M72" s="80"/>
      <c r="N72" s="80">
        <f t="shared" si="212"/>
        <v>0.98132017325910736</v>
      </c>
      <c r="O72" s="80"/>
      <c r="P72" s="38"/>
      <c r="Q72" s="38">
        <f t="shared" si="222"/>
        <v>-8.7739243075051505E-3</v>
      </c>
      <c r="R72" s="70"/>
      <c r="AI72" s="91"/>
      <c r="AJ72" s="109"/>
      <c r="AK72" s="109"/>
      <c r="AL72" s="109"/>
      <c r="AM72" s="109"/>
      <c r="AN72" s="109"/>
    </row>
    <row r="73" spans="1:40">
      <c r="B73">
        <v>48</v>
      </c>
      <c r="C73" s="80">
        <f t="shared" si="212"/>
        <v>0.55714614231836312</v>
      </c>
      <c r="D73" s="80">
        <f t="shared" si="212"/>
        <v>2.1149377495910961</v>
      </c>
      <c r="E73" s="4"/>
      <c r="F73" s="80">
        <f t="shared" si="212"/>
        <v>1.8951627757358436</v>
      </c>
      <c r="G73" s="80">
        <f t="shared" si="212"/>
        <v>2.0022956825549341</v>
      </c>
      <c r="H73" s="80">
        <f t="shared" si="212"/>
        <v>2.0558253939252684</v>
      </c>
      <c r="I73" s="80"/>
      <c r="J73" s="80">
        <f t="shared" si="212"/>
        <v>2.7946671649043329</v>
      </c>
      <c r="K73" s="4">
        <f t="shared" si="213"/>
        <v>-8.7739243075051505E-3</v>
      </c>
      <c r="L73" s="80"/>
      <c r="M73" s="80"/>
      <c r="N73" s="80">
        <f t="shared" si="212"/>
        <v>0.98627895590599124</v>
      </c>
      <c r="O73" s="80"/>
      <c r="P73" s="80"/>
      <c r="Q73" s="38">
        <f t="shared" ref="Q73" si="223">LOG10(Q147)</f>
        <v>-8.7739243075051505E-3</v>
      </c>
      <c r="R73" s="70"/>
      <c r="AI73" s="91"/>
      <c r="AJ73" s="109"/>
      <c r="AK73" s="109"/>
      <c r="AL73" s="109"/>
      <c r="AM73" s="109"/>
      <c r="AN73" s="109"/>
    </row>
    <row r="74" spans="1:40">
      <c r="B74">
        <v>48</v>
      </c>
      <c r="C74" s="80">
        <f t="shared" si="212"/>
        <v>0.54592532935584281</v>
      </c>
      <c r="D74" s="80">
        <f t="shared" si="212"/>
        <v>2.1131910375508869</v>
      </c>
      <c r="E74" s="4"/>
      <c r="F74" s="80">
        <f t="shared" si="212"/>
        <v>1.8922170787344383</v>
      </c>
      <c r="G74" s="80">
        <f t="shared" si="212"/>
        <v>1.9911595969595177</v>
      </c>
      <c r="H74" s="80">
        <f t="shared" si="212"/>
        <v>2.0675803971531681</v>
      </c>
      <c r="I74" s="80"/>
      <c r="J74" s="80">
        <f t="shared" si="212"/>
        <v>2.7913713006357446</v>
      </c>
      <c r="K74" s="4">
        <f t="shared" si="213"/>
        <v>-8.7739243075051505E-3</v>
      </c>
      <c r="L74" s="80"/>
      <c r="M74" s="80"/>
      <c r="N74" s="80">
        <f t="shared" si="212"/>
        <v>0.97657921864010988</v>
      </c>
      <c r="O74" s="80"/>
      <c r="P74" s="80"/>
      <c r="Q74" s="38">
        <f t="shared" ref="Q74" si="224">LOG10(Q148)</f>
        <v>-8.7739243075051505E-3</v>
      </c>
      <c r="R74" s="70"/>
      <c r="AI74" s="91"/>
      <c r="AJ74" s="109"/>
      <c r="AK74" s="109"/>
      <c r="AL74" s="109"/>
      <c r="AM74" s="109"/>
      <c r="AN74" s="109"/>
    </row>
    <row r="75" spans="1:40"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R75" s="69"/>
      <c r="AI75" s="91"/>
      <c r="AJ75" s="109"/>
      <c r="AK75" s="109"/>
      <c r="AL75" s="109"/>
      <c r="AM75" s="109"/>
      <c r="AN75" s="109"/>
    </row>
    <row r="76" spans="1:40">
      <c r="R76" s="69"/>
      <c r="AI76" s="91"/>
      <c r="AJ76" s="109"/>
      <c r="AK76" s="109"/>
      <c r="AL76" s="109"/>
      <c r="AM76" s="109"/>
      <c r="AN76" s="109"/>
    </row>
    <row r="77" spans="1:40" ht="18">
      <c r="B77" t="s">
        <v>189</v>
      </c>
      <c r="C77" s="164" t="s">
        <v>140</v>
      </c>
      <c r="D77" s="164"/>
      <c r="E77" s="164"/>
      <c r="F77" s="164"/>
      <c r="G77" s="165" t="s">
        <v>141</v>
      </c>
      <c r="H77" s="165"/>
      <c r="I77" s="165"/>
      <c r="J77" s="165"/>
      <c r="K77" s="166" t="s">
        <v>142</v>
      </c>
      <c r="L77" s="166"/>
      <c r="M77" s="166"/>
      <c r="N77" s="166"/>
      <c r="O77" s="121"/>
      <c r="P77" s="121" t="s">
        <v>197</v>
      </c>
      <c r="Q77" s="121"/>
      <c r="R77" s="69"/>
      <c r="AI77" s="91"/>
      <c r="AJ77" s="109"/>
      <c r="AK77" s="91"/>
      <c r="AL77" s="109"/>
      <c r="AM77" s="109"/>
      <c r="AN77" s="109"/>
    </row>
    <row r="78" spans="1:40">
      <c r="C78" s="69" t="s">
        <v>143</v>
      </c>
      <c r="D78" s="69" t="s">
        <v>22</v>
      </c>
      <c r="E78" s="69" t="s">
        <v>23</v>
      </c>
      <c r="F78" s="69" t="s">
        <v>24</v>
      </c>
      <c r="G78" t="s">
        <v>29</v>
      </c>
      <c r="H78" t="s">
        <v>30</v>
      </c>
      <c r="I78" t="s">
        <v>31</v>
      </c>
      <c r="J78" t="s">
        <v>32</v>
      </c>
      <c r="K78" t="s">
        <v>38</v>
      </c>
      <c r="L78" t="s">
        <v>39</v>
      </c>
      <c r="M78" t="s">
        <v>40</v>
      </c>
      <c r="N78" t="s">
        <v>41</v>
      </c>
      <c r="R78" s="69"/>
      <c r="AI78" s="91"/>
      <c r="AJ78" s="109"/>
      <c r="AK78" s="91"/>
      <c r="AL78" s="109"/>
      <c r="AM78" s="109"/>
      <c r="AN78" s="109"/>
    </row>
    <row r="79" spans="1:40" ht="18">
      <c r="A79" t="s">
        <v>157</v>
      </c>
      <c r="B79" t="s">
        <v>158</v>
      </c>
      <c r="C79" s="123" t="s">
        <v>144</v>
      </c>
      <c r="D79" s="123" t="s">
        <v>145</v>
      </c>
      <c r="E79" s="123" t="s">
        <v>146</v>
      </c>
      <c r="F79" s="123" t="s">
        <v>147</v>
      </c>
      <c r="G79" s="65" t="s">
        <v>148</v>
      </c>
      <c r="H79" s="65" t="s">
        <v>149</v>
      </c>
      <c r="I79" s="65" t="s">
        <v>150</v>
      </c>
      <c r="J79" s="65" t="s">
        <v>151</v>
      </c>
      <c r="K79" s="66" t="s">
        <v>152</v>
      </c>
      <c r="L79" s="67" t="s">
        <v>153</v>
      </c>
      <c r="M79" s="67" t="s">
        <v>154</v>
      </c>
      <c r="N79" s="67" t="s">
        <v>155</v>
      </c>
      <c r="O79" s="178" t="s">
        <v>194</v>
      </c>
      <c r="P79" s="178" t="s">
        <v>195</v>
      </c>
      <c r="Q79" s="178" t="s">
        <v>201</v>
      </c>
      <c r="R79" s="69"/>
      <c r="AI79" s="91"/>
      <c r="AJ79" s="109"/>
      <c r="AK79" s="91"/>
      <c r="AL79" s="109"/>
      <c r="AM79" s="109"/>
      <c r="AN79" s="109"/>
    </row>
    <row r="80" spans="1:40">
      <c r="A80">
        <v>5</v>
      </c>
      <c r="B80">
        <v>8.3000000000000004E-2</v>
      </c>
      <c r="C80" s="36">
        <v>0.98</v>
      </c>
      <c r="D80" s="4">
        <v>209.32900000000001</v>
      </c>
      <c r="E80" s="4">
        <v>438.98200000000003</v>
      </c>
      <c r="F80" s="4">
        <v>1756.6279999999999</v>
      </c>
      <c r="G80" s="4">
        <v>115.643</v>
      </c>
      <c r="H80" s="4">
        <v>155.37200000000001</v>
      </c>
      <c r="I80" s="4">
        <v>725.404</v>
      </c>
      <c r="J80" s="4">
        <v>1480.395</v>
      </c>
      <c r="K80" s="21">
        <v>9.8949999999999996</v>
      </c>
      <c r="L80" s="4">
        <v>36.073999999999998</v>
      </c>
      <c r="M80" s="4">
        <v>50.965000000000003</v>
      </c>
      <c r="N80" s="7">
        <v>64.516000000000005</v>
      </c>
      <c r="O80" s="4">
        <v>7628.7820000000002</v>
      </c>
      <c r="P80" s="4">
        <v>7802.8410000000003</v>
      </c>
      <c r="Q80" s="34">
        <v>0.98</v>
      </c>
      <c r="R80" s="69"/>
      <c r="AI80" s="91"/>
      <c r="AJ80" s="109"/>
      <c r="AK80" s="91"/>
      <c r="AL80" s="109"/>
      <c r="AM80" s="109"/>
      <c r="AN80" s="109"/>
    </row>
    <row r="81" spans="1:40">
      <c r="A81">
        <v>5</v>
      </c>
      <c r="B81">
        <v>8.3000000000000004E-2</v>
      </c>
      <c r="C81" s="36">
        <v>0.98</v>
      </c>
      <c r="D81" s="4">
        <v>206.65100000000001</v>
      </c>
      <c r="E81" s="4">
        <v>628.15099999999995</v>
      </c>
      <c r="F81" s="4">
        <v>1739.078</v>
      </c>
      <c r="G81" s="4">
        <v>114.65300000000001</v>
      </c>
      <c r="H81" s="4">
        <v>99.546999999999997</v>
      </c>
      <c r="I81" s="4">
        <v>727.88900000000001</v>
      </c>
      <c r="J81" s="4">
        <v>1489.326</v>
      </c>
      <c r="K81" s="21">
        <v>10.175000000000001</v>
      </c>
      <c r="L81" s="4">
        <v>35.978999999999999</v>
      </c>
      <c r="M81" s="4">
        <v>50.462000000000003</v>
      </c>
      <c r="N81" s="7">
        <v>63.210999999999999</v>
      </c>
      <c r="O81" s="4">
        <v>7811.9750000000004</v>
      </c>
      <c r="P81" s="4">
        <v>7461.5870000000004</v>
      </c>
      <c r="Q81" s="34">
        <v>0.98</v>
      </c>
      <c r="R81" s="69"/>
      <c r="AI81" s="91"/>
      <c r="AJ81" s="109"/>
      <c r="AK81" s="91"/>
      <c r="AL81" s="109"/>
      <c r="AM81" s="109"/>
      <c r="AN81" s="109"/>
    </row>
    <row r="82" spans="1:40">
      <c r="A82">
        <v>5</v>
      </c>
      <c r="B82">
        <v>8.3000000000000004E-2</v>
      </c>
      <c r="C82" s="36">
        <v>0.98</v>
      </c>
      <c r="D82" s="4">
        <v>197.53200000000001</v>
      </c>
      <c r="E82" s="4">
        <v>622.53200000000004</v>
      </c>
      <c r="F82" s="4">
        <v>1532.8510000000001</v>
      </c>
      <c r="G82" s="4">
        <v>114.283</v>
      </c>
      <c r="H82" s="4">
        <v>100.024</v>
      </c>
      <c r="I82" s="4">
        <v>690.43899999999996</v>
      </c>
      <c r="J82" s="4">
        <v>1435.4</v>
      </c>
      <c r="K82" s="21">
        <v>9.5540000000000003</v>
      </c>
      <c r="L82" s="4">
        <v>35.945999999999998</v>
      </c>
      <c r="M82" s="4">
        <v>51.48</v>
      </c>
      <c r="N82" s="7">
        <v>75.197999999999993</v>
      </c>
      <c r="O82" s="4">
        <v>7515.9440000000004</v>
      </c>
      <c r="P82" s="4">
        <v>7456.9859999999999</v>
      </c>
      <c r="Q82" s="34">
        <v>0.98</v>
      </c>
      <c r="R82" s="69"/>
      <c r="AI82" s="91"/>
      <c r="AJ82" s="109"/>
      <c r="AK82" s="91"/>
      <c r="AL82" s="109"/>
      <c r="AM82" s="109"/>
      <c r="AN82" s="109"/>
    </row>
    <row r="83" spans="1:40">
      <c r="A83">
        <v>10</v>
      </c>
      <c r="B83">
        <v>0.16700000000000001</v>
      </c>
      <c r="C83" s="4">
        <v>17.777999999999999</v>
      </c>
      <c r="D83" s="4">
        <v>118.83</v>
      </c>
      <c r="E83" s="4">
        <v>355.40300000000002</v>
      </c>
      <c r="F83" s="4">
        <v>1161.33</v>
      </c>
      <c r="G83" s="4">
        <v>104.803</v>
      </c>
      <c r="H83" s="7">
        <v>83.677999999999997</v>
      </c>
      <c r="I83" s="4">
        <v>689.553</v>
      </c>
      <c r="J83" s="4">
        <v>1545.5150000000001</v>
      </c>
      <c r="K83" s="7">
        <v>7.5220000000000002</v>
      </c>
      <c r="L83" s="4">
        <v>38.116999999999997</v>
      </c>
      <c r="M83" s="4">
        <v>40.936999999999998</v>
      </c>
      <c r="N83" s="7">
        <v>46.292999999999999</v>
      </c>
      <c r="O83" s="4">
        <v>5198.5200000000004</v>
      </c>
      <c r="P83" s="4">
        <v>4453.8280000000004</v>
      </c>
      <c r="Q83" s="34">
        <v>0.98</v>
      </c>
      <c r="R83" s="69"/>
      <c r="S83" s="69"/>
      <c r="AI83" s="91"/>
      <c r="AJ83" s="109"/>
      <c r="AK83" s="91"/>
      <c r="AL83" s="109"/>
      <c r="AM83" s="109"/>
      <c r="AN83" s="109"/>
    </row>
    <row r="84" spans="1:40">
      <c r="A84">
        <v>10</v>
      </c>
      <c r="B84">
        <v>0.16700000000000001</v>
      </c>
      <c r="C84" s="4">
        <v>17.597999999999999</v>
      </c>
      <c r="D84" s="4">
        <v>119.529</v>
      </c>
      <c r="E84" s="4">
        <v>355.78399999999999</v>
      </c>
      <c r="F84" s="4">
        <v>1167.4670000000001</v>
      </c>
      <c r="G84" s="4">
        <v>105.127</v>
      </c>
      <c r="H84" s="7">
        <v>84.057000000000002</v>
      </c>
      <c r="I84" s="4">
        <v>690.33</v>
      </c>
      <c r="J84" s="4">
        <v>1575.5160000000001</v>
      </c>
      <c r="K84" s="7">
        <v>7.09</v>
      </c>
      <c r="L84" s="4">
        <v>37.304000000000002</v>
      </c>
      <c r="M84" s="4">
        <v>40.314</v>
      </c>
      <c r="N84" s="7">
        <v>44.470999999999997</v>
      </c>
      <c r="O84" s="4">
        <v>5147.3059999999996</v>
      </c>
      <c r="P84" s="4">
        <v>4455.1580000000004</v>
      </c>
      <c r="Q84" s="34">
        <v>0.98</v>
      </c>
      <c r="R84" s="70"/>
      <c r="AI84" s="91"/>
      <c r="AJ84" s="109"/>
      <c r="AK84" s="91"/>
      <c r="AL84" s="109"/>
      <c r="AM84" s="109"/>
      <c r="AN84" s="109"/>
    </row>
    <row r="85" spans="1:40">
      <c r="A85">
        <v>10</v>
      </c>
      <c r="B85">
        <v>0.16700000000000001</v>
      </c>
      <c r="C85" s="4">
        <v>18.016999999999999</v>
      </c>
      <c r="D85" s="4">
        <v>121.16200000000001</v>
      </c>
      <c r="E85" s="4">
        <v>370.96499999999997</v>
      </c>
      <c r="F85" s="4">
        <v>1202.393</v>
      </c>
      <c r="G85" s="4">
        <v>103.913</v>
      </c>
      <c r="H85" s="36">
        <v>0.98</v>
      </c>
      <c r="I85" s="4">
        <v>703.56200000000001</v>
      </c>
      <c r="J85" s="4">
        <v>1582.915</v>
      </c>
      <c r="K85" s="7">
        <v>7.2919999999999998</v>
      </c>
      <c r="L85" s="4">
        <v>37.932000000000002</v>
      </c>
      <c r="M85" s="4">
        <v>41.173999999999999</v>
      </c>
      <c r="N85" s="7">
        <v>46.581000000000003</v>
      </c>
      <c r="O85" s="4">
        <v>5197.067</v>
      </c>
      <c r="P85" s="4">
        <v>4442.1400000000003</v>
      </c>
      <c r="Q85" s="34">
        <v>0.98</v>
      </c>
      <c r="R85" s="70"/>
      <c r="AI85" s="91"/>
      <c r="AJ85" s="109"/>
      <c r="AK85" s="91"/>
      <c r="AL85" s="109"/>
      <c r="AM85" s="109"/>
      <c r="AN85" s="109"/>
    </row>
    <row r="86" spans="1:40">
      <c r="A86">
        <v>15</v>
      </c>
      <c r="B86">
        <v>0.25</v>
      </c>
      <c r="C86" s="4">
        <v>14.896000000000001</v>
      </c>
      <c r="D86" s="4">
        <v>26.640999999999998</v>
      </c>
      <c r="E86" s="4">
        <v>480.45100000000002</v>
      </c>
      <c r="F86" s="4">
        <v>857.01700000000005</v>
      </c>
      <c r="G86" s="4">
        <v>94.557000000000002</v>
      </c>
      <c r="H86" s="4">
        <v>73.844999999999999</v>
      </c>
      <c r="I86" s="4">
        <v>667.63</v>
      </c>
      <c r="J86" s="4">
        <v>1731.2239999999999</v>
      </c>
      <c r="K86" s="7">
        <v>7.4880000000000004</v>
      </c>
      <c r="L86" s="4">
        <v>28.227</v>
      </c>
      <c r="M86" s="4">
        <v>57.552</v>
      </c>
      <c r="N86" s="7">
        <v>42.081000000000003</v>
      </c>
      <c r="O86" s="4">
        <v>3333.6289999999999</v>
      </c>
      <c r="P86" s="4">
        <v>2831.3240000000001</v>
      </c>
      <c r="Q86" s="34">
        <v>0.98</v>
      </c>
      <c r="R86" s="70"/>
      <c r="AI86" s="91"/>
      <c r="AJ86" s="109"/>
      <c r="AK86" s="91"/>
      <c r="AL86" s="109"/>
      <c r="AM86" s="109"/>
      <c r="AN86" s="109"/>
    </row>
    <row r="87" spans="1:40">
      <c r="B87">
        <v>0.25</v>
      </c>
      <c r="C87" s="4">
        <v>14.143000000000001</v>
      </c>
      <c r="D87" s="4">
        <v>26.768000000000001</v>
      </c>
      <c r="E87" s="4">
        <v>508.43099999999998</v>
      </c>
      <c r="F87" s="4">
        <v>854.02599999999995</v>
      </c>
      <c r="G87" s="4">
        <v>89.614999999999995</v>
      </c>
      <c r="H87" s="4">
        <v>72.872</v>
      </c>
      <c r="I87" s="4">
        <v>642.65099999999995</v>
      </c>
      <c r="J87" s="4">
        <v>1768.1110000000001</v>
      </c>
      <c r="K87" s="7">
        <v>7.2960000000000003</v>
      </c>
      <c r="L87" s="4">
        <v>28.16</v>
      </c>
      <c r="M87" s="4">
        <v>58.683999999999997</v>
      </c>
      <c r="N87" s="7">
        <v>46.853000000000002</v>
      </c>
      <c r="O87" s="4">
        <v>3365.4009999999998</v>
      </c>
      <c r="P87" s="4">
        <v>2881.125</v>
      </c>
      <c r="Q87" s="34">
        <v>0.98</v>
      </c>
      <c r="R87" s="70"/>
      <c r="AI87" s="91"/>
      <c r="AJ87" s="91"/>
      <c r="AK87" s="91"/>
      <c r="AL87" s="109"/>
      <c r="AM87" s="109"/>
      <c r="AN87" s="109"/>
    </row>
    <row r="88" spans="1:40">
      <c r="B88">
        <v>0.25</v>
      </c>
      <c r="C88" s="38">
        <v>13.938000000000001</v>
      </c>
      <c r="D88" s="4">
        <v>26.765000000000001</v>
      </c>
      <c r="E88" s="4">
        <v>494.03399999999999</v>
      </c>
      <c r="F88" s="4">
        <v>856.69500000000005</v>
      </c>
      <c r="G88" s="4">
        <v>89.849000000000004</v>
      </c>
      <c r="H88" s="4">
        <v>71.861000000000004</v>
      </c>
      <c r="I88" s="4">
        <v>620.44399999999996</v>
      </c>
      <c r="J88" s="4">
        <v>1789.539</v>
      </c>
      <c r="K88" s="7">
        <v>7.6210000000000004</v>
      </c>
      <c r="L88" s="4">
        <v>28.815999999999999</v>
      </c>
      <c r="M88" s="4">
        <v>56.279000000000003</v>
      </c>
      <c r="N88" s="7">
        <v>46.896999999999998</v>
      </c>
      <c r="O88" s="4">
        <v>3408.0650000000001</v>
      </c>
      <c r="P88" s="4">
        <v>2792.9580000000001</v>
      </c>
      <c r="Q88" s="34">
        <v>0.98</v>
      </c>
      <c r="R88" s="70"/>
      <c r="AI88" s="91"/>
      <c r="AJ88" s="91"/>
      <c r="AK88" s="91"/>
      <c r="AL88" s="109"/>
      <c r="AM88" s="109"/>
      <c r="AN88" s="109"/>
    </row>
    <row r="89" spans="1:40">
      <c r="A89">
        <v>20</v>
      </c>
      <c r="B89">
        <v>0.33300000000000002</v>
      </c>
      <c r="C89" s="4">
        <v>14.313000000000001</v>
      </c>
      <c r="D89" s="4">
        <v>19.07</v>
      </c>
      <c r="E89" s="4">
        <v>257.05700000000002</v>
      </c>
      <c r="F89" s="4">
        <v>589.11800000000005</v>
      </c>
      <c r="G89" s="4">
        <v>86.257000000000005</v>
      </c>
      <c r="H89" s="7">
        <v>67.635999999999996</v>
      </c>
      <c r="I89" s="4">
        <v>540.32600000000002</v>
      </c>
      <c r="J89" s="4">
        <v>1695.5940000000001</v>
      </c>
      <c r="K89" s="7">
        <v>5.7809999999999997</v>
      </c>
      <c r="L89" s="4">
        <v>21.606000000000002</v>
      </c>
      <c r="M89" s="4">
        <v>30.257000000000001</v>
      </c>
      <c r="N89" s="7">
        <v>31.847000000000001</v>
      </c>
      <c r="O89" s="4">
        <v>2374.5259999999998</v>
      </c>
      <c r="P89" s="4">
        <v>1811.193</v>
      </c>
      <c r="Q89" s="4">
        <v>236.45099999999999</v>
      </c>
      <c r="R89" s="70"/>
      <c r="AI89" s="91"/>
      <c r="AJ89" s="91"/>
      <c r="AK89" s="91"/>
      <c r="AL89" s="91"/>
      <c r="AM89" s="91"/>
      <c r="AN89" s="91"/>
    </row>
    <row r="90" spans="1:40">
      <c r="B90">
        <v>0.33300000000000002</v>
      </c>
      <c r="C90" s="4">
        <v>14.19</v>
      </c>
      <c r="D90" s="4">
        <v>18.937000000000001</v>
      </c>
      <c r="E90" s="4">
        <v>251.92599999999999</v>
      </c>
      <c r="F90" s="4">
        <v>609.30600000000004</v>
      </c>
      <c r="G90" s="4">
        <v>86.713999999999999</v>
      </c>
      <c r="H90" s="7">
        <v>66.281999999999996</v>
      </c>
      <c r="I90" s="4">
        <v>542.21900000000005</v>
      </c>
      <c r="J90" s="4">
        <v>1715.134</v>
      </c>
      <c r="K90" s="7">
        <v>5.7640000000000002</v>
      </c>
      <c r="L90" s="4">
        <v>20.927</v>
      </c>
      <c r="M90" s="4">
        <v>30.748999999999999</v>
      </c>
      <c r="N90" s="7">
        <v>33.600999999999999</v>
      </c>
      <c r="O90" s="4">
        <v>2382.9160000000002</v>
      </c>
      <c r="P90" s="4">
        <v>1774.8040000000001</v>
      </c>
      <c r="Q90" s="4">
        <v>245.185</v>
      </c>
      <c r="R90" s="70"/>
      <c r="AI90" s="91"/>
      <c r="AJ90" s="91"/>
      <c r="AK90" s="91"/>
      <c r="AL90" s="91"/>
      <c r="AM90" s="91"/>
      <c r="AN90" s="91"/>
    </row>
    <row r="91" spans="1:40">
      <c r="B91">
        <v>0.33300000000000002</v>
      </c>
      <c r="C91" s="4">
        <v>14.269</v>
      </c>
      <c r="D91" s="4">
        <v>18.646999999999998</v>
      </c>
      <c r="E91" s="4">
        <v>249.28899999999999</v>
      </c>
      <c r="F91" s="4">
        <v>605.04</v>
      </c>
      <c r="G91" s="4">
        <v>84.840999999999994</v>
      </c>
      <c r="H91" s="36">
        <v>0.98</v>
      </c>
      <c r="I91" s="4">
        <v>533.69100000000003</v>
      </c>
      <c r="J91" s="4">
        <v>1729.01</v>
      </c>
      <c r="K91" s="7">
        <v>5.9130000000000003</v>
      </c>
      <c r="L91" s="4">
        <v>21.652999999999999</v>
      </c>
      <c r="M91" s="4">
        <v>31.123000000000001</v>
      </c>
      <c r="N91" s="7">
        <v>31.696000000000002</v>
      </c>
      <c r="O91" s="4">
        <v>2253.3119999999999</v>
      </c>
      <c r="P91" s="4">
        <v>1800.9690000000001</v>
      </c>
      <c r="Q91" s="4">
        <v>233.78200000000001</v>
      </c>
      <c r="R91" s="70"/>
      <c r="AI91" s="70"/>
    </row>
    <row r="92" spans="1:40">
      <c r="A92">
        <v>25</v>
      </c>
      <c r="B92">
        <v>0.41699999999999998</v>
      </c>
      <c r="C92" s="4">
        <v>12.54</v>
      </c>
      <c r="D92" s="4">
        <v>15.089</v>
      </c>
      <c r="E92" s="4">
        <v>161.32499999999999</v>
      </c>
      <c r="F92" s="4">
        <v>418.87900000000002</v>
      </c>
      <c r="G92" s="4">
        <v>76.757999999999996</v>
      </c>
      <c r="H92" s="7">
        <v>61.203000000000003</v>
      </c>
      <c r="I92" s="4">
        <v>467.78699999999998</v>
      </c>
      <c r="J92" s="4">
        <v>1219.5360000000001</v>
      </c>
      <c r="K92" s="7">
        <v>5.0810000000000004</v>
      </c>
      <c r="L92" s="4">
        <v>17.443999999999999</v>
      </c>
      <c r="M92" s="4">
        <v>36.823</v>
      </c>
      <c r="N92" s="7">
        <v>27.872</v>
      </c>
      <c r="O92" s="4">
        <v>1335.373</v>
      </c>
      <c r="P92" s="4">
        <v>923.95699999999999</v>
      </c>
      <c r="Q92" s="4">
        <v>38.14</v>
      </c>
      <c r="R92" s="70"/>
      <c r="AI92" s="70"/>
    </row>
    <row r="93" spans="1:40">
      <c r="B93">
        <v>0.41699999999999998</v>
      </c>
      <c r="C93" s="4">
        <v>12.662000000000001</v>
      </c>
      <c r="D93" s="4">
        <v>14.747999999999999</v>
      </c>
      <c r="E93" s="4">
        <v>153.99199999999999</v>
      </c>
      <c r="F93" s="4">
        <v>431.21100000000001</v>
      </c>
      <c r="G93" s="4">
        <v>76.543000000000006</v>
      </c>
      <c r="H93" s="36">
        <v>0.98</v>
      </c>
      <c r="I93" s="4">
        <v>457.154</v>
      </c>
      <c r="J93" s="4">
        <v>1208.7460000000001</v>
      </c>
      <c r="K93" s="7">
        <v>5.0419999999999998</v>
      </c>
      <c r="L93" s="4">
        <v>17.137</v>
      </c>
      <c r="M93" s="4">
        <v>35.545999999999999</v>
      </c>
      <c r="N93" s="7">
        <v>27.417999999999999</v>
      </c>
      <c r="O93" s="4">
        <v>1348.087</v>
      </c>
      <c r="P93" s="4">
        <v>942.09799999999996</v>
      </c>
      <c r="Q93" s="4">
        <v>36.987000000000002</v>
      </c>
      <c r="R93" s="70"/>
      <c r="AI93" s="70"/>
    </row>
    <row r="94" spans="1:40">
      <c r="B94">
        <v>0.41699999999999998</v>
      </c>
      <c r="C94" s="4">
        <v>12.515000000000001</v>
      </c>
      <c r="D94" s="4">
        <v>14.92</v>
      </c>
      <c r="E94" s="4">
        <v>165.31200000000001</v>
      </c>
      <c r="F94" s="4">
        <v>447.71499999999997</v>
      </c>
      <c r="G94" s="4">
        <v>77.652000000000001</v>
      </c>
      <c r="H94" s="36">
        <v>0.98</v>
      </c>
      <c r="I94" s="4">
        <v>464.22</v>
      </c>
      <c r="J94" s="4">
        <v>1201.2070000000001</v>
      </c>
      <c r="K94" s="7">
        <v>4.8010000000000002</v>
      </c>
      <c r="L94" s="4">
        <v>17.145</v>
      </c>
      <c r="M94" s="4">
        <v>35.902999999999999</v>
      </c>
      <c r="N94" s="7">
        <v>27.966000000000001</v>
      </c>
      <c r="O94" s="4">
        <v>1345.818</v>
      </c>
      <c r="P94" s="4">
        <v>916.84900000000005</v>
      </c>
      <c r="Q94" s="4">
        <v>37.51</v>
      </c>
      <c r="R94" s="70"/>
      <c r="AI94" s="70"/>
    </row>
    <row r="95" spans="1:40">
      <c r="A95">
        <v>30</v>
      </c>
      <c r="B95">
        <v>0.5</v>
      </c>
      <c r="C95" s="4">
        <v>12.71</v>
      </c>
      <c r="D95" s="4">
        <v>15.173999999999999</v>
      </c>
      <c r="E95" s="4">
        <v>77.462000000000003</v>
      </c>
      <c r="F95" s="4">
        <v>341.83600000000001</v>
      </c>
      <c r="G95" s="4">
        <v>87.674000000000007</v>
      </c>
      <c r="H95" s="36">
        <v>0.98</v>
      </c>
      <c r="I95" s="4">
        <v>355.75099999999998</v>
      </c>
      <c r="J95" s="4">
        <v>898.65200000000004</v>
      </c>
      <c r="K95" s="7">
        <v>5.444</v>
      </c>
      <c r="L95" s="4">
        <v>12.34</v>
      </c>
      <c r="M95" s="4">
        <v>14.801</v>
      </c>
      <c r="N95" s="7">
        <v>26.524000000000001</v>
      </c>
      <c r="O95" s="4">
        <v>753.79600000000005</v>
      </c>
      <c r="P95" s="4">
        <v>402.56700000000001</v>
      </c>
      <c r="Q95" s="4">
        <v>5.0979999999999999</v>
      </c>
      <c r="R95" s="70"/>
      <c r="AI95" s="70"/>
    </row>
    <row r="96" spans="1:40">
      <c r="B96">
        <v>0.5</v>
      </c>
      <c r="C96" s="4">
        <v>12.795999999999999</v>
      </c>
      <c r="D96" s="4">
        <v>15.292999999999999</v>
      </c>
      <c r="E96" s="4">
        <v>46.137</v>
      </c>
      <c r="F96" s="4">
        <v>340.09699999999998</v>
      </c>
      <c r="G96" s="4">
        <v>84.632000000000005</v>
      </c>
      <c r="H96" s="36">
        <v>0.98</v>
      </c>
      <c r="I96" s="4">
        <v>363.45600000000002</v>
      </c>
      <c r="J96" s="4">
        <v>884.98800000000006</v>
      </c>
      <c r="K96" s="7">
        <v>5.4610000000000003</v>
      </c>
      <c r="L96" s="4">
        <v>12.634</v>
      </c>
      <c r="M96" s="4">
        <v>15.007</v>
      </c>
      <c r="N96" s="7">
        <v>26.134</v>
      </c>
      <c r="O96" s="4">
        <v>748.01700000000005</v>
      </c>
      <c r="P96" s="4">
        <v>391.35599999999999</v>
      </c>
      <c r="Q96" s="4">
        <v>4.5030000000000001</v>
      </c>
      <c r="R96" s="70"/>
    </row>
    <row r="97" spans="1:18">
      <c r="B97">
        <v>0.5</v>
      </c>
      <c r="C97" s="4">
        <v>12.644</v>
      </c>
      <c r="D97" s="4">
        <v>17.183</v>
      </c>
      <c r="E97" s="4">
        <v>31.463999999999999</v>
      </c>
      <c r="F97" s="4">
        <v>317.483</v>
      </c>
      <c r="G97" s="4">
        <v>85.65</v>
      </c>
      <c r="H97" s="36">
        <v>0.98</v>
      </c>
      <c r="I97" s="4">
        <v>358.447</v>
      </c>
      <c r="J97" s="4">
        <v>875.60500000000002</v>
      </c>
      <c r="K97" s="7">
        <v>5.2229999999999999</v>
      </c>
      <c r="L97" s="4">
        <v>12.192</v>
      </c>
      <c r="M97" s="4">
        <v>15.269</v>
      </c>
      <c r="N97" s="7">
        <v>26.321999999999999</v>
      </c>
      <c r="O97" s="4">
        <v>755.255</v>
      </c>
      <c r="P97" s="4">
        <v>390.59300000000002</v>
      </c>
      <c r="Q97" s="4">
        <v>5.173</v>
      </c>
      <c r="R97" s="70"/>
    </row>
    <row r="98" spans="1:18">
      <c r="A98">
        <v>35</v>
      </c>
      <c r="B98">
        <v>0.58299999999999996</v>
      </c>
      <c r="C98" s="4">
        <v>13.459</v>
      </c>
      <c r="D98" s="4">
        <v>16.917000000000002</v>
      </c>
      <c r="E98" s="34">
        <v>0.98</v>
      </c>
      <c r="F98" s="4">
        <v>244.98500000000001</v>
      </c>
      <c r="G98" s="4">
        <v>81.305000000000007</v>
      </c>
      <c r="H98" s="36">
        <v>0.98</v>
      </c>
      <c r="I98" s="4">
        <v>227.13900000000001</v>
      </c>
      <c r="J98" s="4">
        <v>613.20899999999995</v>
      </c>
      <c r="K98" s="7">
        <v>3.0070000000000001</v>
      </c>
      <c r="L98" s="4">
        <v>15.494999999999999</v>
      </c>
      <c r="M98" s="4">
        <v>17.440999999999999</v>
      </c>
      <c r="N98" s="7">
        <v>15.034000000000001</v>
      </c>
      <c r="O98" s="4">
        <v>416.56900000000002</v>
      </c>
      <c r="P98" s="4">
        <v>19.222000000000001</v>
      </c>
      <c r="Q98" s="34">
        <v>0.98</v>
      </c>
      <c r="R98" s="70"/>
    </row>
    <row r="99" spans="1:18">
      <c r="B99">
        <v>0.58299999999999996</v>
      </c>
      <c r="C99" s="4">
        <v>13.654</v>
      </c>
      <c r="D99" s="4">
        <v>16.832000000000001</v>
      </c>
      <c r="E99" s="4">
        <v>70.012</v>
      </c>
      <c r="F99" s="4">
        <v>250.054</v>
      </c>
      <c r="G99" s="4">
        <v>80.11</v>
      </c>
      <c r="H99" s="36">
        <v>0.98</v>
      </c>
      <c r="I99" s="4">
        <v>225.881</v>
      </c>
      <c r="J99" s="4">
        <v>615.28700000000003</v>
      </c>
      <c r="K99" s="7">
        <v>2.8410000000000002</v>
      </c>
      <c r="L99" s="4">
        <v>15.776999999999999</v>
      </c>
      <c r="M99" s="4">
        <v>17.734999999999999</v>
      </c>
      <c r="N99" s="7">
        <v>15.199</v>
      </c>
      <c r="O99" s="4">
        <v>403.32100000000003</v>
      </c>
      <c r="P99" s="4">
        <v>20.085000000000001</v>
      </c>
      <c r="Q99" s="34">
        <v>0.98</v>
      </c>
      <c r="R99" s="70"/>
    </row>
    <row r="100" spans="1:18">
      <c r="B100">
        <v>0.58299999999999996</v>
      </c>
      <c r="C100" s="4">
        <v>13.553000000000001</v>
      </c>
      <c r="D100" s="4">
        <v>17.154</v>
      </c>
      <c r="E100" s="4">
        <v>33.762</v>
      </c>
      <c r="F100" s="4">
        <v>248.06800000000001</v>
      </c>
      <c r="G100" s="4">
        <v>80.83</v>
      </c>
      <c r="H100" s="36">
        <v>0.98</v>
      </c>
      <c r="I100" s="4">
        <v>224.00200000000001</v>
      </c>
      <c r="J100" s="4">
        <v>559.803</v>
      </c>
      <c r="K100" s="7">
        <v>2.87</v>
      </c>
      <c r="L100" s="4">
        <v>15.073</v>
      </c>
      <c r="M100" s="4">
        <v>17.132999999999999</v>
      </c>
      <c r="N100" s="7">
        <v>15.545</v>
      </c>
      <c r="O100" s="4">
        <v>407.99400000000003</v>
      </c>
      <c r="P100" s="4">
        <v>17.187999999999999</v>
      </c>
      <c r="Q100" s="34">
        <v>0.98</v>
      </c>
      <c r="R100" s="70"/>
    </row>
    <row r="101" spans="1:18">
      <c r="A101">
        <v>40</v>
      </c>
      <c r="B101">
        <v>0.66700000000000004</v>
      </c>
      <c r="C101" s="4">
        <v>13.654</v>
      </c>
      <c r="D101" s="4">
        <v>16.655999999999999</v>
      </c>
      <c r="E101" s="4">
        <v>8.2509999999999994</v>
      </c>
      <c r="F101" s="4">
        <v>232.62799999999999</v>
      </c>
      <c r="G101" s="4">
        <v>80.915000000000006</v>
      </c>
      <c r="H101" s="36">
        <v>0.98</v>
      </c>
      <c r="I101" s="4">
        <v>143.34</v>
      </c>
      <c r="J101" s="4">
        <v>356.56900000000002</v>
      </c>
      <c r="K101" s="7">
        <v>1.0860000000000001</v>
      </c>
      <c r="L101" s="4">
        <v>9.2330000000000005</v>
      </c>
      <c r="M101" s="4">
        <v>23.591999999999999</v>
      </c>
      <c r="N101" s="7">
        <v>13.699</v>
      </c>
      <c r="O101" s="4">
        <v>193.28200000000001</v>
      </c>
      <c r="P101" s="4">
        <v>138.16499999999999</v>
      </c>
      <c r="Q101" s="33"/>
      <c r="R101" s="70"/>
    </row>
    <row r="102" spans="1:18">
      <c r="B102">
        <v>0.66700000000000004</v>
      </c>
      <c r="C102" s="4">
        <v>13.622999999999999</v>
      </c>
      <c r="D102" s="4">
        <v>16.811</v>
      </c>
      <c r="E102" s="4">
        <v>8.1120000000000001</v>
      </c>
      <c r="F102" s="4">
        <v>239.33799999999999</v>
      </c>
      <c r="G102" s="4">
        <v>81.549000000000007</v>
      </c>
      <c r="H102" s="36">
        <v>0.98</v>
      </c>
      <c r="I102" s="4">
        <v>147.32400000000001</v>
      </c>
      <c r="J102" s="4">
        <v>351.47800000000001</v>
      </c>
      <c r="K102" s="7">
        <v>1.1659999999999999</v>
      </c>
      <c r="L102" s="4">
        <v>8.5060000000000002</v>
      </c>
      <c r="M102" s="4">
        <v>23.45</v>
      </c>
      <c r="N102" s="7">
        <v>13.701000000000001</v>
      </c>
      <c r="O102" s="4">
        <v>198.14400000000001</v>
      </c>
      <c r="P102" s="4">
        <v>134.804</v>
      </c>
      <c r="Q102" s="33"/>
      <c r="R102" s="70"/>
    </row>
    <row r="103" spans="1:18">
      <c r="B103">
        <v>0.66700000000000004</v>
      </c>
      <c r="C103" s="4">
        <v>13.48</v>
      </c>
      <c r="D103" s="4">
        <v>16.585000000000001</v>
      </c>
      <c r="E103" s="4">
        <v>8.0310000000000006</v>
      </c>
      <c r="F103" s="4">
        <v>238.59299999999999</v>
      </c>
      <c r="G103" s="4">
        <v>82.075000000000003</v>
      </c>
      <c r="H103" s="36">
        <v>0.98</v>
      </c>
      <c r="I103" s="4">
        <v>146.565</v>
      </c>
      <c r="J103" s="4">
        <v>344.73700000000002</v>
      </c>
      <c r="K103" s="7">
        <v>1.3240000000000001</v>
      </c>
      <c r="L103" s="4">
        <v>8.8780000000000001</v>
      </c>
      <c r="M103" s="4">
        <v>24.135000000000002</v>
      </c>
      <c r="N103" s="7">
        <v>13.762</v>
      </c>
      <c r="O103" s="4">
        <v>195.79300000000001</v>
      </c>
      <c r="P103" s="4">
        <v>136.57599999999999</v>
      </c>
      <c r="Q103" s="33"/>
      <c r="R103" s="70"/>
    </row>
    <row r="104" spans="1:18">
      <c r="A104">
        <v>45</v>
      </c>
      <c r="B104">
        <v>0.75</v>
      </c>
      <c r="C104" s="4">
        <v>13.776999999999999</v>
      </c>
      <c r="D104" s="4">
        <v>15.443</v>
      </c>
      <c r="E104" s="4">
        <v>8.1229999999999993</v>
      </c>
      <c r="F104" s="4">
        <v>156.55600000000001</v>
      </c>
      <c r="G104" s="4">
        <v>76.56</v>
      </c>
      <c r="H104" s="36">
        <v>0.98</v>
      </c>
      <c r="I104" s="4">
        <v>61.103999999999999</v>
      </c>
      <c r="J104" s="4">
        <v>213.45400000000001</v>
      </c>
      <c r="K104" s="7">
        <v>2.8180000000000001</v>
      </c>
      <c r="L104" s="4">
        <v>9.5909999999999993</v>
      </c>
      <c r="M104" s="4">
        <v>13.176</v>
      </c>
      <c r="N104" s="7">
        <v>10.272</v>
      </c>
      <c r="O104" s="4">
        <v>142.245</v>
      </c>
      <c r="P104" s="4">
        <v>117.845</v>
      </c>
      <c r="Q104" s="34">
        <v>0.98</v>
      </c>
      <c r="R104" s="70"/>
    </row>
    <row r="105" spans="1:18">
      <c r="B105">
        <v>0.75</v>
      </c>
      <c r="C105" s="4">
        <v>13.968999999999999</v>
      </c>
      <c r="D105" s="4">
        <v>15.539</v>
      </c>
      <c r="E105" s="4">
        <v>8.0749999999999993</v>
      </c>
      <c r="F105" s="4">
        <v>157.751</v>
      </c>
      <c r="G105" s="4">
        <v>76.659000000000006</v>
      </c>
      <c r="H105" s="36">
        <v>0.98</v>
      </c>
      <c r="I105" s="4">
        <v>55.890999999999998</v>
      </c>
      <c r="J105" s="4">
        <v>216.869</v>
      </c>
      <c r="K105" s="7">
        <v>2.8450000000000002</v>
      </c>
      <c r="L105" s="4">
        <v>9.5350000000000001</v>
      </c>
      <c r="M105" s="4">
        <v>13.462999999999999</v>
      </c>
      <c r="N105" s="7">
        <v>10.289</v>
      </c>
      <c r="O105" s="4">
        <v>142.971</v>
      </c>
      <c r="P105" s="4">
        <v>117.468</v>
      </c>
      <c r="Q105" s="34">
        <v>0.98</v>
      </c>
      <c r="R105" s="70"/>
    </row>
    <row r="106" spans="1:18">
      <c r="B106">
        <v>0.75</v>
      </c>
      <c r="C106" s="4">
        <v>13.753</v>
      </c>
      <c r="D106" s="4">
        <v>15.39</v>
      </c>
      <c r="E106" s="4">
        <v>8.0630000000000006</v>
      </c>
      <c r="F106" s="4">
        <v>158.238</v>
      </c>
      <c r="G106" s="4">
        <v>79.534999999999997</v>
      </c>
      <c r="H106" s="36">
        <v>0.98</v>
      </c>
      <c r="I106" s="4">
        <v>62.780999999999999</v>
      </c>
      <c r="J106" s="4">
        <v>224.48</v>
      </c>
      <c r="K106" s="7">
        <v>2.609</v>
      </c>
      <c r="L106" s="4">
        <v>9.4190000000000005</v>
      </c>
      <c r="M106" s="4">
        <v>13.414</v>
      </c>
      <c r="N106" s="7">
        <v>10.244999999999999</v>
      </c>
      <c r="O106" s="4">
        <v>145.124</v>
      </c>
      <c r="P106" s="4">
        <v>121.72799999999999</v>
      </c>
      <c r="Q106" s="34">
        <v>0.98</v>
      </c>
      <c r="R106" s="70"/>
    </row>
    <row r="107" spans="1:18">
      <c r="A107">
        <v>50</v>
      </c>
      <c r="B107">
        <v>0.83299999999999996</v>
      </c>
      <c r="C107" s="4">
        <v>13.39</v>
      </c>
      <c r="D107" s="4">
        <v>15.446</v>
      </c>
      <c r="E107" s="4">
        <v>7.96</v>
      </c>
      <c r="F107" s="4">
        <v>128.95500000000001</v>
      </c>
      <c r="G107" s="4">
        <v>74.406000000000006</v>
      </c>
      <c r="H107" s="36">
        <v>0.98</v>
      </c>
      <c r="I107" s="4">
        <v>22.681000000000001</v>
      </c>
      <c r="J107" s="4">
        <v>124.13</v>
      </c>
      <c r="K107" s="36">
        <v>0.98</v>
      </c>
      <c r="L107" s="4">
        <v>10.253</v>
      </c>
      <c r="M107" s="4">
        <v>15.981999999999999</v>
      </c>
      <c r="N107" s="7">
        <v>9.9339999999999993</v>
      </c>
      <c r="O107" s="4">
        <v>63.302999999999997</v>
      </c>
      <c r="P107" s="4">
        <v>82.379000000000005</v>
      </c>
      <c r="Q107" s="34">
        <v>0.98</v>
      </c>
      <c r="R107" s="70"/>
    </row>
    <row r="108" spans="1:18">
      <c r="B108">
        <v>0.83299999999999996</v>
      </c>
      <c r="C108" s="4">
        <v>13.455</v>
      </c>
      <c r="D108" s="4">
        <v>15.446</v>
      </c>
      <c r="E108" s="4">
        <v>7.9329999999999998</v>
      </c>
      <c r="F108" s="4">
        <v>130.09</v>
      </c>
      <c r="G108" s="4">
        <v>74.731999999999999</v>
      </c>
      <c r="H108" s="36">
        <v>0.98</v>
      </c>
      <c r="I108" s="4">
        <v>17.07</v>
      </c>
      <c r="J108" s="4">
        <v>126.15600000000001</v>
      </c>
      <c r="K108" s="36">
        <v>0.98</v>
      </c>
      <c r="L108" s="4">
        <v>9.7059999999999995</v>
      </c>
      <c r="M108" s="4">
        <v>15.615</v>
      </c>
      <c r="N108" s="7">
        <v>10.007999999999999</v>
      </c>
      <c r="O108" s="4">
        <v>67.763999999999996</v>
      </c>
      <c r="P108" s="4">
        <v>81.941999999999993</v>
      </c>
      <c r="Q108" s="34">
        <v>0.98</v>
      </c>
      <c r="R108" s="70"/>
    </row>
    <row r="109" spans="1:18">
      <c r="B109">
        <v>0.83299999999999996</v>
      </c>
      <c r="C109" s="4">
        <v>13.446999999999999</v>
      </c>
      <c r="D109" s="4">
        <v>15.427</v>
      </c>
      <c r="E109" s="4">
        <v>7.88</v>
      </c>
      <c r="F109" s="4">
        <v>130.90100000000001</v>
      </c>
      <c r="G109" s="4">
        <v>72.822999999999993</v>
      </c>
      <c r="H109" s="36">
        <v>0.98</v>
      </c>
      <c r="I109" s="4">
        <v>19.890999999999998</v>
      </c>
      <c r="J109" s="4">
        <v>127.09399999999999</v>
      </c>
      <c r="K109" s="36">
        <v>0.98</v>
      </c>
      <c r="L109" s="4">
        <v>10.186999999999999</v>
      </c>
      <c r="M109" s="4">
        <v>15.856999999999999</v>
      </c>
      <c r="N109" s="7">
        <v>10.007</v>
      </c>
      <c r="O109" s="4">
        <v>65.106999999999999</v>
      </c>
      <c r="P109" s="4">
        <v>84.775999999999996</v>
      </c>
      <c r="Q109" s="34">
        <v>0.98</v>
      </c>
      <c r="R109" s="70"/>
    </row>
    <row r="110" spans="1:18">
      <c r="A110">
        <v>55</v>
      </c>
      <c r="B110">
        <v>0.91700000000000004</v>
      </c>
      <c r="C110" s="4">
        <v>12.965999999999999</v>
      </c>
      <c r="D110" s="4">
        <v>15.951000000000001</v>
      </c>
      <c r="E110" s="4">
        <v>50.451000000000001</v>
      </c>
      <c r="F110" s="4">
        <v>119.741</v>
      </c>
      <c r="G110" s="4">
        <v>83.206000000000003</v>
      </c>
      <c r="H110" s="36">
        <v>0.98</v>
      </c>
      <c r="I110" s="36">
        <v>0.98</v>
      </c>
      <c r="J110" s="4">
        <v>69.051000000000002</v>
      </c>
      <c r="K110" s="36">
        <v>0.98</v>
      </c>
      <c r="L110" s="4">
        <v>12.861000000000001</v>
      </c>
      <c r="M110" s="4">
        <v>10.885999999999999</v>
      </c>
      <c r="N110" s="7">
        <v>5.89</v>
      </c>
      <c r="O110" s="34">
        <v>0.98</v>
      </c>
      <c r="P110" s="4">
        <v>54.433999999999997</v>
      </c>
      <c r="Q110" s="34">
        <v>0.98</v>
      </c>
      <c r="R110" s="70"/>
    </row>
    <row r="111" spans="1:18">
      <c r="B111">
        <v>0.91700000000000004</v>
      </c>
      <c r="C111" s="4">
        <v>13.582000000000001</v>
      </c>
      <c r="D111" s="4">
        <v>16.327000000000002</v>
      </c>
      <c r="E111" s="4">
        <v>50.704000000000001</v>
      </c>
      <c r="F111" s="4">
        <v>121.983</v>
      </c>
      <c r="G111" s="4">
        <v>81.168999999999997</v>
      </c>
      <c r="H111" s="36">
        <v>0.98</v>
      </c>
      <c r="I111" s="4">
        <v>103.857</v>
      </c>
      <c r="J111" s="4">
        <v>68.013999999999996</v>
      </c>
      <c r="K111" s="36">
        <v>0.98</v>
      </c>
      <c r="L111" s="4">
        <v>12.590999999999999</v>
      </c>
      <c r="M111" s="4">
        <v>10.866</v>
      </c>
      <c r="N111" s="7">
        <v>5.6630000000000003</v>
      </c>
      <c r="O111" s="34">
        <v>0.98</v>
      </c>
      <c r="P111" s="4">
        <v>56.597999999999999</v>
      </c>
      <c r="Q111" s="34">
        <v>0.98</v>
      </c>
      <c r="R111" s="70"/>
    </row>
    <row r="112" spans="1:18">
      <c r="B112">
        <v>0.91700000000000004</v>
      </c>
      <c r="C112" s="4">
        <v>13.486000000000001</v>
      </c>
      <c r="D112" s="4">
        <v>15.333</v>
      </c>
      <c r="E112" s="4">
        <v>49.912999999999997</v>
      </c>
      <c r="F112" s="4">
        <v>123.09099999999999</v>
      </c>
      <c r="G112" s="4">
        <v>82.522000000000006</v>
      </c>
      <c r="H112" s="36">
        <v>0.98</v>
      </c>
      <c r="I112" s="4">
        <v>104.468</v>
      </c>
      <c r="J112" s="4">
        <v>68.722999999999999</v>
      </c>
      <c r="K112" s="36">
        <v>0.98</v>
      </c>
      <c r="L112" s="4">
        <v>13.034000000000001</v>
      </c>
      <c r="M112" s="4">
        <v>10.840999999999999</v>
      </c>
      <c r="N112" s="7">
        <v>5.7380000000000004</v>
      </c>
      <c r="O112" s="34">
        <v>0.98</v>
      </c>
      <c r="P112" s="4">
        <v>54.68</v>
      </c>
      <c r="Q112" s="34">
        <v>0.98</v>
      </c>
      <c r="R112" s="70"/>
    </row>
    <row r="113" spans="1:18">
      <c r="A113">
        <v>60</v>
      </c>
      <c r="B113">
        <v>1</v>
      </c>
      <c r="C113" s="4">
        <v>16.204000000000001</v>
      </c>
      <c r="D113" s="4">
        <v>110.953</v>
      </c>
      <c r="E113" s="4">
        <v>55.454000000000001</v>
      </c>
      <c r="F113" s="4">
        <v>104.089</v>
      </c>
      <c r="G113" s="4">
        <v>86.207999999999998</v>
      </c>
      <c r="H113" s="36">
        <v>0.98</v>
      </c>
      <c r="I113" s="34">
        <v>0.98</v>
      </c>
      <c r="J113" s="4">
        <v>1.4450000000000001</v>
      </c>
      <c r="K113" s="36">
        <v>0.98</v>
      </c>
      <c r="L113" s="4">
        <v>9.4350000000000005</v>
      </c>
      <c r="M113" s="4">
        <v>15.176</v>
      </c>
      <c r="N113" s="7">
        <v>3.8109999999999999</v>
      </c>
      <c r="O113" s="34">
        <v>0.98</v>
      </c>
      <c r="P113" s="4">
        <v>34.741</v>
      </c>
      <c r="Q113" s="4">
        <v>2.4489999999999998</v>
      </c>
      <c r="R113" s="70"/>
    </row>
    <row r="114" spans="1:18">
      <c r="B114">
        <v>1</v>
      </c>
      <c r="C114" s="4">
        <v>16.119</v>
      </c>
      <c r="D114" s="4">
        <v>110.26600000000001</v>
      </c>
      <c r="E114" s="4">
        <v>56.283999999999999</v>
      </c>
      <c r="F114" s="4">
        <v>103.572</v>
      </c>
      <c r="G114" s="4">
        <v>86.808999999999997</v>
      </c>
      <c r="H114" s="36">
        <v>0.98</v>
      </c>
      <c r="I114" s="34">
        <v>0.98</v>
      </c>
      <c r="J114" s="4">
        <v>4.407</v>
      </c>
      <c r="K114" s="36">
        <v>0.98</v>
      </c>
      <c r="L114" s="4">
        <v>9.6739999999999995</v>
      </c>
      <c r="M114" s="4">
        <v>15.087999999999999</v>
      </c>
      <c r="N114" s="7">
        <v>3.9119999999999999</v>
      </c>
      <c r="O114" s="34">
        <v>0.98</v>
      </c>
      <c r="P114" s="4">
        <v>34.353999999999999</v>
      </c>
      <c r="Q114" s="4">
        <v>2.5830000000000002</v>
      </c>
      <c r="R114" s="70"/>
    </row>
    <row r="115" spans="1:18">
      <c r="B115">
        <v>1</v>
      </c>
      <c r="C115" s="4">
        <v>16.192</v>
      </c>
      <c r="D115" s="4">
        <v>110.387</v>
      </c>
      <c r="E115" s="4">
        <v>56.524000000000001</v>
      </c>
      <c r="F115" s="4">
        <v>104.938</v>
      </c>
      <c r="G115" s="4">
        <v>85.155000000000001</v>
      </c>
      <c r="H115" s="36">
        <v>0.98</v>
      </c>
      <c r="I115" s="4">
        <v>52.142000000000003</v>
      </c>
      <c r="J115" s="4">
        <v>2.125</v>
      </c>
      <c r="K115" s="36">
        <v>0.98</v>
      </c>
      <c r="L115" s="38">
        <v>9.3439999999999994</v>
      </c>
      <c r="M115" s="4">
        <v>15.023</v>
      </c>
      <c r="N115" s="7">
        <v>3.8330000000000002</v>
      </c>
      <c r="O115" s="34">
        <v>0.98</v>
      </c>
      <c r="P115" s="4">
        <v>34.64</v>
      </c>
      <c r="Q115" s="4">
        <v>2.5529999999999999</v>
      </c>
      <c r="R115" s="70"/>
    </row>
    <row r="116" spans="1:18">
      <c r="B116">
        <v>2</v>
      </c>
      <c r="C116" s="4">
        <v>15.414999999999999</v>
      </c>
      <c r="D116" s="4">
        <v>19.184000000000001</v>
      </c>
      <c r="E116" s="4">
        <v>60.365000000000002</v>
      </c>
      <c r="F116" s="4">
        <v>11.343</v>
      </c>
      <c r="G116" s="4">
        <v>85.606999999999999</v>
      </c>
      <c r="H116" s="36">
        <v>0.98</v>
      </c>
      <c r="I116" s="4">
        <v>37.26</v>
      </c>
      <c r="J116" s="4">
        <v>35.395000000000003</v>
      </c>
      <c r="K116" s="36">
        <v>0.98</v>
      </c>
      <c r="L116" s="36">
        <v>0.98</v>
      </c>
      <c r="M116" s="4">
        <v>3.5230000000000001</v>
      </c>
      <c r="N116" s="7">
        <v>1.629</v>
      </c>
      <c r="O116" s="34">
        <v>0.98</v>
      </c>
      <c r="P116" s="34">
        <v>0.98</v>
      </c>
      <c r="Q116" s="34">
        <v>0.98</v>
      </c>
      <c r="R116" s="70"/>
    </row>
    <row r="117" spans="1:18">
      <c r="B117">
        <v>2</v>
      </c>
      <c r="C117" s="4">
        <v>15.747999999999999</v>
      </c>
      <c r="D117" s="4">
        <v>19.37</v>
      </c>
      <c r="E117" s="4">
        <v>60.287999999999997</v>
      </c>
      <c r="F117" s="4">
        <v>11.589</v>
      </c>
      <c r="G117" s="4">
        <v>87.055999999999997</v>
      </c>
      <c r="H117" s="36">
        <v>0.98</v>
      </c>
      <c r="I117" s="34">
        <v>0.98</v>
      </c>
      <c r="J117" s="4">
        <v>35.078000000000003</v>
      </c>
      <c r="K117" s="36">
        <v>0.98</v>
      </c>
      <c r="L117" s="36">
        <v>0.98</v>
      </c>
      <c r="M117" s="4">
        <v>3.55</v>
      </c>
      <c r="N117" s="7">
        <v>1.57</v>
      </c>
      <c r="O117" s="34">
        <v>0.98</v>
      </c>
      <c r="P117" s="34">
        <v>0.98</v>
      </c>
      <c r="Q117" s="34">
        <v>0.98</v>
      </c>
      <c r="R117" s="70"/>
    </row>
    <row r="118" spans="1:18">
      <c r="B118">
        <v>2</v>
      </c>
      <c r="C118" s="4">
        <v>15.646000000000001</v>
      </c>
      <c r="D118" s="4">
        <v>19.495999999999999</v>
      </c>
      <c r="E118" s="4">
        <v>59.850999999999999</v>
      </c>
      <c r="F118" s="4">
        <v>11.541</v>
      </c>
      <c r="G118" s="4">
        <v>86.528999999999996</v>
      </c>
      <c r="H118" s="36">
        <v>0.98</v>
      </c>
      <c r="I118" s="34">
        <v>0.98</v>
      </c>
      <c r="J118" s="4">
        <v>35.374000000000002</v>
      </c>
      <c r="K118" s="36">
        <v>0.98</v>
      </c>
      <c r="L118" s="36">
        <v>0.98</v>
      </c>
      <c r="M118" s="4">
        <v>3.718</v>
      </c>
      <c r="N118" s="7">
        <v>1.5029999999999999</v>
      </c>
      <c r="O118" s="34">
        <v>0.98</v>
      </c>
      <c r="P118" s="34">
        <v>0.98</v>
      </c>
      <c r="Q118" s="34">
        <v>0.98</v>
      </c>
      <c r="R118" s="70"/>
    </row>
    <row r="119" spans="1:18">
      <c r="B119">
        <v>3</v>
      </c>
      <c r="C119" s="4">
        <v>27.117000000000001</v>
      </c>
      <c r="D119" s="4">
        <v>27.792999999999999</v>
      </c>
      <c r="E119" s="4">
        <v>51.311</v>
      </c>
      <c r="F119" s="4">
        <v>15.760999999999999</v>
      </c>
      <c r="G119" s="4">
        <v>117.84</v>
      </c>
      <c r="H119" s="35">
        <v>141.68600000000001</v>
      </c>
      <c r="I119" s="34">
        <v>0.98</v>
      </c>
      <c r="J119" s="4">
        <v>77.438999999999993</v>
      </c>
      <c r="K119" s="36">
        <v>0.98</v>
      </c>
      <c r="L119" s="36">
        <v>0.98</v>
      </c>
      <c r="M119" s="4">
        <v>1.4630000000000001</v>
      </c>
      <c r="N119" s="7">
        <v>3.0019999999999998</v>
      </c>
      <c r="O119" s="34">
        <v>0.98</v>
      </c>
      <c r="P119" s="34">
        <v>0.98</v>
      </c>
      <c r="Q119" s="34">
        <v>0.98</v>
      </c>
      <c r="R119" s="70"/>
    </row>
    <row r="120" spans="1:18">
      <c r="B120">
        <v>3</v>
      </c>
      <c r="C120" s="4">
        <v>27.344999999999999</v>
      </c>
      <c r="D120" s="4">
        <v>27.93</v>
      </c>
      <c r="E120" s="4">
        <v>52.805999999999997</v>
      </c>
      <c r="F120" s="4">
        <v>15.602</v>
      </c>
      <c r="G120" s="4">
        <v>116.229</v>
      </c>
      <c r="H120" s="4">
        <v>165.5</v>
      </c>
      <c r="I120" s="34">
        <v>0.98</v>
      </c>
      <c r="J120" s="4">
        <v>77.018000000000001</v>
      </c>
      <c r="K120" s="36">
        <v>0.98</v>
      </c>
      <c r="L120" s="36">
        <v>0.98</v>
      </c>
      <c r="M120" s="4">
        <v>1.327</v>
      </c>
      <c r="N120" s="7">
        <v>2.85</v>
      </c>
      <c r="O120" s="34">
        <v>0.98</v>
      </c>
      <c r="P120" s="34">
        <v>0.98</v>
      </c>
      <c r="Q120" s="34">
        <v>0.98</v>
      </c>
      <c r="R120" s="70"/>
    </row>
    <row r="121" spans="1:18">
      <c r="B121">
        <v>3</v>
      </c>
      <c r="C121" s="4">
        <v>26.786000000000001</v>
      </c>
      <c r="D121" s="4">
        <v>27.648</v>
      </c>
      <c r="E121" s="4">
        <v>52.100999999999999</v>
      </c>
      <c r="F121" s="4">
        <v>15.646000000000001</v>
      </c>
      <c r="G121" s="4">
        <v>118.613</v>
      </c>
      <c r="H121" s="4">
        <v>138.52600000000001</v>
      </c>
      <c r="I121" s="34">
        <v>0.98</v>
      </c>
      <c r="J121" s="4">
        <v>80.402000000000001</v>
      </c>
      <c r="K121" s="36">
        <v>0.98</v>
      </c>
      <c r="L121" s="36">
        <v>0.98</v>
      </c>
      <c r="M121" s="4">
        <v>1.167</v>
      </c>
      <c r="N121" s="7">
        <v>2.8660000000000001</v>
      </c>
      <c r="O121" s="34">
        <v>0.98</v>
      </c>
      <c r="P121" s="34">
        <v>0.98</v>
      </c>
      <c r="Q121" s="34">
        <v>0.98</v>
      </c>
      <c r="R121" s="70"/>
    </row>
    <row r="122" spans="1:18">
      <c r="B122">
        <v>4</v>
      </c>
      <c r="C122" s="4">
        <v>129.16</v>
      </c>
      <c r="D122" s="4">
        <v>29.908000000000001</v>
      </c>
      <c r="E122" s="4">
        <v>48.167999999999999</v>
      </c>
      <c r="F122" s="4">
        <v>17.888000000000002</v>
      </c>
      <c r="G122" s="4">
        <v>119.59099999999999</v>
      </c>
      <c r="H122" s="4">
        <v>130.566</v>
      </c>
      <c r="I122" s="34">
        <v>0.98</v>
      </c>
      <c r="J122" s="4">
        <v>93.004999999999995</v>
      </c>
      <c r="K122" s="36">
        <v>0.98</v>
      </c>
      <c r="L122" s="36">
        <v>0.98</v>
      </c>
      <c r="M122" s="4">
        <v>5.3010000000000002</v>
      </c>
      <c r="N122" s="7">
        <v>3.6379999999999999</v>
      </c>
      <c r="O122" s="34">
        <v>0.98</v>
      </c>
      <c r="P122" s="34">
        <v>0.98</v>
      </c>
      <c r="Q122" s="34">
        <v>0.98</v>
      </c>
      <c r="R122" s="70"/>
    </row>
    <row r="123" spans="1:18">
      <c r="B123">
        <v>4</v>
      </c>
      <c r="C123" s="4">
        <v>129.64599999999999</v>
      </c>
      <c r="D123" s="4">
        <v>29.666</v>
      </c>
      <c r="E123" s="4">
        <v>49.106999999999999</v>
      </c>
      <c r="F123" s="4">
        <v>17.652000000000001</v>
      </c>
      <c r="G123" s="4">
        <v>117.355</v>
      </c>
      <c r="H123" s="4">
        <v>129.77799999999999</v>
      </c>
      <c r="I123" s="34">
        <v>0.98</v>
      </c>
      <c r="J123" s="4">
        <v>92.822000000000003</v>
      </c>
      <c r="K123" s="36">
        <v>0.98</v>
      </c>
      <c r="L123" s="36">
        <v>0.98</v>
      </c>
      <c r="M123" s="4">
        <v>5.4569999999999999</v>
      </c>
      <c r="N123" s="7">
        <v>3.4769999999999999</v>
      </c>
      <c r="O123" s="34">
        <v>0.98</v>
      </c>
      <c r="P123" s="34">
        <v>0.98</v>
      </c>
      <c r="Q123" s="34">
        <v>0.98</v>
      </c>
      <c r="R123" s="70"/>
    </row>
    <row r="124" spans="1:18">
      <c r="B124">
        <v>4</v>
      </c>
      <c r="C124" s="4">
        <v>129.92400000000001</v>
      </c>
      <c r="D124" s="4">
        <v>29.856999999999999</v>
      </c>
      <c r="E124" s="4">
        <v>49.402000000000001</v>
      </c>
      <c r="F124" s="4">
        <v>17.745999999999999</v>
      </c>
      <c r="G124" s="4">
        <v>118.82599999999999</v>
      </c>
      <c r="H124" s="4">
        <v>153.53299999999999</v>
      </c>
      <c r="I124" s="4">
        <v>60.918999999999997</v>
      </c>
      <c r="J124" s="4">
        <v>91.603999999999999</v>
      </c>
      <c r="K124" s="36">
        <v>0.98</v>
      </c>
      <c r="L124" s="36">
        <v>0.98</v>
      </c>
      <c r="M124" s="4">
        <v>5.5170000000000003</v>
      </c>
      <c r="N124" s="7">
        <v>3.6349999999999998</v>
      </c>
      <c r="O124" s="34">
        <v>0.98</v>
      </c>
      <c r="P124" s="34">
        <v>0.98</v>
      </c>
      <c r="Q124" s="34">
        <v>0.98</v>
      </c>
      <c r="R124" s="70"/>
    </row>
    <row r="125" spans="1:18">
      <c r="B125">
        <v>5</v>
      </c>
      <c r="C125" s="31">
        <v>0.98</v>
      </c>
      <c r="D125" s="4">
        <v>155.28</v>
      </c>
      <c r="E125" s="4">
        <v>27.716999999999999</v>
      </c>
      <c r="F125" s="4">
        <v>18.62</v>
      </c>
      <c r="G125" s="4">
        <v>163.155</v>
      </c>
      <c r="H125" s="4">
        <v>288.11799999999999</v>
      </c>
      <c r="I125" s="4">
        <v>76.268000000000001</v>
      </c>
      <c r="J125" s="4">
        <v>99.483000000000004</v>
      </c>
      <c r="K125" s="36">
        <v>0.98</v>
      </c>
      <c r="L125" s="36">
        <v>0.98</v>
      </c>
      <c r="M125" s="4">
        <v>3.8479999999999999</v>
      </c>
      <c r="N125" s="7">
        <v>3.48</v>
      </c>
      <c r="O125" s="34">
        <v>0.98</v>
      </c>
      <c r="P125" s="34">
        <v>0.98</v>
      </c>
      <c r="Q125" s="34">
        <v>0.98</v>
      </c>
      <c r="R125" s="70"/>
    </row>
    <row r="126" spans="1:18">
      <c r="B126">
        <v>5</v>
      </c>
      <c r="C126" s="4">
        <v>173.02199999999999</v>
      </c>
      <c r="D126" s="4">
        <v>161.584</v>
      </c>
      <c r="E126" s="4">
        <v>27.452000000000002</v>
      </c>
      <c r="F126" s="4">
        <v>18.468</v>
      </c>
      <c r="G126" s="4">
        <v>164.34299999999999</v>
      </c>
      <c r="H126" s="4">
        <v>278.88400000000001</v>
      </c>
      <c r="I126" s="34">
        <v>0.98</v>
      </c>
      <c r="J126" s="4">
        <v>98.465999999999994</v>
      </c>
      <c r="K126" s="36">
        <v>0.98</v>
      </c>
      <c r="L126" s="36">
        <v>0.98</v>
      </c>
      <c r="M126" s="4">
        <v>3.819</v>
      </c>
      <c r="N126" s="7">
        <v>3.3250000000000002</v>
      </c>
      <c r="O126" s="34">
        <v>0.98</v>
      </c>
      <c r="P126" s="34">
        <v>0.98</v>
      </c>
      <c r="Q126" s="34">
        <v>0.98</v>
      </c>
      <c r="R126" s="70"/>
    </row>
    <row r="127" spans="1:18">
      <c r="B127">
        <v>5</v>
      </c>
      <c r="C127" s="4">
        <v>171.8</v>
      </c>
      <c r="D127" s="4">
        <v>156.547</v>
      </c>
      <c r="E127" s="4">
        <v>27.286999999999999</v>
      </c>
      <c r="F127" s="4">
        <v>18.423999999999999</v>
      </c>
      <c r="G127" s="4">
        <v>162.286</v>
      </c>
      <c r="H127" s="4">
        <v>261.30500000000001</v>
      </c>
      <c r="I127" s="4">
        <v>75.587999999999994</v>
      </c>
      <c r="J127" s="4">
        <v>103.825</v>
      </c>
      <c r="K127" s="36">
        <v>0.98</v>
      </c>
      <c r="L127" s="36">
        <v>0.98</v>
      </c>
      <c r="M127" s="4">
        <v>3.871</v>
      </c>
      <c r="N127" s="7">
        <v>3.3010000000000002</v>
      </c>
      <c r="O127" s="34">
        <v>0.98</v>
      </c>
      <c r="P127" s="34">
        <v>0.98</v>
      </c>
      <c r="Q127" s="34">
        <v>0.98</v>
      </c>
      <c r="R127" s="70"/>
    </row>
    <row r="128" spans="1:18">
      <c r="B128">
        <v>6</v>
      </c>
      <c r="C128" s="4">
        <v>171.68899999999999</v>
      </c>
      <c r="D128" s="4">
        <v>158.709</v>
      </c>
      <c r="E128" s="4">
        <v>41.683</v>
      </c>
      <c r="F128" s="4">
        <v>11.74</v>
      </c>
      <c r="G128" s="4">
        <v>155.84700000000001</v>
      </c>
      <c r="H128" s="4">
        <v>251.33600000000001</v>
      </c>
      <c r="I128" s="4">
        <v>83.39</v>
      </c>
      <c r="J128" s="4">
        <v>71.207999999999998</v>
      </c>
      <c r="K128" s="36">
        <v>0.98</v>
      </c>
      <c r="L128" s="36">
        <v>0.98</v>
      </c>
      <c r="M128" s="4">
        <v>5.9390000000000001</v>
      </c>
      <c r="N128" s="36">
        <v>0.98</v>
      </c>
      <c r="O128" s="34">
        <v>0.98</v>
      </c>
      <c r="P128" s="34">
        <v>0.98</v>
      </c>
      <c r="Q128" s="34">
        <v>0.98</v>
      </c>
      <c r="R128" s="70"/>
    </row>
    <row r="129" spans="2:18">
      <c r="B129">
        <v>6</v>
      </c>
      <c r="C129" s="4">
        <v>172.26</v>
      </c>
      <c r="D129" s="4">
        <v>161.06</v>
      </c>
      <c r="E129" s="4">
        <v>40.701000000000001</v>
      </c>
      <c r="F129" s="4">
        <v>11.618</v>
      </c>
      <c r="G129" s="4">
        <v>146.76499999999999</v>
      </c>
      <c r="H129" s="4">
        <v>248.26900000000001</v>
      </c>
      <c r="I129" s="4">
        <v>84.070999999999998</v>
      </c>
      <c r="J129" s="4">
        <v>70.641999999999996</v>
      </c>
      <c r="K129" s="36">
        <v>0.98</v>
      </c>
      <c r="L129" s="36">
        <v>0.98</v>
      </c>
      <c r="M129" s="4">
        <v>6.2050000000000001</v>
      </c>
      <c r="N129" s="36">
        <v>0.98</v>
      </c>
      <c r="O129" s="34">
        <v>0.98</v>
      </c>
      <c r="P129" s="34">
        <v>0.98</v>
      </c>
      <c r="Q129" s="34">
        <v>0.98</v>
      </c>
      <c r="R129" s="70"/>
    </row>
    <row r="130" spans="2:18">
      <c r="B130">
        <v>6</v>
      </c>
      <c r="C130" s="4">
        <v>170.70599999999999</v>
      </c>
      <c r="D130" s="4">
        <v>160.26300000000001</v>
      </c>
      <c r="E130" s="4">
        <v>41.03</v>
      </c>
      <c r="F130" s="4">
        <v>11.603999999999999</v>
      </c>
      <c r="G130" s="4">
        <v>150.08500000000001</v>
      </c>
      <c r="H130" s="4">
        <v>243.23099999999999</v>
      </c>
      <c r="I130" s="34">
        <v>0.98</v>
      </c>
      <c r="J130" s="36">
        <v>0.98</v>
      </c>
      <c r="K130" s="36">
        <v>0.98</v>
      </c>
      <c r="L130" s="36">
        <v>0.98</v>
      </c>
      <c r="M130" s="4">
        <v>6.0529999999999999</v>
      </c>
      <c r="N130" s="36">
        <v>0.98</v>
      </c>
      <c r="O130" s="34">
        <v>0.98</v>
      </c>
      <c r="P130" s="34">
        <v>0.98</v>
      </c>
      <c r="Q130" s="34">
        <v>0.98</v>
      </c>
      <c r="R130" s="70"/>
    </row>
    <row r="131" spans="2:18">
      <c r="B131">
        <v>7</v>
      </c>
      <c r="C131" s="4">
        <v>50.235999999999997</v>
      </c>
      <c r="D131" s="4">
        <v>135.52099999999999</v>
      </c>
      <c r="E131" s="4">
        <v>78.942999999999998</v>
      </c>
      <c r="F131" s="4">
        <v>13.246</v>
      </c>
      <c r="G131" s="4">
        <v>154.04300000000001</v>
      </c>
      <c r="H131" s="4">
        <v>238.43600000000001</v>
      </c>
      <c r="I131" s="4">
        <v>91.462999999999994</v>
      </c>
      <c r="J131" s="4">
        <v>78.346000000000004</v>
      </c>
      <c r="K131" s="36">
        <v>0.98</v>
      </c>
      <c r="L131" s="36">
        <v>0.98</v>
      </c>
      <c r="M131" s="4">
        <v>4.9770000000000003</v>
      </c>
      <c r="N131" s="36">
        <v>0.98</v>
      </c>
      <c r="O131" s="34">
        <v>0.98</v>
      </c>
      <c r="P131" s="34">
        <v>0.98</v>
      </c>
      <c r="Q131" s="33"/>
      <c r="R131" s="70"/>
    </row>
    <row r="132" spans="2:18">
      <c r="B132">
        <v>7</v>
      </c>
      <c r="C132" s="4">
        <v>50.351999999999997</v>
      </c>
      <c r="D132" s="4">
        <v>135.96</v>
      </c>
      <c r="E132" s="4">
        <v>79.787000000000006</v>
      </c>
      <c r="F132" s="4">
        <v>13.27</v>
      </c>
      <c r="G132" s="4">
        <v>148.648</v>
      </c>
      <c r="H132" s="4">
        <v>239.83099999999999</v>
      </c>
      <c r="I132" s="4">
        <v>89.507000000000005</v>
      </c>
      <c r="J132" s="4">
        <v>77.119</v>
      </c>
      <c r="K132" s="36">
        <v>0.98</v>
      </c>
      <c r="L132" s="36">
        <v>0.98</v>
      </c>
      <c r="M132" s="4">
        <v>5.2770000000000001</v>
      </c>
      <c r="N132" s="36">
        <v>0.98</v>
      </c>
      <c r="O132" s="34">
        <v>0.98</v>
      </c>
      <c r="P132" s="34">
        <v>0.98</v>
      </c>
      <c r="Q132" s="33"/>
      <c r="R132" s="70"/>
    </row>
    <row r="133" spans="2:18">
      <c r="B133">
        <v>7</v>
      </c>
      <c r="C133" s="4">
        <v>49.451000000000001</v>
      </c>
      <c r="D133" s="4">
        <v>138.083</v>
      </c>
      <c r="E133" s="4">
        <v>79.602999999999994</v>
      </c>
      <c r="F133" s="4">
        <v>13.287000000000001</v>
      </c>
      <c r="G133" s="4">
        <v>147.36000000000001</v>
      </c>
      <c r="H133" s="4">
        <v>228.97300000000001</v>
      </c>
      <c r="I133" s="4">
        <v>87.995000000000005</v>
      </c>
      <c r="J133" s="4">
        <v>77.384</v>
      </c>
      <c r="K133" s="36">
        <v>0.98</v>
      </c>
      <c r="L133" s="36">
        <v>0.98</v>
      </c>
      <c r="M133" s="4">
        <v>5.2279999999999998</v>
      </c>
      <c r="N133" s="36">
        <v>0.98</v>
      </c>
      <c r="O133" s="34">
        <v>0.98</v>
      </c>
      <c r="P133" s="34">
        <v>0.98</v>
      </c>
      <c r="Q133" s="33"/>
      <c r="R133" s="70"/>
    </row>
    <row r="134" spans="2:18">
      <c r="B134">
        <v>8</v>
      </c>
      <c r="C134" s="6">
        <v>139.733</v>
      </c>
      <c r="D134" s="4">
        <v>127.59</v>
      </c>
      <c r="E134" s="4">
        <v>97.176000000000002</v>
      </c>
      <c r="F134" s="43"/>
      <c r="G134" s="4">
        <v>142.53200000000001</v>
      </c>
      <c r="H134" s="4">
        <v>189.709</v>
      </c>
      <c r="I134" s="4">
        <v>82.760999999999996</v>
      </c>
      <c r="J134" s="43"/>
      <c r="K134" s="36">
        <v>0.98</v>
      </c>
      <c r="L134" s="4">
        <v>19.132999999999999</v>
      </c>
      <c r="M134" s="4">
        <v>3.88</v>
      </c>
      <c r="N134" s="43"/>
      <c r="O134" s="34">
        <v>0.98</v>
      </c>
      <c r="P134" s="34">
        <v>0.98</v>
      </c>
      <c r="Q134" s="34">
        <v>0.98</v>
      </c>
      <c r="R134" s="70"/>
    </row>
    <row r="135" spans="2:18">
      <c r="B135">
        <v>8</v>
      </c>
      <c r="C135" s="6">
        <v>142.113</v>
      </c>
      <c r="D135" s="4">
        <v>131.10900000000001</v>
      </c>
      <c r="E135" s="4">
        <v>96.320999999999998</v>
      </c>
      <c r="F135" s="43"/>
      <c r="G135" s="4">
        <v>142.73599999999999</v>
      </c>
      <c r="H135" s="4">
        <v>188.702</v>
      </c>
      <c r="I135" s="4">
        <v>83.09</v>
      </c>
      <c r="J135" s="43"/>
      <c r="K135" s="36">
        <v>0.98</v>
      </c>
      <c r="L135" s="4">
        <v>19.04</v>
      </c>
      <c r="M135" s="4">
        <v>3.83</v>
      </c>
      <c r="N135" s="43"/>
      <c r="O135" s="34">
        <v>0.98</v>
      </c>
      <c r="P135" s="34">
        <v>0.98</v>
      </c>
      <c r="Q135" s="34">
        <v>0.98</v>
      </c>
      <c r="R135" s="70"/>
    </row>
    <row r="136" spans="2:18">
      <c r="B136">
        <v>8</v>
      </c>
      <c r="C136" s="6">
        <v>142.86799999999999</v>
      </c>
      <c r="D136" s="4">
        <v>130.26499999999999</v>
      </c>
      <c r="E136" s="4">
        <v>94.796999999999997</v>
      </c>
      <c r="F136" s="43"/>
      <c r="G136" s="4">
        <v>138.148</v>
      </c>
      <c r="H136" s="4">
        <v>181.876</v>
      </c>
      <c r="I136" s="34">
        <v>0.98</v>
      </c>
      <c r="J136" s="43"/>
      <c r="K136" s="36">
        <v>0.98</v>
      </c>
      <c r="L136" s="4">
        <v>19.068999999999999</v>
      </c>
      <c r="M136" s="4">
        <v>3.82</v>
      </c>
      <c r="N136" s="43"/>
      <c r="O136" s="34">
        <v>0.98</v>
      </c>
      <c r="P136" s="34">
        <v>0.98</v>
      </c>
      <c r="Q136" s="34">
        <v>0.98</v>
      </c>
      <c r="R136" s="70"/>
    </row>
    <row r="137" spans="2:18">
      <c r="B137">
        <v>12</v>
      </c>
      <c r="C137" s="6">
        <v>126.843</v>
      </c>
      <c r="D137" s="4">
        <v>117.358</v>
      </c>
      <c r="E137" s="4">
        <v>108.479</v>
      </c>
      <c r="F137" s="4">
        <v>16.545000000000002</v>
      </c>
      <c r="G137" s="4">
        <v>140.92500000000001</v>
      </c>
      <c r="H137" s="4">
        <v>184.73099999999999</v>
      </c>
      <c r="I137" s="34">
        <v>0.98</v>
      </c>
      <c r="J137" s="4">
        <v>133.09200000000001</v>
      </c>
      <c r="K137" s="36">
        <v>0.98</v>
      </c>
      <c r="L137" s="4">
        <v>6.016</v>
      </c>
      <c r="M137" s="4">
        <v>1.468</v>
      </c>
      <c r="N137" s="7">
        <v>2.1179999999999999</v>
      </c>
      <c r="O137" s="34">
        <v>0.98</v>
      </c>
      <c r="P137" s="34">
        <v>0.98</v>
      </c>
      <c r="Q137" s="34">
        <v>0.98</v>
      </c>
      <c r="R137" s="70"/>
    </row>
    <row r="138" spans="2:18">
      <c r="B138">
        <v>12</v>
      </c>
      <c r="C138" s="6">
        <v>128.01599999999999</v>
      </c>
      <c r="D138" s="4">
        <v>116.515</v>
      </c>
      <c r="E138" s="4">
        <v>107.38800000000001</v>
      </c>
      <c r="F138" s="4">
        <v>16.477</v>
      </c>
      <c r="G138" s="4">
        <v>142.16399999999999</v>
      </c>
      <c r="H138" s="4">
        <v>182.482</v>
      </c>
      <c r="I138" s="4">
        <v>47.500999999999998</v>
      </c>
      <c r="J138" s="4">
        <v>130.5</v>
      </c>
      <c r="K138" s="36">
        <v>0.98</v>
      </c>
      <c r="L138" s="4">
        <v>5.9930000000000003</v>
      </c>
      <c r="M138" s="4">
        <v>1.421</v>
      </c>
      <c r="N138" s="7">
        <v>2.0659999999999998</v>
      </c>
      <c r="O138" s="34">
        <v>0.98</v>
      </c>
      <c r="P138" s="34">
        <v>0.98</v>
      </c>
      <c r="Q138" s="34">
        <v>0.98</v>
      </c>
      <c r="R138" s="70"/>
    </row>
    <row r="139" spans="2:18">
      <c r="B139">
        <v>12</v>
      </c>
      <c r="C139" s="6">
        <v>128.29300000000001</v>
      </c>
      <c r="D139" s="4">
        <v>117.093</v>
      </c>
      <c r="E139" s="4">
        <v>108.946</v>
      </c>
      <c r="F139" s="4">
        <v>16.428999999999998</v>
      </c>
      <c r="G139" s="4">
        <v>138.505</v>
      </c>
      <c r="H139" s="4">
        <v>184.56</v>
      </c>
      <c r="I139" s="4">
        <v>47.509</v>
      </c>
      <c r="J139" s="4">
        <v>166.50200000000001</v>
      </c>
      <c r="K139" s="36">
        <v>0.98</v>
      </c>
      <c r="L139" s="38">
        <v>5.7160000000000002</v>
      </c>
      <c r="M139" s="4">
        <v>1.58</v>
      </c>
      <c r="N139" s="7">
        <v>2.1379999999999999</v>
      </c>
      <c r="O139" s="34">
        <v>0.98</v>
      </c>
      <c r="P139" s="34">
        <v>0.98</v>
      </c>
      <c r="Q139" s="34">
        <v>0.98</v>
      </c>
      <c r="R139" s="70"/>
    </row>
    <row r="140" spans="2:18">
      <c r="B140">
        <v>18</v>
      </c>
      <c r="C140" s="6">
        <v>111.69499999999999</v>
      </c>
      <c r="D140" s="4">
        <v>114.063</v>
      </c>
      <c r="E140" s="4">
        <v>130.35499999999999</v>
      </c>
      <c r="F140" s="43"/>
      <c r="G140" s="4">
        <v>154.10900000000001</v>
      </c>
      <c r="H140" s="4">
        <v>152.93799999999999</v>
      </c>
      <c r="I140" s="4">
        <v>53.573</v>
      </c>
      <c r="J140" s="43"/>
      <c r="K140" s="36">
        <v>0.98</v>
      </c>
      <c r="L140" s="36">
        <v>0.98</v>
      </c>
      <c r="M140" s="4">
        <v>1.4450000000000001</v>
      </c>
      <c r="N140" s="43"/>
      <c r="O140" s="34">
        <v>0.98</v>
      </c>
      <c r="P140" s="34">
        <v>0.98</v>
      </c>
      <c r="Q140" s="34">
        <v>0.98</v>
      </c>
      <c r="R140" s="70"/>
    </row>
    <row r="141" spans="2:18">
      <c r="B141">
        <v>18</v>
      </c>
      <c r="C141" s="6">
        <v>113.032</v>
      </c>
      <c r="D141" s="4">
        <v>109.846</v>
      </c>
      <c r="E141" s="4">
        <v>128.84299999999999</v>
      </c>
      <c r="F141" s="43"/>
      <c r="G141" s="4">
        <v>160.922</v>
      </c>
      <c r="H141" s="4">
        <v>152.172</v>
      </c>
      <c r="I141" s="4">
        <v>53.835999999999999</v>
      </c>
      <c r="J141" s="43"/>
      <c r="K141" s="36">
        <v>0.98</v>
      </c>
      <c r="L141" s="36">
        <v>0.98</v>
      </c>
      <c r="M141" s="4">
        <v>1.466</v>
      </c>
      <c r="N141" s="43"/>
      <c r="O141" s="34">
        <v>0.98</v>
      </c>
      <c r="P141" s="34">
        <v>0.98</v>
      </c>
      <c r="Q141" s="34">
        <v>0.98</v>
      </c>
      <c r="R141" s="70"/>
    </row>
    <row r="142" spans="2:18">
      <c r="B142">
        <v>18</v>
      </c>
      <c r="C142" s="6">
        <v>113.581</v>
      </c>
      <c r="D142" s="4">
        <v>109.973</v>
      </c>
      <c r="E142" s="4">
        <v>127.96</v>
      </c>
      <c r="F142" s="43"/>
      <c r="G142" s="4">
        <v>150.583</v>
      </c>
      <c r="H142" s="4">
        <v>154.327</v>
      </c>
      <c r="I142" s="34">
        <v>0.98</v>
      </c>
      <c r="J142" s="43"/>
      <c r="K142" s="36">
        <v>0.98</v>
      </c>
      <c r="L142" s="36">
        <v>0.98</v>
      </c>
      <c r="M142" s="4">
        <v>1.3280000000000001</v>
      </c>
      <c r="N142" s="43"/>
      <c r="O142" s="34">
        <v>0.98</v>
      </c>
      <c r="P142" s="34">
        <v>0.98</v>
      </c>
      <c r="Q142" s="34">
        <v>0.98</v>
      </c>
      <c r="R142" s="70"/>
    </row>
    <row r="143" spans="2:18">
      <c r="B143">
        <v>24</v>
      </c>
      <c r="C143" s="6">
        <v>109.41</v>
      </c>
      <c r="D143" s="4">
        <v>106.38</v>
      </c>
      <c r="E143" s="4">
        <v>163.96899999999999</v>
      </c>
      <c r="F143" s="4">
        <v>106.29900000000001</v>
      </c>
      <c r="G143" s="4">
        <v>127.199</v>
      </c>
      <c r="H143" s="4">
        <v>155.27199999999999</v>
      </c>
      <c r="I143" s="4">
        <v>53.86</v>
      </c>
      <c r="J143" s="4">
        <v>608.28899999999999</v>
      </c>
      <c r="K143" s="36">
        <v>0.98</v>
      </c>
      <c r="L143" s="36">
        <v>0.98</v>
      </c>
      <c r="M143" s="36">
        <v>0.98</v>
      </c>
      <c r="N143" s="7">
        <v>23.285</v>
      </c>
      <c r="O143" s="34">
        <v>0.98</v>
      </c>
      <c r="P143" s="34">
        <v>0.98</v>
      </c>
      <c r="Q143" s="43"/>
      <c r="R143" s="70"/>
    </row>
    <row r="144" spans="2:18">
      <c r="B144">
        <v>24</v>
      </c>
      <c r="C144" s="6">
        <v>112.414</v>
      </c>
      <c r="D144" s="4">
        <v>107.50700000000001</v>
      </c>
      <c r="E144" s="4">
        <v>162.25899999999999</v>
      </c>
      <c r="F144" s="4">
        <v>106.687</v>
      </c>
      <c r="G144" s="4">
        <v>124.083</v>
      </c>
      <c r="H144" s="4">
        <v>149.84399999999999</v>
      </c>
      <c r="I144" s="4">
        <v>53.765000000000001</v>
      </c>
      <c r="J144" s="4">
        <v>590.73500000000001</v>
      </c>
      <c r="K144" s="36">
        <v>0.98</v>
      </c>
      <c r="L144" s="36">
        <v>0.98</v>
      </c>
      <c r="M144" s="36">
        <v>0.98</v>
      </c>
      <c r="N144" s="7">
        <v>23.045000000000002</v>
      </c>
      <c r="O144" s="34">
        <v>0.98</v>
      </c>
      <c r="P144" s="34">
        <v>0.98</v>
      </c>
      <c r="Q144" s="43"/>
      <c r="R144" s="70"/>
    </row>
    <row r="145" spans="2:18">
      <c r="B145">
        <v>24</v>
      </c>
      <c r="C145" s="6">
        <v>112.093</v>
      </c>
      <c r="D145" s="4">
        <v>106.626</v>
      </c>
      <c r="E145" s="4">
        <v>160.74600000000001</v>
      </c>
      <c r="F145" s="4">
        <v>107.161</v>
      </c>
      <c r="G145" s="4">
        <v>125.926</v>
      </c>
      <c r="H145" s="4">
        <v>150.785</v>
      </c>
      <c r="I145" s="34">
        <v>0.98</v>
      </c>
      <c r="J145" s="4">
        <v>623.66700000000003</v>
      </c>
      <c r="K145" s="36">
        <v>0.98</v>
      </c>
      <c r="L145" s="36">
        <v>0.98</v>
      </c>
      <c r="M145" s="36">
        <v>0.98</v>
      </c>
      <c r="N145" s="7">
        <v>23.248999999999999</v>
      </c>
      <c r="O145" s="34">
        <v>0.98</v>
      </c>
      <c r="P145" s="34">
        <v>0.98</v>
      </c>
      <c r="Q145" s="92"/>
      <c r="R145" s="91"/>
    </row>
    <row r="146" spans="2:18">
      <c r="B146">
        <v>48</v>
      </c>
      <c r="C146" s="4">
        <v>3.629</v>
      </c>
      <c r="D146" s="4">
        <v>129.08500000000001</v>
      </c>
      <c r="E146" s="43"/>
      <c r="F146" s="44">
        <v>78.126000000000005</v>
      </c>
      <c r="G146" s="4">
        <v>99.063999999999993</v>
      </c>
      <c r="H146" s="4">
        <v>115.52</v>
      </c>
      <c r="I146" s="43"/>
      <c r="J146" s="4">
        <v>626.51800000000003</v>
      </c>
      <c r="K146" s="36">
        <v>0.98</v>
      </c>
      <c r="L146" s="60"/>
      <c r="M146" s="43"/>
      <c r="N146" s="7">
        <v>9.5790000000000006</v>
      </c>
      <c r="O146" s="60"/>
      <c r="P146" s="43"/>
      <c r="Q146" s="93">
        <v>0.98</v>
      </c>
      <c r="R146" s="91"/>
    </row>
    <row r="147" spans="2:18">
      <c r="B147">
        <v>48</v>
      </c>
      <c r="C147" s="4">
        <v>3.6070000000000002</v>
      </c>
      <c r="D147" s="4">
        <v>130.298</v>
      </c>
      <c r="E147" s="43"/>
      <c r="F147" s="44">
        <v>78.552999999999997</v>
      </c>
      <c r="G147" s="4">
        <v>100.53</v>
      </c>
      <c r="H147" s="4">
        <v>113.717</v>
      </c>
      <c r="I147" s="43"/>
      <c r="J147" s="4">
        <v>623.25699999999995</v>
      </c>
      <c r="K147" s="36">
        <v>0.98</v>
      </c>
      <c r="L147" s="60"/>
      <c r="M147" s="43"/>
      <c r="N147" s="7">
        <v>9.6890000000000001</v>
      </c>
      <c r="O147" s="60"/>
      <c r="P147" s="43"/>
      <c r="Q147" s="93">
        <v>0.98</v>
      </c>
      <c r="R147" s="91"/>
    </row>
    <row r="148" spans="2:18">
      <c r="B148">
        <v>48</v>
      </c>
      <c r="C148" s="4">
        <v>3.5150000000000001</v>
      </c>
      <c r="D148" s="4">
        <v>129.77500000000001</v>
      </c>
      <c r="E148" s="43"/>
      <c r="F148" s="44">
        <v>78.022000000000006</v>
      </c>
      <c r="G148" s="4">
        <v>97.984999999999999</v>
      </c>
      <c r="H148" s="4">
        <v>116.837</v>
      </c>
      <c r="I148" s="43"/>
      <c r="J148" s="4">
        <v>618.54499999999996</v>
      </c>
      <c r="K148" s="36">
        <v>0.98</v>
      </c>
      <c r="L148" s="60"/>
      <c r="M148" s="43"/>
      <c r="N148" s="7">
        <v>9.4749999999999996</v>
      </c>
      <c r="O148" s="87"/>
      <c r="P148" s="88"/>
      <c r="Q148" s="94">
        <v>0.98</v>
      </c>
      <c r="R148" s="91"/>
    </row>
    <row r="149" spans="2:18">
      <c r="O149" s="89"/>
      <c r="P149" s="89"/>
      <c r="Q149" s="89"/>
      <c r="R149" s="91"/>
    </row>
    <row r="150" spans="2:18">
      <c r="O150" s="89"/>
      <c r="P150" s="89"/>
      <c r="Q150" s="89"/>
    </row>
    <row r="151" spans="2:18">
      <c r="O151" s="90"/>
      <c r="P151" s="91"/>
      <c r="Q151" s="89"/>
    </row>
    <row r="152" spans="2:18">
      <c r="O152" s="90"/>
      <c r="P152" s="91"/>
      <c r="Q152" s="89"/>
    </row>
    <row r="153" spans="2:18">
      <c r="O153" s="90"/>
      <c r="P153" s="91"/>
      <c r="Q153" s="89"/>
    </row>
  </sheetData>
  <mergeCells count="18">
    <mergeCell ref="C1:E2"/>
    <mergeCell ref="BM1:BN1"/>
    <mergeCell ref="BM33:BN33"/>
    <mergeCell ref="T3:W3"/>
    <mergeCell ref="X3:AA3"/>
    <mergeCell ref="AB3:AE3"/>
    <mergeCell ref="T29:W29"/>
    <mergeCell ref="X29:AA29"/>
    <mergeCell ref="AB29:AE29"/>
    <mergeCell ref="BM30:BN30"/>
    <mergeCell ref="T30:W30"/>
    <mergeCell ref="X30:AA30"/>
    <mergeCell ref="C77:F77"/>
    <mergeCell ref="G77:J77"/>
    <mergeCell ref="K77:N77"/>
    <mergeCell ref="C3:F3"/>
    <mergeCell ref="G3:J3"/>
    <mergeCell ref="K3:N3"/>
  </mergeCells>
  <pageMargins left="0.7" right="0.7" top="0.75" bottom="0.75" header="0.3" footer="0.3"/>
  <pageSetup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DF319-1B76-654B-A414-6518A5E2DBC3}">
  <dimension ref="A1:BK148"/>
  <sheetViews>
    <sheetView zoomScale="75" zoomScaleNormal="130" workbookViewId="0">
      <selection activeCell="F14" sqref="F14"/>
    </sheetView>
  </sheetViews>
  <sheetFormatPr baseColWidth="10" defaultRowHeight="15"/>
  <cols>
    <col min="15" max="15" width="10.83203125" style="69"/>
    <col min="16" max="16" width="10.83203125" style="70"/>
    <col min="17" max="17" width="13.83203125" customWidth="1"/>
    <col min="30" max="30" width="10.83203125" style="70"/>
    <col min="32" max="32" width="14.83203125" customWidth="1"/>
    <col min="33" max="33" width="14.33203125" customWidth="1"/>
    <col min="36" max="36" width="17.6640625" customWidth="1"/>
    <col min="46" max="46" width="11.1640625" bestFit="1" customWidth="1"/>
  </cols>
  <sheetData>
    <row r="1" spans="1:63">
      <c r="A1" t="s">
        <v>156</v>
      </c>
      <c r="C1" s="177" t="s">
        <v>255</v>
      </c>
      <c r="D1" s="177"/>
      <c r="E1" s="177"/>
      <c r="AD1" s="72"/>
      <c r="AE1" s="69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69"/>
      <c r="AQ1" s="69"/>
      <c r="AR1" s="69"/>
      <c r="AS1" s="69"/>
      <c r="AY1" s="101"/>
      <c r="AZ1" s="101"/>
      <c r="BA1" s="101"/>
      <c r="BB1" s="101"/>
      <c r="BC1" s="167" t="s">
        <v>244</v>
      </c>
      <c r="BD1" s="167"/>
      <c r="BE1" s="101"/>
      <c r="BF1" s="101"/>
      <c r="BG1" s="101"/>
      <c r="BH1" s="101"/>
      <c r="BI1" s="101"/>
      <c r="BJ1" s="101"/>
      <c r="BK1" s="101"/>
    </row>
    <row r="2" spans="1:63">
      <c r="C2" s="177"/>
      <c r="D2" s="177"/>
      <c r="E2" s="177"/>
      <c r="AD2" s="72"/>
      <c r="AE2" s="69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69"/>
      <c r="AQ2" s="69"/>
      <c r="AR2" s="69"/>
      <c r="AS2" s="69"/>
      <c r="AY2" s="101"/>
      <c r="AZ2" s="101"/>
      <c r="BA2" s="101"/>
      <c r="BB2" s="101"/>
      <c r="BC2" s="124"/>
      <c r="BD2" s="124"/>
      <c r="BE2" s="101"/>
      <c r="BF2" s="101"/>
      <c r="BG2" s="101"/>
      <c r="BH2" s="101"/>
      <c r="BI2" s="101"/>
      <c r="BJ2" s="101"/>
      <c r="BK2" s="101"/>
    </row>
    <row r="3" spans="1:63" ht="18">
      <c r="B3" t="s">
        <v>190</v>
      </c>
      <c r="C3" s="164" t="s">
        <v>140</v>
      </c>
      <c r="D3" s="164"/>
      <c r="E3" s="164"/>
      <c r="F3" s="164"/>
      <c r="G3" s="165" t="s">
        <v>141</v>
      </c>
      <c r="H3" s="165"/>
      <c r="I3" s="165"/>
      <c r="J3" s="165"/>
      <c r="K3" s="166" t="s">
        <v>142</v>
      </c>
      <c r="L3" s="166"/>
      <c r="M3" s="166"/>
      <c r="N3" s="166"/>
      <c r="O3" s="123"/>
      <c r="P3" s="71"/>
      <c r="Q3" t="s">
        <v>191</v>
      </c>
      <c r="R3" s="164" t="s">
        <v>140</v>
      </c>
      <c r="S3" s="164"/>
      <c r="T3" s="164"/>
      <c r="U3" s="164"/>
      <c r="V3" s="165" t="s">
        <v>141</v>
      </c>
      <c r="W3" s="165"/>
      <c r="X3" s="165"/>
      <c r="Y3" s="165"/>
      <c r="Z3" s="166" t="s">
        <v>142</v>
      </c>
      <c r="AA3" s="166"/>
      <c r="AB3" s="166"/>
      <c r="AC3" s="166"/>
      <c r="AD3" s="72" t="s">
        <v>181</v>
      </c>
      <c r="AE3" s="69" t="s">
        <v>182</v>
      </c>
      <c r="AF3" s="77" t="s">
        <v>183</v>
      </c>
      <c r="AG3" s="77"/>
      <c r="AH3" s="77"/>
      <c r="AI3" s="77"/>
      <c r="AJ3" s="77" t="s">
        <v>183</v>
      </c>
      <c r="AK3" s="77"/>
      <c r="AL3" s="77"/>
      <c r="AM3" s="77"/>
      <c r="AN3" s="77"/>
      <c r="AO3" s="77" t="s">
        <v>183</v>
      </c>
      <c r="AP3" s="68"/>
      <c r="AQ3" s="68"/>
      <c r="AR3" s="68"/>
      <c r="AS3" s="68"/>
      <c r="AV3" t="s">
        <v>43</v>
      </c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</row>
    <row r="4" spans="1:63" ht="18">
      <c r="C4" s="69" t="s">
        <v>143</v>
      </c>
      <c r="D4" s="69" t="s">
        <v>22</v>
      </c>
      <c r="E4" s="69" t="s">
        <v>23</v>
      </c>
      <c r="F4" s="69" t="s">
        <v>24</v>
      </c>
      <c r="G4" t="s">
        <v>29</v>
      </c>
      <c r="H4" t="s">
        <v>30</v>
      </c>
      <c r="I4" t="s">
        <v>31</v>
      </c>
      <c r="J4" t="s">
        <v>32</v>
      </c>
      <c r="K4" t="s">
        <v>38</v>
      </c>
      <c r="L4" t="s">
        <v>39</v>
      </c>
      <c r="M4" t="s">
        <v>40</v>
      </c>
      <c r="N4" t="s">
        <v>41</v>
      </c>
      <c r="P4" s="72"/>
      <c r="R4" s="69" t="s">
        <v>143</v>
      </c>
      <c r="S4" s="69" t="s">
        <v>22</v>
      </c>
      <c r="T4" s="69" t="s">
        <v>23</v>
      </c>
      <c r="U4" s="69" t="s">
        <v>24</v>
      </c>
      <c r="V4" t="s">
        <v>29</v>
      </c>
      <c r="W4" t="s">
        <v>30</v>
      </c>
      <c r="X4" t="s">
        <v>31</v>
      </c>
      <c r="Y4" t="s">
        <v>32</v>
      </c>
      <c r="Z4" t="s">
        <v>38</v>
      </c>
      <c r="AA4" t="s">
        <v>39</v>
      </c>
      <c r="AB4" t="s">
        <v>40</v>
      </c>
      <c r="AC4" t="s">
        <v>41</v>
      </c>
      <c r="AD4" s="72"/>
      <c r="AF4" s="123" t="s">
        <v>184</v>
      </c>
      <c r="AG4" s="123" t="s">
        <v>185</v>
      </c>
      <c r="AH4" s="123" t="s">
        <v>186</v>
      </c>
      <c r="AI4" s="123" t="s">
        <v>187</v>
      </c>
      <c r="AJ4" s="65" t="s">
        <v>188</v>
      </c>
      <c r="AK4" s="65" t="s">
        <v>185</v>
      </c>
      <c r="AL4" s="65" t="s">
        <v>186</v>
      </c>
      <c r="AM4" s="85" t="s">
        <v>204</v>
      </c>
      <c r="AN4" s="65" t="s">
        <v>187</v>
      </c>
      <c r="AO4" s="66" t="s">
        <v>142</v>
      </c>
      <c r="AP4" s="66" t="s">
        <v>185</v>
      </c>
      <c r="AQ4" s="66" t="s">
        <v>186</v>
      </c>
      <c r="AR4" s="66" t="s">
        <v>204</v>
      </c>
      <c r="AS4" s="66" t="s">
        <v>187</v>
      </c>
      <c r="AT4" s="98" t="s">
        <v>192</v>
      </c>
      <c r="AV4" t="s">
        <v>202</v>
      </c>
      <c r="AW4" t="s">
        <v>203</v>
      </c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</row>
    <row r="5" spans="1:63" ht="16">
      <c r="A5" t="s">
        <v>157</v>
      </c>
      <c r="B5" t="s">
        <v>158</v>
      </c>
      <c r="C5" s="123"/>
      <c r="D5" s="123"/>
      <c r="E5" s="123"/>
      <c r="F5" s="123"/>
      <c r="G5" s="122" t="s">
        <v>249</v>
      </c>
      <c r="H5" s="122" t="s">
        <v>247</v>
      </c>
      <c r="I5" s="122" t="s">
        <v>250</v>
      </c>
      <c r="J5" s="122" t="s">
        <v>248</v>
      </c>
      <c r="K5" s="66" t="s">
        <v>251</v>
      </c>
      <c r="L5" s="67" t="s">
        <v>252</v>
      </c>
      <c r="M5" s="67" t="s">
        <v>253</v>
      </c>
      <c r="N5" s="67" t="s">
        <v>254</v>
      </c>
      <c r="O5" s="103"/>
      <c r="P5" s="73" t="s">
        <v>157</v>
      </c>
      <c r="Q5" s="74" t="s">
        <v>158</v>
      </c>
      <c r="R5" s="123"/>
      <c r="S5" s="123"/>
      <c r="T5" s="123"/>
      <c r="U5" s="123"/>
      <c r="V5" s="122" t="s">
        <v>249</v>
      </c>
      <c r="W5" s="122" t="s">
        <v>247</v>
      </c>
      <c r="X5" s="122" t="s">
        <v>250</v>
      </c>
      <c r="Y5" s="122" t="s">
        <v>248</v>
      </c>
      <c r="Z5" s="66" t="s">
        <v>251</v>
      </c>
      <c r="AA5" s="67" t="s">
        <v>252</v>
      </c>
      <c r="AB5" s="67" t="s">
        <v>253</v>
      </c>
      <c r="AC5" s="67" t="s">
        <v>254</v>
      </c>
      <c r="AD5" s="72">
        <f t="shared" ref="AD5:AD27" si="0">AE5/24</f>
        <v>2.6041666666666665E-3</v>
      </c>
      <c r="AE5" s="75">
        <v>6.25E-2</v>
      </c>
      <c r="AF5" s="13">
        <f>AVERAGE(R6:U6)</f>
        <v>2.301091975017556</v>
      </c>
      <c r="AG5" s="13">
        <f>STDEV(R6:U6)</f>
        <v>0.62677857741857357</v>
      </c>
      <c r="AH5" s="13">
        <f>AG5/SQRT(AI5)</f>
        <v>0.31338928870928678</v>
      </c>
      <c r="AI5">
        <f>COUNT(R6:U6)</f>
        <v>4</v>
      </c>
      <c r="AJ5" s="13">
        <f>AVERAGE(V6:Y6)</f>
        <v>2.4252667472068477</v>
      </c>
      <c r="AK5" s="13">
        <f>STDEV(V6:Y6)</f>
        <v>0.67599003828865356</v>
      </c>
      <c r="AL5" s="13">
        <f>AK5/SQRT(AN5)</f>
        <v>0.33799501914432678</v>
      </c>
      <c r="AM5" s="13">
        <f>AL5*1.95</f>
        <v>0.65909028733143715</v>
      </c>
      <c r="AN5">
        <f>COUNT(V6:Y6)</f>
        <v>4</v>
      </c>
      <c r="AO5" s="13">
        <f>AVERAGE(Z6:AC6)</f>
        <v>1.8180343341583711</v>
      </c>
      <c r="AP5" s="13">
        <f>STDEV(Z6:AC6)</f>
        <v>0.21017500774014164</v>
      </c>
      <c r="AQ5" s="13">
        <f>AP5/SQRT(AS5)</f>
        <v>0.10508750387007082</v>
      </c>
      <c r="AR5" s="13">
        <f>AQ5*1.96</f>
        <v>0.2059715075853388</v>
      </c>
      <c r="AS5">
        <f>COUNT(Z6:AC6)</f>
        <v>4</v>
      </c>
      <c r="AT5" s="13">
        <f>LOG10(0.98)</f>
        <v>-8.7739243075051505E-3</v>
      </c>
      <c r="AV5" s="86">
        <v>6.25E-2</v>
      </c>
      <c r="AW5" s="86">
        <v>3.5</v>
      </c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</row>
    <row r="6" spans="1:63">
      <c r="A6">
        <v>5</v>
      </c>
      <c r="B6">
        <v>8.3000000000000004E-2</v>
      </c>
      <c r="C6" s="80">
        <f>LOG10(C80)</f>
        <v>1.7265642161622448</v>
      </c>
      <c r="D6" s="80">
        <f t="shared" ref="D6:N6" si="1">LOG10(D80)</f>
        <v>2.0938557626415535</v>
      </c>
      <c r="E6" s="80">
        <f t="shared" si="1"/>
        <v>2.2338765050608882</v>
      </c>
      <c r="F6" s="80">
        <f t="shared" si="1"/>
        <v>3.191726204006812</v>
      </c>
      <c r="G6" s="80">
        <f t="shared" si="1"/>
        <v>1.9425586374396016</v>
      </c>
      <c r="H6" s="80">
        <f t="shared" si="1"/>
        <v>1.8302998983788286</v>
      </c>
      <c r="I6" s="80">
        <f t="shared" si="1"/>
        <v>2.6651624409302843</v>
      </c>
      <c r="J6" s="80">
        <f t="shared" si="1"/>
        <v>3.2674620217801289</v>
      </c>
      <c r="K6" s="80">
        <f t="shared" si="1"/>
        <v>1.5890107791864789</v>
      </c>
      <c r="L6" s="80">
        <f t="shared" si="1"/>
        <v>2.0922713841726805</v>
      </c>
      <c r="M6" s="80">
        <f t="shared" si="1"/>
        <v>1.8378724042696124</v>
      </c>
      <c r="N6" s="80">
        <f t="shared" si="1"/>
        <v>1.7556309727617425</v>
      </c>
      <c r="O6" s="131"/>
      <c r="P6" s="70">
        <f>A6</f>
        <v>5</v>
      </c>
      <c r="Q6">
        <f>B6</f>
        <v>8.3000000000000004E-2</v>
      </c>
      <c r="R6" s="13">
        <f>AVERAGE(C6:C8)</f>
        <v>1.7285220145148592</v>
      </c>
      <c r="S6" s="13">
        <f>AVERAGE(D6:D8)</f>
        <v>2.0941129424769884</v>
      </c>
      <c r="T6" s="13">
        <f>AVERAGE(E6:E8)</f>
        <v>2.1888559340632896</v>
      </c>
      <c r="U6" s="13">
        <f>AVERAGE(F6:F8)</f>
        <v>3.1928770090150871</v>
      </c>
      <c r="V6" s="13">
        <f>AVERAGE(G6:G8)</f>
        <v>1.9325802305897468</v>
      </c>
      <c r="W6" s="13">
        <f t="shared" ref="W6" si="2">AVERAGE(H6:H8)</f>
        <v>1.8283266808079588</v>
      </c>
      <c r="X6" s="13">
        <f t="shared" ref="X6" si="3">AVERAGE(I6:I8)</f>
        <v>2.6716113604081095</v>
      </c>
      <c r="Y6" s="13">
        <f t="shared" ref="Y6" si="4">AVERAGE(J6:J8)</f>
        <v>3.268548717021575</v>
      </c>
      <c r="Z6" s="13">
        <f>AVERAGE(K6:K8)</f>
        <v>1.5891655525490289</v>
      </c>
      <c r="AA6" s="13">
        <f>AVERAGE(L6:L8)</f>
        <v>2.0934622355251711</v>
      </c>
      <c r="AB6" s="13">
        <f>AVERAGE(M6:M8)</f>
        <v>1.8347252494628743</v>
      </c>
      <c r="AC6" s="13">
        <f>AVERAGE(N6:N8)</f>
        <v>1.7547842990964106</v>
      </c>
      <c r="AD6" s="72">
        <f t="shared" si="0"/>
        <v>6.9583333333333337E-3</v>
      </c>
      <c r="AE6" s="13">
        <v>0.16700000000000001</v>
      </c>
      <c r="AF6" s="13">
        <f t="shared" ref="AF6:AF27" si="5">AVERAGE(R7:U7)</f>
        <v>2.2391901373171734</v>
      </c>
      <c r="AG6" s="13">
        <f t="shared" ref="AG6:AG27" si="6">STDEV(R7:U7)</f>
        <v>0.77376907566120834</v>
      </c>
      <c r="AH6" s="13">
        <f t="shared" ref="AH6:AH26" si="7">AG6/SQRT(AI6)</f>
        <v>0.38688453783060417</v>
      </c>
      <c r="AI6">
        <f t="shared" ref="AI6:AI27" si="8">COUNT(R7:U7)</f>
        <v>4</v>
      </c>
      <c r="AJ6" s="13">
        <f t="shared" ref="AJ6:AJ27" si="9">AVERAGE(V7:Y7)</f>
        <v>2.1821240061243605</v>
      </c>
      <c r="AK6" s="13">
        <f t="shared" ref="AK6:AK27" si="10">STDEV(V7:Y7)</f>
        <v>0.80881708301767608</v>
      </c>
      <c r="AL6" s="13">
        <f t="shared" ref="AL6:AL27" si="11">AK6/SQRT(AN6)</f>
        <v>0.40440854150883804</v>
      </c>
      <c r="AM6" s="13">
        <f t="shared" ref="AM6:AM27" si="12">AL6*1.95</f>
        <v>0.78859665594223416</v>
      </c>
      <c r="AN6">
        <f t="shared" ref="AN6:AN26" si="13">COUNT(V7:Y7)</f>
        <v>4</v>
      </c>
      <c r="AO6" s="13">
        <f t="shared" ref="AO6:AO27" si="14">AVERAGE(Z7:AC7)</f>
        <v>1.7482995609542986</v>
      </c>
      <c r="AP6" s="13">
        <f t="shared" ref="AP6:AP27" si="15">STDEV(Z7:AC7)</f>
        <v>0.25540630103480239</v>
      </c>
      <c r="AQ6" s="13">
        <f t="shared" ref="AQ6:AQ27" si="16">AP6/SQRT(AS6)</f>
        <v>0.12770315051740119</v>
      </c>
      <c r="AR6" s="13">
        <f t="shared" ref="AR6:AR27" si="17">AQ6*1.96</f>
        <v>0.25029817501410634</v>
      </c>
      <c r="AS6">
        <f t="shared" ref="AS6:AS27" si="18">COUNT(Z7:AC7)</f>
        <v>4</v>
      </c>
      <c r="AT6" s="13">
        <f t="shared" ref="AT6:AT27" si="19">LOG10(0.98)</f>
        <v>-8.7739243075051505E-3</v>
      </c>
      <c r="AV6" s="64">
        <v>0.99999899999999997</v>
      </c>
      <c r="AW6" s="86">
        <v>3.5</v>
      </c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</row>
    <row r="7" spans="1:63">
      <c r="A7">
        <v>5</v>
      </c>
      <c r="B7">
        <v>8.3000000000000004E-2</v>
      </c>
      <c r="C7" s="80">
        <f t="shared" ref="C7:N7" si="20">LOG10(C81)</f>
        <v>1.7295049618113898</v>
      </c>
      <c r="D7" s="80">
        <f t="shared" si="20"/>
        <v>2.0934707156423942</v>
      </c>
      <c r="E7" s="80">
        <f t="shared" si="20"/>
        <v>2.1776317168526593</v>
      </c>
      <c r="F7" s="80">
        <f t="shared" si="20"/>
        <v>3.1952942612111466</v>
      </c>
      <c r="G7" s="80">
        <f t="shared" si="20"/>
        <v>1.92745762384872</v>
      </c>
      <c r="H7" s="80">
        <f t="shared" si="20"/>
        <v>1.8270201461235742</v>
      </c>
      <c r="I7" s="80">
        <f t="shared" si="20"/>
        <v>2.6634841951143935</v>
      </c>
      <c r="J7" s="80">
        <f t="shared" si="20"/>
        <v>3.2744832172061842</v>
      </c>
      <c r="K7" s="80">
        <f t="shared" si="20"/>
        <v>1.5865535499028813</v>
      </c>
      <c r="L7" s="80">
        <f t="shared" si="20"/>
        <v>2.0931308907161528</v>
      </c>
      <c r="M7" s="80">
        <f t="shared" si="20"/>
        <v>1.8344079862337828</v>
      </c>
      <c r="N7" s="80">
        <f t="shared" si="20"/>
        <v>1.755882474807094</v>
      </c>
      <c r="O7" s="131"/>
      <c r="P7" s="70" t="s">
        <v>159</v>
      </c>
      <c r="Q7">
        <v>0.16700000000000001</v>
      </c>
      <c r="R7" s="13">
        <f t="shared" ref="R7:AC7" si="21">AVERAGE(C9:C11)</f>
        <v>1.2503428979245907</v>
      </c>
      <c r="S7" s="13">
        <f t="shared" si="21"/>
        <v>2.0785886056016789</v>
      </c>
      <c r="T7" s="13">
        <f t="shared" si="21"/>
        <v>2.5570801464686621</v>
      </c>
      <c r="U7" s="13">
        <f t="shared" si="21"/>
        <v>3.0707488992737617</v>
      </c>
      <c r="V7" s="13">
        <f t="shared" si="21"/>
        <v>1.5838608680168476</v>
      </c>
      <c r="W7" s="13">
        <f t="shared" si="21"/>
        <v>1.4284363108284335</v>
      </c>
      <c r="X7" s="13">
        <f t="shared" si="21"/>
        <v>2.610404278631846</v>
      </c>
      <c r="Y7" s="13">
        <f t="shared" si="21"/>
        <v>3.1057945670203146</v>
      </c>
      <c r="Z7" s="13">
        <f t="shared" si="21"/>
        <v>1.4948915485724019</v>
      </c>
      <c r="AA7" s="13">
        <f t="shared" si="21"/>
        <v>2.0735207206866821</v>
      </c>
      <c r="AB7" s="13">
        <f t="shared" si="21"/>
        <v>1.8199433203367252</v>
      </c>
      <c r="AC7" s="13">
        <f t="shared" si="21"/>
        <v>1.6048426542213852</v>
      </c>
      <c r="AD7" s="72">
        <f t="shared" si="0"/>
        <v>1.0416666666666666E-2</v>
      </c>
      <c r="AE7" s="13">
        <v>0.25</v>
      </c>
      <c r="AF7" s="13">
        <f t="shared" si="5"/>
        <v>2.0522891736103386</v>
      </c>
      <c r="AG7" s="13">
        <f t="shared" si="6"/>
        <v>0.89084758957593191</v>
      </c>
      <c r="AH7" s="13">
        <f t="shared" si="7"/>
        <v>0.44542379478796595</v>
      </c>
      <c r="AI7">
        <f t="shared" si="8"/>
        <v>4</v>
      </c>
      <c r="AJ7" s="13">
        <f t="shared" si="9"/>
        <v>2.0685826495636825</v>
      </c>
      <c r="AK7" s="13">
        <f t="shared" si="10"/>
        <v>0.8180429668371868</v>
      </c>
      <c r="AL7" s="13">
        <f t="shared" si="11"/>
        <v>0.4090214834185934</v>
      </c>
      <c r="AM7" s="13">
        <f t="shared" si="12"/>
        <v>0.79759189266625707</v>
      </c>
      <c r="AN7">
        <f t="shared" si="13"/>
        <v>4</v>
      </c>
      <c r="AO7" s="13">
        <f t="shared" si="14"/>
        <v>1.6672244723999585</v>
      </c>
      <c r="AP7" s="13">
        <f t="shared" si="15"/>
        <v>0.35497517250180682</v>
      </c>
      <c r="AQ7" s="13">
        <f t="shared" si="16"/>
        <v>0.17748758625090341</v>
      </c>
      <c r="AR7" s="13">
        <f t="shared" si="17"/>
        <v>0.3478756690517707</v>
      </c>
      <c r="AS7">
        <f t="shared" si="18"/>
        <v>4</v>
      </c>
      <c r="AT7" s="13">
        <f t="shared" si="19"/>
        <v>-8.7739243075051505E-3</v>
      </c>
      <c r="AV7" s="86">
        <v>1</v>
      </c>
      <c r="AW7" s="86">
        <v>3.13</v>
      </c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</row>
    <row r="8" spans="1:63">
      <c r="A8">
        <v>5</v>
      </c>
      <c r="B8">
        <v>8.3000000000000004E-2</v>
      </c>
      <c r="C8" s="80">
        <f t="shared" ref="C8:N8" si="22">LOG10(C82)</f>
        <v>1.7294968655709431</v>
      </c>
      <c r="D8" s="80">
        <f t="shared" si="22"/>
        <v>2.0950123491470172</v>
      </c>
      <c r="E8" s="80">
        <f t="shared" si="22"/>
        <v>2.1550595802763217</v>
      </c>
      <c r="F8" s="80">
        <f t="shared" si="22"/>
        <v>3.1916105618273045</v>
      </c>
      <c r="G8" s="80">
        <f t="shared" si="22"/>
        <v>1.9277244304809193</v>
      </c>
      <c r="H8" s="80">
        <f t="shared" si="22"/>
        <v>1.8276599979214732</v>
      </c>
      <c r="I8" s="80">
        <f t="shared" si="22"/>
        <v>2.6861874451796512</v>
      </c>
      <c r="J8" s="80">
        <f t="shared" si="22"/>
        <v>3.2637009120784102</v>
      </c>
      <c r="K8" s="80">
        <f t="shared" si="22"/>
        <v>1.5919323285577263</v>
      </c>
      <c r="L8" s="80">
        <f t="shared" si="22"/>
        <v>2.0949844316866799</v>
      </c>
      <c r="M8" s="80">
        <f t="shared" si="22"/>
        <v>1.8318953578852277</v>
      </c>
      <c r="N8" s="80">
        <f t="shared" si="22"/>
        <v>1.7528394497203954</v>
      </c>
      <c r="O8" s="131"/>
      <c r="P8" s="70" t="s">
        <v>160</v>
      </c>
      <c r="Q8">
        <v>0.25</v>
      </c>
      <c r="R8" s="13">
        <f t="shared" ref="R8:AC8" si="23">AVERAGE(C12:C14)</f>
        <v>1.1559372217317441</v>
      </c>
      <c r="S8" s="13">
        <f t="shared" si="23"/>
        <v>1.4269112312918277</v>
      </c>
      <c r="T8" s="13">
        <f t="shared" si="23"/>
        <v>2.6938793209017278</v>
      </c>
      <c r="U8" s="13">
        <f t="shared" si="23"/>
        <v>2.9324289205160543</v>
      </c>
      <c r="V8" s="13">
        <f t="shared" si="23"/>
        <v>1.468805661134535</v>
      </c>
      <c r="W8" s="13">
        <f t="shared" si="23"/>
        <v>1.2842567384031727</v>
      </c>
      <c r="X8" s="13">
        <f t="shared" si="23"/>
        <v>2.567226630937288</v>
      </c>
      <c r="Y8" s="13">
        <f t="shared" si="23"/>
        <v>2.9540415677797345</v>
      </c>
      <c r="Z8" s="13">
        <f t="shared" si="23"/>
        <v>1.2507914971247531</v>
      </c>
      <c r="AA8" s="13">
        <f t="shared" si="23"/>
        <v>2.0623268587255095</v>
      </c>
      <c r="AB8" s="13">
        <f t="shared" si="23"/>
        <v>1.8332479074546832</v>
      </c>
      <c r="AC8" s="13">
        <f t="shared" si="23"/>
        <v>1.5225316262948885</v>
      </c>
      <c r="AD8" s="72">
        <f t="shared" si="0"/>
        <v>1.3875E-2</v>
      </c>
      <c r="AE8" s="13">
        <v>0.33300000000000002</v>
      </c>
      <c r="AF8" s="13">
        <f t="shared" si="5"/>
        <v>1.9029337353081672</v>
      </c>
      <c r="AG8" s="13">
        <f t="shared" si="6"/>
        <v>0.81053565144307005</v>
      </c>
      <c r="AH8" s="13">
        <f t="shared" si="7"/>
        <v>0.40526782572153502</v>
      </c>
      <c r="AI8">
        <f t="shared" si="8"/>
        <v>4</v>
      </c>
      <c r="AJ8" s="13">
        <f t="shared" si="9"/>
        <v>1.9715412970152366</v>
      </c>
      <c r="AK8" s="13">
        <f t="shared" si="10"/>
        <v>0.82069080807792205</v>
      </c>
      <c r="AL8" s="13">
        <f t="shared" si="11"/>
        <v>0.41034540403896103</v>
      </c>
      <c r="AM8" s="13">
        <f t="shared" si="12"/>
        <v>0.80017353787597401</v>
      </c>
      <c r="AN8">
        <f t="shared" si="13"/>
        <v>4</v>
      </c>
      <c r="AO8" s="13">
        <f t="shared" si="14"/>
        <v>1.6022747616038291</v>
      </c>
      <c r="AP8" s="13">
        <f t="shared" si="15"/>
        <v>0.37287874606346338</v>
      </c>
      <c r="AQ8" s="13">
        <f t="shared" si="16"/>
        <v>0.18643937303173169</v>
      </c>
      <c r="AR8" s="13">
        <f t="shared" si="17"/>
        <v>0.36542117114219413</v>
      </c>
      <c r="AS8">
        <f t="shared" si="18"/>
        <v>4</v>
      </c>
      <c r="AT8" s="13">
        <f t="shared" si="19"/>
        <v>-8.7739243075051505E-3</v>
      </c>
      <c r="AV8" s="86">
        <v>1.9999</v>
      </c>
      <c r="AW8" s="86">
        <v>3.13</v>
      </c>
      <c r="AY8" s="101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101"/>
      <c r="BK8" s="101"/>
    </row>
    <row r="9" spans="1:63">
      <c r="A9">
        <v>10</v>
      </c>
      <c r="B9">
        <v>0.16700000000000001</v>
      </c>
      <c r="C9" s="4">
        <f t="shared" ref="C9:N9" si="24">LOG10(C83)</f>
        <v>1.2498829018636948</v>
      </c>
      <c r="D9" s="4">
        <f t="shared" si="24"/>
        <v>2.0749260971239551</v>
      </c>
      <c r="E9" s="4">
        <f t="shared" si="24"/>
        <v>2.5507210894173604</v>
      </c>
      <c r="F9" s="4">
        <f t="shared" si="24"/>
        <v>3.0649556450743294</v>
      </c>
      <c r="G9" s="4">
        <f t="shared" si="24"/>
        <v>1.5863397087542486</v>
      </c>
      <c r="H9" s="4">
        <f t="shared" si="24"/>
        <v>1.424440587526477</v>
      </c>
      <c r="I9" s="4">
        <f t="shared" si="24"/>
        <v>2.5999245353966067</v>
      </c>
      <c r="J9" s="4">
        <f t="shared" si="24"/>
        <v>3.1034051498736068</v>
      </c>
      <c r="K9" s="4">
        <f t="shared" si="24"/>
        <v>1.4987377445377887</v>
      </c>
      <c r="L9" s="4">
        <f t="shared" si="24"/>
        <v>2.0725697088738295</v>
      </c>
      <c r="M9" s="4">
        <f t="shared" si="24"/>
        <v>1.8200634620095404</v>
      </c>
      <c r="N9" s="4">
        <f t="shared" si="24"/>
        <v>1.6124553635191139</v>
      </c>
      <c r="O9" s="131"/>
      <c r="P9" s="70" t="s">
        <v>161</v>
      </c>
      <c r="Q9">
        <v>0.33300000000000002</v>
      </c>
      <c r="R9" s="13">
        <f t="shared" ref="R9:AC9" si="25">AVERAGE(C15:C17)</f>
        <v>1.1540355348976867</v>
      </c>
      <c r="S9" s="13">
        <f t="shared" si="25"/>
        <v>1.2760902810144046</v>
      </c>
      <c r="T9" s="13">
        <f t="shared" si="25"/>
        <v>2.4026685137919919</v>
      </c>
      <c r="U9" s="13">
        <f t="shared" si="25"/>
        <v>2.778940611528586</v>
      </c>
      <c r="V9" s="13">
        <f t="shared" si="25"/>
        <v>1.3609914609621956</v>
      </c>
      <c r="W9" s="13">
        <f t="shared" si="25"/>
        <v>1.1839303461201582</v>
      </c>
      <c r="X9" s="13">
        <f t="shared" si="25"/>
        <v>2.5123951092255203</v>
      </c>
      <c r="Y9" s="13">
        <f t="shared" si="25"/>
        <v>2.8288482717530719</v>
      </c>
      <c r="Z9" s="13">
        <f t="shared" si="25"/>
        <v>1.2371498084213977</v>
      </c>
      <c r="AA9" s="13">
        <f t="shared" si="25"/>
        <v>2.0497876032515312</v>
      </c>
      <c r="AB9" s="13">
        <f t="shared" si="25"/>
        <v>1.7612530192857279</v>
      </c>
      <c r="AC9" s="13">
        <f t="shared" si="25"/>
        <v>1.3609086154566601</v>
      </c>
      <c r="AD9" s="72">
        <f t="shared" si="0"/>
        <v>1.7374999999999998E-2</v>
      </c>
      <c r="AE9" s="13">
        <v>0.41699999999999998</v>
      </c>
      <c r="AF9" s="13">
        <f t="shared" si="5"/>
        <v>1.7783897823091359</v>
      </c>
      <c r="AG9" s="13">
        <f t="shared" si="6"/>
        <v>0.76236003331341506</v>
      </c>
      <c r="AH9" s="13">
        <f t="shared" si="7"/>
        <v>0.38118001665670753</v>
      </c>
      <c r="AI9">
        <f t="shared" si="8"/>
        <v>4</v>
      </c>
      <c r="AJ9" s="13">
        <f t="shared" si="9"/>
        <v>1.8618828245132386</v>
      </c>
      <c r="AK9" s="13">
        <f t="shared" si="10"/>
        <v>0.81768269464361532</v>
      </c>
      <c r="AL9" s="13">
        <f t="shared" si="11"/>
        <v>0.40884134732180766</v>
      </c>
      <c r="AM9" s="13">
        <f t="shared" si="12"/>
        <v>0.79724062727752487</v>
      </c>
      <c r="AN9">
        <f t="shared" si="13"/>
        <v>4</v>
      </c>
      <c r="AO9" s="13">
        <f t="shared" si="14"/>
        <v>1.5048502338846104</v>
      </c>
      <c r="AP9" s="13">
        <f t="shared" si="15"/>
        <v>0.4306482578310793</v>
      </c>
      <c r="AQ9" s="13">
        <f t="shared" si="16"/>
        <v>0.21532412891553965</v>
      </c>
      <c r="AR9" s="13">
        <f t="shared" si="17"/>
        <v>0.42203529267445772</v>
      </c>
      <c r="AS9">
        <f t="shared" si="18"/>
        <v>4</v>
      </c>
      <c r="AT9" s="13">
        <f t="shared" si="19"/>
        <v>-8.7739243075051505E-3</v>
      </c>
      <c r="AV9" s="86">
        <v>2</v>
      </c>
      <c r="AW9" s="86">
        <v>1.54</v>
      </c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</row>
    <row r="10" spans="1:63">
      <c r="A10">
        <v>10</v>
      </c>
      <c r="B10">
        <v>0.16700000000000001</v>
      </c>
      <c r="C10" s="4">
        <f t="shared" ref="C10:N10" si="26">LOG10(C84)</f>
        <v>1.2454633133641957</v>
      </c>
      <c r="D10" s="4">
        <f t="shared" si="26"/>
        <v>2.0774732861378351</v>
      </c>
      <c r="E10" s="4">
        <f t="shared" si="26"/>
        <v>2.5511864134838427</v>
      </c>
      <c r="F10" s="4">
        <f t="shared" si="26"/>
        <v>3.067244613503286</v>
      </c>
      <c r="G10" s="4">
        <f t="shared" si="26"/>
        <v>1.5806855347706195</v>
      </c>
      <c r="H10" s="4">
        <f t="shared" si="26"/>
        <v>1.4322314856902143</v>
      </c>
      <c r="I10" s="4">
        <f t="shared" si="26"/>
        <v>2.6040412765772136</v>
      </c>
      <c r="J10" s="4">
        <f t="shared" si="26"/>
        <v>3.1046990854166849</v>
      </c>
      <c r="K10" s="4">
        <f t="shared" si="26"/>
        <v>1.5015658718510116</v>
      </c>
      <c r="L10" s="4">
        <f t="shared" si="26"/>
        <v>2.0732930099776077</v>
      </c>
      <c r="M10" s="4">
        <f t="shared" si="26"/>
        <v>1.8175984196326176</v>
      </c>
      <c r="N10" s="4">
        <f t="shared" si="26"/>
        <v>1.5997521092696889</v>
      </c>
      <c r="O10" s="131"/>
      <c r="P10" s="70" t="s">
        <v>162</v>
      </c>
      <c r="Q10">
        <v>0.41699999999999998</v>
      </c>
      <c r="R10" s="13">
        <f t="shared" ref="R10:AC10" si="27">AVERAGE(C18:C20)</f>
        <v>1.0994102332081306</v>
      </c>
      <c r="S10" s="13">
        <f t="shared" si="27"/>
        <v>1.1737208035362994</v>
      </c>
      <c r="T10" s="13">
        <f t="shared" si="27"/>
        <v>2.2045014044781697</v>
      </c>
      <c r="U10" s="13">
        <f t="shared" si="27"/>
        <v>2.6359266880139445</v>
      </c>
      <c r="V10" s="13">
        <f t="shared" si="27"/>
        <v>1.249099023702928</v>
      </c>
      <c r="W10" s="13">
        <f t="shared" si="27"/>
        <v>1.0714950933234308</v>
      </c>
      <c r="X10" s="13">
        <f t="shared" si="27"/>
        <v>2.4606263786053177</v>
      </c>
      <c r="Y10" s="13">
        <f t="shared" si="27"/>
        <v>2.6663108024212776</v>
      </c>
      <c r="Z10" s="13">
        <f t="shared" si="27"/>
        <v>1.0807969345575001</v>
      </c>
      <c r="AA10" s="13">
        <f t="shared" si="27"/>
        <v>2.0340823355648756</v>
      </c>
      <c r="AB10" s="13">
        <f t="shared" si="27"/>
        <v>1.665491526520497</v>
      </c>
      <c r="AC10" s="13">
        <f t="shared" si="27"/>
        <v>1.2390301388955687</v>
      </c>
      <c r="AD10" s="72">
        <f t="shared" si="0"/>
        <v>2.0833333333333332E-2</v>
      </c>
      <c r="AE10" s="13">
        <v>0.5</v>
      </c>
      <c r="AF10" s="13">
        <f t="shared" si="5"/>
        <v>1.6276574244035749</v>
      </c>
      <c r="AG10" s="13">
        <f t="shared" si="6"/>
        <v>0.64812287952186531</v>
      </c>
      <c r="AH10" s="13">
        <f t="shared" si="7"/>
        <v>0.32406143976093266</v>
      </c>
      <c r="AI10">
        <f t="shared" si="8"/>
        <v>4</v>
      </c>
      <c r="AJ10" s="13">
        <f t="shared" si="9"/>
        <v>1.7902814035962549</v>
      </c>
      <c r="AK10" s="13">
        <f t="shared" si="10"/>
        <v>0.77714956181130845</v>
      </c>
      <c r="AL10" s="13">
        <f t="shared" si="11"/>
        <v>0.38857478090565423</v>
      </c>
      <c r="AM10" s="13">
        <f t="shared" si="12"/>
        <v>0.7577208227660257</v>
      </c>
      <c r="AN10">
        <f t="shared" si="13"/>
        <v>4</v>
      </c>
      <c r="AO10" s="13">
        <f t="shared" si="14"/>
        <v>1.1994780248312247</v>
      </c>
      <c r="AP10" s="13">
        <f t="shared" si="15"/>
        <v>0.17367484053831994</v>
      </c>
      <c r="AQ10" s="13">
        <f t="shared" si="16"/>
        <v>8.6837420269159971E-2</v>
      </c>
      <c r="AR10" s="13">
        <f t="shared" si="17"/>
        <v>0.17020134372755355</v>
      </c>
      <c r="AS10">
        <f t="shared" si="18"/>
        <v>4</v>
      </c>
      <c r="AT10" s="13">
        <f t="shared" si="19"/>
        <v>-8.7739243075051505E-3</v>
      </c>
      <c r="AV10" s="86">
        <v>2.9999899999999999</v>
      </c>
      <c r="AW10" s="86">
        <v>1.54</v>
      </c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</row>
    <row r="11" spans="1:63">
      <c r="A11">
        <v>10</v>
      </c>
      <c r="B11">
        <v>0.16700000000000001</v>
      </c>
      <c r="C11" s="4">
        <f t="shared" ref="C11:N11" si="28">LOG10(C85)</f>
        <v>1.2556824785458818</v>
      </c>
      <c r="D11" s="4">
        <f t="shared" si="28"/>
        <v>2.083366433543246</v>
      </c>
      <c r="E11" s="4">
        <f t="shared" si="28"/>
        <v>2.5693329365047837</v>
      </c>
      <c r="F11" s="4">
        <f t="shared" si="28"/>
        <v>3.0800464392436702</v>
      </c>
      <c r="G11" s="4">
        <f t="shared" si="28"/>
        <v>1.5845573605256749</v>
      </c>
      <c r="H11" s="4">
        <f t="shared" si="28"/>
        <v>1.4286368592686089</v>
      </c>
      <c r="I11" s="4">
        <f t="shared" si="28"/>
        <v>2.6272470239217185</v>
      </c>
      <c r="J11" s="4">
        <f t="shared" si="28"/>
        <v>3.1092794657706526</v>
      </c>
      <c r="K11" s="4">
        <f t="shared" si="28"/>
        <v>1.4843710293284063</v>
      </c>
      <c r="L11" s="4">
        <f t="shared" si="28"/>
        <v>2.0746994432086097</v>
      </c>
      <c r="M11" s="4">
        <f t="shared" si="28"/>
        <v>1.8221680793680175</v>
      </c>
      <c r="N11" s="4">
        <f t="shared" si="28"/>
        <v>1.6023204898753527</v>
      </c>
      <c r="O11" s="131"/>
      <c r="P11" s="70" t="s">
        <v>163</v>
      </c>
      <c r="Q11">
        <v>0.5</v>
      </c>
      <c r="R11" s="13">
        <f t="shared" ref="R11:AC11" si="29">AVERAGE(C21:C23)</f>
        <v>1.1043680897112065</v>
      </c>
      <c r="S11" s="13">
        <f t="shared" si="29"/>
        <v>1.2002305861171367</v>
      </c>
      <c r="T11" s="13">
        <f t="shared" si="29"/>
        <v>1.6836506636495034</v>
      </c>
      <c r="U11" s="13">
        <f t="shared" si="29"/>
        <v>2.522380358136453</v>
      </c>
      <c r="V11" s="13">
        <f t="shared" si="29"/>
        <v>1.2079840417815555</v>
      </c>
      <c r="W11" s="13">
        <f t="shared" si="29"/>
        <v>1.0402814089391337</v>
      </c>
      <c r="X11" s="13">
        <f t="shared" si="29"/>
        <v>2.3496452709328963</v>
      </c>
      <c r="Y11" s="13">
        <f t="shared" si="29"/>
        <v>2.563214892731434</v>
      </c>
      <c r="Z11" s="13">
        <f t="shared" si="29"/>
        <v>1.0638957436860568</v>
      </c>
      <c r="AA11" s="13">
        <f t="shared" si="29"/>
        <v>1.0992488573652708</v>
      </c>
      <c r="AB11" s="13">
        <f t="shared" si="29"/>
        <v>1.4482594345954463</v>
      </c>
      <c r="AC11" s="13">
        <f t="shared" si="29"/>
        <v>1.1865080636781251</v>
      </c>
      <c r="AD11" s="72">
        <f t="shared" si="0"/>
        <v>2.4291666666666666E-2</v>
      </c>
      <c r="AE11" s="13">
        <v>0.58299999999999996</v>
      </c>
      <c r="AF11" s="13">
        <f t="shared" si="5"/>
        <v>1.4700397752198104</v>
      </c>
      <c r="AG11" s="13">
        <f t="shared" si="6"/>
        <v>0.6177724006085098</v>
      </c>
      <c r="AH11" s="13">
        <f t="shared" si="7"/>
        <v>0.3088862003042549</v>
      </c>
      <c r="AI11">
        <f t="shared" si="8"/>
        <v>4</v>
      </c>
      <c r="AJ11" s="13">
        <f t="shared" si="9"/>
        <v>1.7323013890749437</v>
      </c>
      <c r="AK11" s="13">
        <f t="shared" si="10"/>
        <v>0.6988069984085592</v>
      </c>
      <c r="AL11" s="13">
        <f t="shared" si="11"/>
        <v>0.3494034992042796</v>
      </c>
      <c r="AM11" s="13">
        <f t="shared" si="12"/>
        <v>0.68133682344834523</v>
      </c>
      <c r="AN11">
        <f t="shared" si="13"/>
        <v>4</v>
      </c>
      <c r="AO11" s="13">
        <f t="shared" si="14"/>
        <v>1.1487749061104466</v>
      </c>
      <c r="AP11" s="13">
        <f t="shared" si="15"/>
        <v>0.25127700110439727</v>
      </c>
      <c r="AQ11" s="13">
        <f t="shared" si="16"/>
        <v>0.12563850055219863</v>
      </c>
      <c r="AR11" s="13">
        <f t="shared" si="17"/>
        <v>0.24625146108230933</v>
      </c>
      <c r="AS11">
        <f t="shared" si="18"/>
        <v>4</v>
      </c>
      <c r="AT11" s="13">
        <f t="shared" si="19"/>
        <v>-8.7739243075051505E-3</v>
      </c>
      <c r="AV11" s="86">
        <v>3</v>
      </c>
      <c r="AW11" s="86">
        <v>1.02</v>
      </c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</row>
    <row r="12" spans="1:63">
      <c r="B12">
        <v>0.25</v>
      </c>
      <c r="C12" s="80">
        <f t="shared" ref="C12:N12" si="30">LOG10(C86)</f>
        <v>1.1730696636372675</v>
      </c>
      <c r="D12" s="80">
        <f t="shared" si="30"/>
        <v>1.425550522537713</v>
      </c>
      <c r="E12" s="80">
        <f t="shared" si="30"/>
        <v>2.681649101651296</v>
      </c>
      <c r="F12" s="80">
        <f t="shared" si="30"/>
        <v>2.9329894367808018</v>
      </c>
      <c r="G12" s="80">
        <f t="shared" si="30"/>
        <v>1.4652638503565918</v>
      </c>
      <c r="H12" s="80">
        <f t="shared" si="30"/>
        <v>1.2880255353883627</v>
      </c>
      <c r="I12" s="80">
        <f t="shared" si="30"/>
        <v>2.5699108852395289</v>
      </c>
      <c r="J12" s="80">
        <f t="shared" si="30"/>
        <v>2.9495978326964547</v>
      </c>
      <c r="K12" s="80">
        <f t="shared" si="30"/>
        <v>1.2537498081398124</v>
      </c>
      <c r="L12" s="80">
        <f t="shared" si="30"/>
        <v>2.0607167223119158</v>
      </c>
      <c r="M12" s="80">
        <f t="shared" si="30"/>
        <v>1.8394591919222578</v>
      </c>
      <c r="N12" s="80">
        <f t="shared" si="30"/>
        <v>1.5244480525692754</v>
      </c>
      <c r="O12" s="131"/>
      <c r="P12" s="70" t="s">
        <v>164</v>
      </c>
      <c r="Q12">
        <v>0.58299999999999996</v>
      </c>
      <c r="R12" s="13">
        <f t="shared" ref="R12:AC12" si="31">AVERAGE(C24:C26)</f>
        <v>1.1321027099897307</v>
      </c>
      <c r="S12" s="13">
        <f t="shared" si="31"/>
        <v>1.229608159174431</v>
      </c>
      <c r="T12" s="13">
        <f t="shared" si="31"/>
        <v>1.1245335498845881</v>
      </c>
      <c r="U12" s="13">
        <f t="shared" si="31"/>
        <v>2.3939146818304926</v>
      </c>
      <c r="V12" s="13">
        <f t="shared" si="31"/>
        <v>1.192651392930216</v>
      </c>
      <c r="W12" s="13">
        <f t="shared" si="31"/>
        <v>1.0726282714669757</v>
      </c>
      <c r="X12" s="13">
        <f t="shared" si="31"/>
        <v>2.233436408790002</v>
      </c>
      <c r="Y12" s="13">
        <f t="shared" si="31"/>
        <v>2.4304894831125807</v>
      </c>
      <c r="Z12" s="13">
        <f t="shared" si="31"/>
        <v>0.93595422960074781</v>
      </c>
      <c r="AA12" s="13">
        <f t="shared" si="31"/>
        <v>1.0842260940742214</v>
      </c>
      <c r="AB12" s="13">
        <f t="shared" si="31"/>
        <v>1.5127309177241539</v>
      </c>
      <c r="AC12" s="13">
        <f t="shared" si="31"/>
        <v>1.0621883830426631</v>
      </c>
      <c r="AD12" s="72">
        <f t="shared" si="0"/>
        <v>2.7791666666666669E-2</v>
      </c>
      <c r="AE12" s="13">
        <v>0.66700000000000004</v>
      </c>
      <c r="AF12" s="13">
        <f t="shared" si="5"/>
        <v>1.4099864817411139</v>
      </c>
      <c r="AG12" s="13">
        <f t="shared" si="6"/>
        <v>0.65623645117171348</v>
      </c>
      <c r="AH12" s="13">
        <f t="shared" si="7"/>
        <v>0.32811822558585674</v>
      </c>
      <c r="AI12">
        <f t="shared" si="8"/>
        <v>4</v>
      </c>
      <c r="AJ12" s="13">
        <f t="shared" si="9"/>
        <v>1.6725173666057356</v>
      </c>
      <c r="AK12" s="13">
        <f t="shared" si="10"/>
        <v>0.64828753684039397</v>
      </c>
      <c r="AL12" s="13">
        <f t="shared" si="11"/>
        <v>0.32414376842019699</v>
      </c>
      <c r="AM12" s="13">
        <f t="shared" si="12"/>
        <v>0.6320803484193841</v>
      </c>
      <c r="AN12">
        <f t="shared" si="13"/>
        <v>4</v>
      </c>
      <c r="AO12" s="13">
        <f t="shared" si="14"/>
        <v>1.0638438832179933</v>
      </c>
      <c r="AP12" s="13">
        <f t="shared" si="15"/>
        <v>0.27947667104865936</v>
      </c>
      <c r="AQ12" s="13">
        <f t="shared" si="16"/>
        <v>0.13973833552432968</v>
      </c>
      <c r="AR12" s="13">
        <f t="shared" si="17"/>
        <v>0.27388713762768618</v>
      </c>
      <c r="AS12">
        <f t="shared" si="18"/>
        <v>4</v>
      </c>
      <c r="AT12" s="13">
        <f t="shared" si="19"/>
        <v>-8.7739243075051505E-3</v>
      </c>
      <c r="AV12" s="86">
        <v>3.9999989999999999</v>
      </c>
      <c r="AW12" s="86">
        <v>1.02</v>
      </c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</row>
    <row r="13" spans="1:63">
      <c r="B13">
        <v>0.25</v>
      </c>
      <c r="C13" s="80">
        <f t="shared" ref="C13:N13" si="32">LOG10(C87)</f>
        <v>1.150541541374086</v>
      </c>
      <c r="D13" s="80">
        <f t="shared" si="32"/>
        <v>1.4276159236183192</v>
      </c>
      <c r="E13" s="80">
        <f t="shared" si="32"/>
        <v>2.7062320224454921</v>
      </c>
      <c r="F13" s="80">
        <f t="shared" si="32"/>
        <v>2.9314710925679814</v>
      </c>
      <c r="G13" s="80">
        <f t="shared" si="32"/>
        <v>1.4744930750068483</v>
      </c>
      <c r="H13" s="80">
        <f t="shared" si="32"/>
        <v>1.2830297097938594</v>
      </c>
      <c r="I13" s="80">
        <f t="shared" si="32"/>
        <v>2.5668521426449038</v>
      </c>
      <c r="J13" s="80">
        <f t="shared" si="32"/>
        <v>2.951663360284964</v>
      </c>
      <c r="K13" s="80">
        <f t="shared" si="32"/>
        <v>1.2520030205384587</v>
      </c>
      <c r="L13" s="80">
        <f t="shared" si="32"/>
        <v>2.0616748472740904</v>
      </c>
      <c r="M13" s="80">
        <f t="shared" si="32"/>
        <v>1.8342680697242786</v>
      </c>
      <c r="N13" s="80">
        <f t="shared" si="32"/>
        <v>1.5230958382525679</v>
      </c>
      <c r="O13" s="131"/>
      <c r="P13" s="70" t="s">
        <v>165</v>
      </c>
      <c r="Q13">
        <v>0.66700000000000004</v>
      </c>
      <c r="R13" s="13">
        <f t="shared" ref="R13:AC13" si="33">AVERAGE(C27:C29)</f>
        <v>1.1330741824451962</v>
      </c>
      <c r="S13" s="13">
        <f t="shared" si="33"/>
        <v>1.2222932453922539</v>
      </c>
      <c r="T13" s="13">
        <f t="shared" si="33"/>
        <v>0.91013471833700377</v>
      </c>
      <c r="U13" s="13">
        <f t="shared" si="33"/>
        <v>2.3744437807900014</v>
      </c>
      <c r="V13" s="13">
        <f t="shared" si="33"/>
        <v>1.1727800705825242</v>
      </c>
      <c r="W13" s="13">
        <f t="shared" si="33"/>
        <v>1.0628143319256211</v>
      </c>
      <c r="X13" s="13">
        <f t="shared" si="33"/>
        <v>2.1178617758743692</v>
      </c>
      <c r="Y13" s="13">
        <f t="shared" si="33"/>
        <v>2.3366132880404282</v>
      </c>
      <c r="Z13" s="13">
        <f t="shared" si="33"/>
        <v>0.82029416147117018</v>
      </c>
      <c r="AA13" s="13">
        <f t="shared" si="33"/>
        <v>1.0182364445999441</v>
      </c>
      <c r="AB13" s="13">
        <f t="shared" si="33"/>
        <v>1.4644685450595032</v>
      </c>
      <c r="AC13" s="13">
        <f t="shared" si="33"/>
        <v>0.95237638174135553</v>
      </c>
      <c r="AD13" s="72">
        <f t="shared" si="0"/>
        <v>3.125E-2</v>
      </c>
      <c r="AE13" s="13">
        <v>0.75</v>
      </c>
      <c r="AF13" s="13">
        <f t="shared" si="5"/>
        <v>1.3587849202878557</v>
      </c>
      <c r="AG13" s="13">
        <f t="shared" si="6"/>
        <v>0.57236101975613962</v>
      </c>
      <c r="AH13" s="13">
        <f t="shared" si="7"/>
        <v>0.28618050987806981</v>
      </c>
      <c r="AI13">
        <f t="shared" si="8"/>
        <v>4</v>
      </c>
      <c r="AJ13" s="13">
        <f t="shared" si="9"/>
        <v>1.5974988197174427</v>
      </c>
      <c r="AK13" s="13">
        <f t="shared" si="10"/>
        <v>0.58908075867173515</v>
      </c>
      <c r="AL13" s="13">
        <f t="shared" si="11"/>
        <v>0.29454037933586757</v>
      </c>
      <c r="AM13" s="13">
        <f t="shared" si="12"/>
        <v>0.57435373970494175</v>
      </c>
      <c r="AN13">
        <f t="shared" si="13"/>
        <v>4</v>
      </c>
      <c r="AO13" s="13">
        <f t="shared" si="14"/>
        <v>1.015577832841926</v>
      </c>
      <c r="AP13" s="13">
        <f t="shared" si="15"/>
        <v>0.25472760611405215</v>
      </c>
      <c r="AQ13" s="13">
        <f t="shared" si="16"/>
        <v>0.12736380305702608</v>
      </c>
      <c r="AR13" s="13">
        <f t="shared" si="17"/>
        <v>0.2496330539917711</v>
      </c>
      <c r="AS13">
        <f t="shared" si="18"/>
        <v>4</v>
      </c>
      <c r="AT13" s="13">
        <f t="shared" si="19"/>
        <v>-8.7739243075051505E-3</v>
      </c>
      <c r="AV13" s="86">
        <v>4</v>
      </c>
      <c r="AW13" s="86">
        <v>0.76</v>
      </c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</row>
    <row r="14" spans="1:63">
      <c r="B14">
        <v>0.25</v>
      </c>
      <c r="C14" s="80">
        <f t="shared" ref="C14:N14" si="34">LOG10(C88)</f>
        <v>1.1442004601838791</v>
      </c>
      <c r="D14" s="80">
        <f t="shared" si="34"/>
        <v>1.4275672477194505</v>
      </c>
      <c r="E14" s="80">
        <f t="shared" si="34"/>
        <v>2.6937568386083957</v>
      </c>
      <c r="F14" s="80">
        <f t="shared" si="34"/>
        <v>2.9328262321993801</v>
      </c>
      <c r="G14" s="80">
        <f t="shared" si="34"/>
        <v>1.466660058040165</v>
      </c>
      <c r="H14" s="80">
        <f t="shared" si="34"/>
        <v>1.2817149700272958</v>
      </c>
      <c r="I14" s="80">
        <f t="shared" si="34"/>
        <v>2.5649168649274317</v>
      </c>
      <c r="J14" s="80">
        <f t="shared" si="34"/>
        <v>2.9608635103577843</v>
      </c>
      <c r="K14" s="80">
        <f t="shared" si="34"/>
        <v>1.2466216626959881</v>
      </c>
      <c r="L14" s="80">
        <f t="shared" si="34"/>
        <v>2.0645890065905221</v>
      </c>
      <c r="M14" s="80">
        <f t="shared" si="34"/>
        <v>1.826016460717514</v>
      </c>
      <c r="N14" s="80">
        <f t="shared" si="34"/>
        <v>1.5200509880628221</v>
      </c>
      <c r="O14" s="131"/>
      <c r="P14" s="70" t="s">
        <v>166</v>
      </c>
      <c r="Q14">
        <v>0.75</v>
      </c>
      <c r="R14" s="13">
        <f t="shared" ref="R14:AC14" si="35">AVERAGE(C30:C32)</f>
        <v>1.1409058062493684</v>
      </c>
      <c r="S14" s="13">
        <f t="shared" si="35"/>
        <v>1.1891311193216765</v>
      </c>
      <c r="T14" s="13">
        <f t="shared" si="35"/>
        <v>0.90778521467894613</v>
      </c>
      <c r="U14" s="13">
        <f t="shared" si="35"/>
        <v>2.1973175409014321</v>
      </c>
      <c r="V14" s="13">
        <f t="shared" si="35"/>
        <v>1.151288772935195</v>
      </c>
      <c r="W14" s="13">
        <f t="shared" si="35"/>
        <v>1.0360148427906752</v>
      </c>
      <c r="X14" s="13">
        <f t="shared" si="35"/>
        <v>2.0039878945368734</v>
      </c>
      <c r="Y14" s="13">
        <f t="shared" si="35"/>
        <v>2.1987037686070274</v>
      </c>
      <c r="Z14" s="13">
        <f t="shared" si="35"/>
        <v>0.80531597628772456</v>
      </c>
      <c r="AA14" s="13">
        <f t="shared" si="35"/>
        <v>1.0005723226670591</v>
      </c>
      <c r="AB14" s="13">
        <f t="shared" si="35"/>
        <v>1.3780620245469828</v>
      </c>
      <c r="AC14" s="13">
        <f t="shared" si="35"/>
        <v>0.87836100786593774</v>
      </c>
      <c r="AD14" s="72">
        <f t="shared" si="0"/>
        <v>3.4708333333333334E-2</v>
      </c>
      <c r="AE14" s="13">
        <v>0.83299999999999996</v>
      </c>
      <c r="AF14" s="13">
        <f t="shared" si="5"/>
        <v>1.332392085650594</v>
      </c>
      <c r="AG14" s="13">
        <f t="shared" si="6"/>
        <v>0.53571815851453908</v>
      </c>
      <c r="AH14" s="13">
        <f t="shared" si="7"/>
        <v>0.26785907925726954</v>
      </c>
      <c r="AI14">
        <f t="shared" si="8"/>
        <v>4</v>
      </c>
      <c r="AJ14" s="13">
        <f t="shared" si="9"/>
        <v>1.5341588624312124</v>
      </c>
      <c r="AK14" s="13">
        <f t="shared" si="10"/>
        <v>0.57137066299231787</v>
      </c>
      <c r="AL14" s="13">
        <f t="shared" si="11"/>
        <v>0.28568533149615893</v>
      </c>
      <c r="AM14" s="13">
        <f t="shared" si="12"/>
        <v>0.5570863964175099</v>
      </c>
      <c r="AN14">
        <f t="shared" si="13"/>
        <v>4</v>
      </c>
      <c r="AO14" s="13">
        <f t="shared" si="14"/>
        <v>0.93413369081994146</v>
      </c>
      <c r="AP14" s="13">
        <f t="shared" si="15"/>
        <v>0.30565613572345068</v>
      </c>
      <c r="AQ14" s="13">
        <f t="shared" si="16"/>
        <v>0.15282806786172534</v>
      </c>
      <c r="AR14" s="13">
        <f t="shared" si="17"/>
        <v>0.29954301300898167</v>
      </c>
      <c r="AS14">
        <f t="shared" si="18"/>
        <v>4</v>
      </c>
      <c r="AT14" s="13">
        <f t="shared" si="19"/>
        <v>-8.7739243075051505E-3</v>
      </c>
      <c r="AV14" s="86">
        <v>4.9999900000000004</v>
      </c>
      <c r="AW14" s="86">
        <v>0.76</v>
      </c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</row>
    <row r="15" spans="1:63">
      <c r="B15">
        <v>0.33300000000000002</v>
      </c>
      <c r="C15" s="4">
        <f t="shared" ref="C15:N15" si="36">LOG10(C89)</f>
        <v>1.1557306712785886</v>
      </c>
      <c r="D15" s="4">
        <f t="shared" si="36"/>
        <v>1.2803506930460056</v>
      </c>
      <c r="E15" s="4">
        <f t="shared" si="36"/>
        <v>2.410029434773683</v>
      </c>
      <c r="F15" s="4">
        <f t="shared" si="36"/>
        <v>2.7702022924376526</v>
      </c>
      <c r="G15" s="4">
        <f t="shared" si="36"/>
        <v>1.3601388135775749</v>
      </c>
      <c r="H15" s="4">
        <f t="shared" si="36"/>
        <v>1.1886472959997174</v>
      </c>
      <c r="I15" s="4">
        <f t="shared" si="36"/>
        <v>2.5070499261839068</v>
      </c>
      <c r="J15" s="4">
        <f t="shared" si="36"/>
        <v>2.8288351254218949</v>
      </c>
      <c r="K15" s="4">
        <f t="shared" si="36"/>
        <v>1.2400247832187197</v>
      </c>
      <c r="L15" s="4">
        <f t="shared" si="36"/>
        <v>2.0495823669515389</v>
      </c>
      <c r="M15" s="4">
        <f t="shared" si="36"/>
        <v>1.7572973142836996</v>
      </c>
      <c r="N15" s="4">
        <f t="shared" si="36"/>
        <v>1.3677471689502072</v>
      </c>
      <c r="O15" s="131"/>
      <c r="P15" s="70" t="s">
        <v>167</v>
      </c>
      <c r="Q15">
        <v>0.83299999999999996</v>
      </c>
      <c r="R15" s="13">
        <f t="shared" ref="R15:AC15" si="37">AVERAGE(C33:C35)</f>
        <v>1.1280965613292442</v>
      </c>
      <c r="S15" s="13">
        <f t="shared" si="37"/>
        <v>1.1886378468424574</v>
      </c>
      <c r="T15" s="13">
        <f t="shared" si="37"/>
        <v>0.89895891317113408</v>
      </c>
      <c r="U15" s="13">
        <f t="shared" si="37"/>
        <v>2.1138750212595401</v>
      </c>
      <c r="V15" s="13">
        <f t="shared" si="37"/>
        <v>1.1245850775756849</v>
      </c>
      <c r="W15" s="13">
        <f t="shared" si="37"/>
        <v>0.97925983211259127</v>
      </c>
      <c r="X15" s="13">
        <f t="shared" si="37"/>
        <v>1.8774244477381388</v>
      </c>
      <c r="Y15" s="13">
        <f t="shared" si="37"/>
        <v>2.1553660922984346</v>
      </c>
      <c r="Z15" s="13">
        <f t="shared" si="37"/>
        <v>0.62725399773295898</v>
      </c>
      <c r="AA15" s="13">
        <f t="shared" si="37"/>
        <v>1.0163924932717545</v>
      </c>
      <c r="AB15" s="13">
        <f t="shared" si="37"/>
        <v>1.324030240843203</v>
      </c>
      <c r="AC15" s="13">
        <f t="shared" si="37"/>
        <v>0.7688580314318495</v>
      </c>
      <c r="AD15" s="72">
        <f t="shared" si="0"/>
        <v>3.8208333333333337E-2</v>
      </c>
      <c r="AE15" s="13">
        <v>0.91700000000000004</v>
      </c>
      <c r="AF15" s="13">
        <f t="shared" si="5"/>
        <v>1.5281557089509552</v>
      </c>
      <c r="AG15" s="13">
        <f t="shared" si="6"/>
        <v>0.4509184684187198</v>
      </c>
      <c r="AH15" s="13">
        <f t="shared" si="7"/>
        <v>0.2254592342093599</v>
      </c>
      <c r="AI15">
        <f t="shared" si="8"/>
        <v>4</v>
      </c>
      <c r="AJ15" s="13">
        <f t="shared" si="9"/>
        <v>1.4291474326930187</v>
      </c>
      <c r="AK15" s="13">
        <f t="shared" si="10"/>
        <v>0.46110804800454924</v>
      </c>
      <c r="AL15" s="13">
        <f t="shared" si="11"/>
        <v>0.23055402400227462</v>
      </c>
      <c r="AM15" s="13">
        <f t="shared" si="12"/>
        <v>0.44958034680443548</v>
      </c>
      <c r="AN15">
        <f t="shared" si="13"/>
        <v>4</v>
      </c>
      <c r="AO15" s="13">
        <f t="shared" si="14"/>
        <v>0.90208610625105345</v>
      </c>
      <c r="AP15" s="13">
        <f t="shared" si="15"/>
        <v>0.30259196776368885</v>
      </c>
      <c r="AQ15" s="13">
        <f t="shared" si="16"/>
        <v>0.15129598388184443</v>
      </c>
      <c r="AR15" s="13">
        <f t="shared" si="17"/>
        <v>0.29654012840841509</v>
      </c>
      <c r="AS15">
        <f t="shared" si="18"/>
        <v>4</v>
      </c>
      <c r="AT15" s="13">
        <f t="shared" si="19"/>
        <v>-8.7739243075051505E-3</v>
      </c>
      <c r="AV15" s="86">
        <v>5</v>
      </c>
      <c r="AW15" s="86">
        <v>0.61</v>
      </c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</row>
    <row r="16" spans="1:63">
      <c r="B16">
        <v>0.33300000000000002</v>
      </c>
      <c r="C16" s="4">
        <f t="shared" ref="C16:N16" si="38">LOG10(C90)</f>
        <v>1.1519823954574739</v>
      </c>
      <c r="D16" s="4">
        <f t="shared" si="38"/>
        <v>1.2773111791740301</v>
      </c>
      <c r="E16" s="4">
        <f t="shared" si="38"/>
        <v>2.4012729911338107</v>
      </c>
      <c r="F16" s="4">
        <f t="shared" si="38"/>
        <v>2.7848354547600533</v>
      </c>
      <c r="G16" s="4">
        <f t="shared" si="38"/>
        <v>1.3588101724585628</v>
      </c>
      <c r="H16" s="4">
        <f t="shared" si="38"/>
        <v>1.1811573178806061</v>
      </c>
      <c r="I16" s="4">
        <f t="shared" si="38"/>
        <v>2.5113846382978542</v>
      </c>
      <c r="J16" s="4">
        <f t="shared" si="38"/>
        <v>2.8273809057859385</v>
      </c>
      <c r="K16" s="4">
        <f t="shared" si="38"/>
        <v>1.2396747876467811</v>
      </c>
      <c r="L16" s="4">
        <f t="shared" si="38"/>
        <v>2.0496830890882487</v>
      </c>
      <c r="M16" s="4">
        <f t="shared" si="38"/>
        <v>1.7682161794045472</v>
      </c>
      <c r="N16" s="4">
        <f t="shared" si="38"/>
        <v>1.3549915029784811</v>
      </c>
      <c r="O16" s="131"/>
      <c r="P16" s="70" t="s">
        <v>168</v>
      </c>
      <c r="Q16">
        <v>0.91700000000000004</v>
      </c>
      <c r="R16" s="13">
        <f t="shared" ref="R16:AC16" si="39">AVERAGE(C36:C38)</f>
        <v>1.1252176329127443</v>
      </c>
      <c r="S16" s="13">
        <f t="shared" si="39"/>
        <v>1.200440481153014</v>
      </c>
      <c r="T16" s="13">
        <f t="shared" si="39"/>
        <v>1.7020418914955506</v>
      </c>
      <c r="U16" s="13">
        <f t="shared" si="39"/>
        <v>2.0849228302425118</v>
      </c>
      <c r="V16" s="13">
        <f t="shared" si="39"/>
        <v>1.1455196666088694</v>
      </c>
      <c r="W16" s="13">
        <f t="shared" si="39"/>
        <v>1.0689884184706819</v>
      </c>
      <c r="X16" s="13">
        <f t="shared" si="39"/>
        <v>1.4190227801622004</v>
      </c>
      <c r="Y16" s="13">
        <f t="shared" si="39"/>
        <v>2.0830588655303228</v>
      </c>
      <c r="Z16" s="13">
        <f t="shared" si="39"/>
        <v>0.60669560769914133</v>
      </c>
      <c r="AA16" s="13">
        <f t="shared" si="39"/>
        <v>1.0712047053430545</v>
      </c>
      <c r="AB16" s="13">
        <f t="shared" si="39"/>
        <v>1.2398643263757072</v>
      </c>
      <c r="AC16" s="13">
        <f t="shared" si="39"/>
        <v>0.69057978558631061</v>
      </c>
      <c r="AD16" s="72">
        <f t="shared" si="0"/>
        <v>4.1666666666666664E-2</v>
      </c>
      <c r="AE16">
        <v>1</v>
      </c>
      <c r="AF16" s="13">
        <f t="shared" si="5"/>
        <v>1.7547408439362662</v>
      </c>
      <c r="AG16" s="13">
        <f t="shared" si="6"/>
        <v>0.38762096113292482</v>
      </c>
      <c r="AH16" s="13">
        <f t="shared" si="7"/>
        <v>0.19381048056646241</v>
      </c>
      <c r="AI16">
        <f t="shared" si="8"/>
        <v>4</v>
      </c>
      <c r="AJ16" s="13">
        <f t="shared" si="9"/>
        <v>1.3869429151593415</v>
      </c>
      <c r="AK16" s="13">
        <f t="shared" si="10"/>
        <v>0.43141933597614118</v>
      </c>
      <c r="AL16" s="13">
        <f t="shared" si="11"/>
        <v>0.21570966798807059</v>
      </c>
      <c r="AM16" s="13">
        <f t="shared" si="12"/>
        <v>0.42063385257673763</v>
      </c>
      <c r="AN16">
        <f t="shared" si="13"/>
        <v>4</v>
      </c>
      <c r="AO16" s="13">
        <f t="shared" si="14"/>
        <v>0.89584460088977014</v>
      </c>
      <c r="AP16" s="13">
        <f t="shared" si="15"/>
        <v>0.38550338798054323</v>
      </c>
      <c r="AQ16" s="13">
        <f t="shared" si="16"/>
        <v>0.19275169399027162</v>
      </c>
      <c r="AR16" s="13">
        <f t="shared" si="17"/>
        <v>0.37779332022093237</v>
      </c>
      <c r="AS16">
        <f t="shared" si="18"/>
        <v>4</v>
      </c>
      <c r="AT16" s="13">
        <f t="shared" si="19"/>
        <v>-8.7739243075051505E-3</v>
      </c>
      <c r="AV16" s="86">
        <v>5.9999900000000004</v>
      </c>
      <c r="AW16" s="86">
        <v>0.61</v>
      </c>
      <c r="AY16" s="101"/>
      <c r="AZ16" s="101"/>
      <c r="BA16" s="101"/>
      <c r="BB16" s="101"/>
      <c r="BC16" s="101"/>
      <c r="BD16" s="101"/>
      <c r="BE16" s="101"/>
      <c r="BF16" s="101"/>
      <c r="BG16" s="101"/>
      <c r="BH16" s="101"/>
      <c r="BI16" s="101"/>
      <c r="BJ16" s="101"/>
      <c r="BK16" s="101"/>
    </row>
    <row r="17" spans="2:63">
      <c r="B17">
        <v>0.33300000000000002</v>
      </c>
      <c r="C17" s="4">
        <f t="shared" ref="C17:N17" si="40">LOG10(C91)</f>
        <v>1.1543935379569974</v>
      </c>
      <c r="D17" s="4">
        <f t="shared" si="40"/>
        <v>1.270608970823178</v>
      </c>
      <c r="E17" s="4">
        <f t="shared" si="40"/>
        <v>2.396703115468481</v>
      </c>
      <c r="F17" s="4">
        <f t="shared" si="40"/>
        <v>2.7817840873880519</v>
      </c>
      <c r="G17" s="4">
        <f t="shared" si="40"/>
        <v>1.3640253968504485</v>
      </c>
      <c r="H17" s="4">
        <f t="shared" si="40"/>
        <v>1.181986424480151</v>
      </c>
      <c r="I17" s="4">
        <f t="shared" si="40"/>
        <v>2.5187507631948001</v>
      </c>
      <c r="J17" s="4">
        <f t="shared" si="40"/>
        <v>2.8303287840513809</v>
      </c>
      <c r="K17" s="4">
        <f t="shared" si="40"/>
        <v>1.231749854398692</v>
      </c>
      <c r="L17" s="4">
        <f t="shared" si="40"/>
        <v>2.0500973537148059</v>
      </c>
      <c r="M17" s="4">
        <f t="shared" si="40"/>
        <v>1.7582455641689374</v>
      </c>
      <c r="N17" s="4">
        <f t="shared" si="40"/>
        <v>1.3599871744412917</v>
      </c>
      <c r="O17" s="131"/>
      <c r="P17" s="70" t="s">
        <v>169</v>
      </c>
      <c r="Q17">
        <v>1</v>
      </c>
      <c r="R17" s="13">
        <f t="shared" ref="R17:AC17" si="41">AVERAGE(C39:C41)</f>
        <v>1.2087536083198707</v>
      </c>
      <c r="S17" s="13">
        <f t="shared" si="41"/>
        <v>2.0434995334837835</v>
      </c>
      <c r="T17" s="13">
        <f t="shared" si="41"/>
        <v>1.7488502400568013</v>
      </c>
      <c r="U17" s="13">
        <f t="shared" si="41"/>
        <v>2.0178599938846093</v>
      </c>
      <c r="V17" s="13">
        <f t="shared" si="41"/>
        <v>1.1459709478157476</v>
      </c>
      <c r="W17" s="13">
        <f t="shared" si="41"/>
        <v>1.0739856942347006</v>
      </c>
      <c r="X17" s="13">
        <f t="shared" si="41"/>
        <v>1.311104840383333</v>
      </c>
      <c r="Y17" s="13">
        <f t="shared" si="41"/>
        <v>2.0167101782035846</v>
      </c>
      <c r="Z17" s="13">
        <f t="shared" si="41"/>
        <v>0.58679844435405948</v>
      </c>
      <c r="AA17" s="13">
        <f t="shared" si="41"/>
        <v>0.97072926444328378</v>
      </c>
      <c r="AB17" s="13">
        <f t="shared" si="41"/>
        <v>1.4112377526173789</v>
      </c>
      <c r="AC17" s="13">
        <f t="shared" si="41"/>
        <v>0.61461294214435824</v>
      </c>
      <c r="AD17" s="72">
        <f t="shared" si="0"/>
        <v>8.3333333333333329E-2</v>
      </c>
      <c r="AE17">
        <v>2</v>
      </c>
      <c r="AF17" s="13">
        <f t="shared" si="5"/>
        <v>1.3298909493769691</v>
      </c>
      <c r="AG17" s="13">
        <f t="shared" si="6"/>
        <v>0.31370779168547303</v>
      </c>
      <c r="AH17" s="13">
        <f t="shared" si="7"/>
        <v>0.15685389584273651</v>
      </c>
      <c r="AI17">
        <f t="shared" si="8"/>
        <v>4</v>
      </c>
      <c r="AJ17" s="13">
        <f t="shared" si="9"/>
        <v>1.026875918390894</v>
      </c>
      <c r="AK17" s="13">
        <f t="shared" si="10"/>
        <v>0.14186544714579855</v>
      </c>
      <c r="AL17" s="13">
        <f t="shared" si="11"/>
        <v>7.0932723572899273E-2</v>
      </c>
      <c r="AM17" s="13">
        <f t="shared" si="12"/>
        <v>0.13831881096715357</v>
      </c>
      <c r="AN17">
        <f t="shared" si="13"/>
        <v>4</v>
      </c>
      <c r="AO17" s="13">
        <f t="shared" si="14"/>
        <v>0.63343622171938851</v>
      </c>
      <c r="AP17" s="13">
        <f t="shared" si="15"/>
        <v>0.215956050325841</v>
      </c>
      <c r="AQ17" s="13">
        <f t="shared" si="16"/>
        <v>0.1079780251629205</v>
      </c>
      <c r="AR17" s="13">
        <f t="shared" si="17"/>
        <v>0.21163692931932418</v>
      </c>
      <c r="AS17">
        <f t="shared" si="18"/>
        <v>4</v>
      </c>
      <c r="AT17" s="13">
        <f t="shared" si="19"/>
        <v>-8.7739243075051505E-3</v>
      </c>
      <c r="AV17" s="86">
        <v>6</v>
      </c>
      <c r="AW17" s="86">
        <v>0.5</v>
      </c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1"/>
      <c r="BJ17" s="101"/>
      <c r="BK17" s="101"/>
    </row>
    <row r="18" spans="2:63">
      <c r="B18">
        <v>0.41699999999999998</v>
      </c>
      <c r="C18" s="80">
        <f t="shared" ref="C18:N18" si="42">LOG10(C92)</f>
        <v>1.0982975364946976</v>
      </c>
      <c r="D18" s="80">
        <f t="shared" si="42"/>
        <v>1.178660458538169</v>
      </c>
      <c r="E18" s="80">
        <f t="shared" si="42"/>
        <v>2.2077016737791624</v>
      </c>
      <c r="F18" s="80">
        <f t="shared" si="42"/>
        <v>2.6220885880701452</v>
      </c>
      <c r="G18" s="80">
        <f t="shared" si="42"/>
        <v>1.2502003596789908</v>
      </c>
      <c r="H18" s="80">
        <f t="shared" si="42"/>
        <v>1.06513137214021</v>
      </c>
      <c r="I18" s="80">
        <f t="shared" si="42"/>
        <v>2.4612343281629401</v>
      </c>
      <c r="J18" s="80">
        <f t="shared" si="42"/>
        <v>2.6608066830681438</v>
      </c>
      <c r="K18" s="80">
        <f t="shared" si="42"/>
        <v>1.0865377837532073</v>
      </c>
      <c r="L18" s="80">
        <f t="shared" si="42"/>
        <v>2.0333393011265839</v>
      </c>
      <c r="M18" s="80">
        <f t="shared" si="42"/>
        <v>1.6633805032588291</v>
      </c>
      <c r="N18" s="80">
        <f t="shared" si="42"/>
        <v>1.2459073016276765</v>
      </c>
      <c r="O18" s="131"/>
      <c r="P18" s="70" t="s">
        <v>170</v>
      </c>
      <c r="Q18">
        <v>2</v>
      </c>
      <c r="R18" s="13">
        <f t="shared" ref="R18:AC18" si="43">AVERAGE(C42:C44)</f>
        <v>1.1931907536969082</v>
      </c>
      <c r="S18" s="13">
        <f t="shared" si="43"/>
        <v>1.2866714342168508</v>
      </c>
      <c r="T18" s="13">
        <f t="shared" si="43"/>
        <v>1.7793624976030642</v>
      </c>
      <c r="U18" s="13">
        <f t="shared" si="43"/>
        <v>1.060339111991053</v>
      </c>
      <c r="V18" s="13">
        <f t="shared" si="43"/>
        <v>1.1805045038840667</v>
      </c>
      <c r="W18" s="13">
        <f t="shared" si="43"/>
        <v>1.1092506423735777</v>
      </c>
      <c r="X18" s="13">
        <f t="shared" si="43"/>
        <v>0.94159502776382753</v>
      </c>
      <c r="Y18" s="13">
        <f t="shared" si="43"/>
        <v>0.87615349954210398</v>
      </c>
      <c r="Z18" s="13">
        <f t="shared" si="43"/>
        <v>0.47859732073358624</v>
      </c>
      <c r="AA18" s="13">
        <f t="shared" si="43"/>
        <v>0.57593761291541723</v>
      </c>
      <c r="AB18" s="13">
        <f t="shared" si="43"/>
        <v>0.95183864820324315</v>
      </c>
      <c r="AC18" s="13">
        <f t="shared" si="43"/>
        <v>0.52737130502530716</v>
      </c>
      <c r="AD18" s="72">
        <f t="shared" si="0"/>
        <v>0.125</v>
      </c>
      <c r="AE18">
        <v>3</v>
      </c>
      <c r="AF18" s="13">
        <f t="shared" si="5"/>
        <v>1.4470503912366708</v>
      </c>
      <c r="AG18" s="13">
        <f t="shared" si="6"/>
        <v>0.21320105647605819</v>
      </c>
      <c r="AH18" s="13">
        <f t="shared" si="7"/>
        <v>0.1066005282380291</v>
      </c>
      <c r="AI18">
        <f t="shared" si="8"/>
        <v>4</v>
      </c>
      <c r="AJ18" s="13">
        <f t="shared" si="9"/>
        <v>1.1702334270520569</v>
      </c>
      <c r="AK18" s="13">
        <f t="shared" si="10"/>
        <v>0.30070863600498304</v>
      </c>
      <c r="AL18" s="13">
        <f t="shared" si="11"/>
        <v>0.15035431800249152</v>
      </c>
      <c r="AM18" s="13">
        <f t="shared" si="12"/>
        <v>0.29319092010485848</v>
      </c>
      <c r="AN18">
        <f t="shared" si="13"/>
        <v>4</v>
      </c>
      <c r="AO18" s="13">
        <f t="shared" si="14"/>
        <v>0.56002050531144021</v>
      </c>
      <c r="AP18" s="13">
        <f t="shared" si="15"/>
        <v>0.24673879909730287</v>
      </c>
      <c r="AQ18" s="13">
        <f t="shared" si="16"/>
        <v>0.12336939954865143</v>
      </c>
      <c r="AR18" s="13">
        <f t="shared" si="17"/>
        <v>0.24180402311535681</v>
      </c>
      <c r="AS18">
        <f t="shared" si="18"/>
        <v>4</v>
      </c>
      <c r="AT18" s="13">
        <f t="shared" si="19"/>
        <v>-8.7739243075051505E-3</v>
      </c>
      <c r="AV18" s="86">
        <v>6.9999900000000004</v>
      </c>
      <c r="AW18" s="86">
        <v>0.5</v>
      </c>
      <c r="AY18" s="101"/>
      <c r="AZ18" s="101"/>
      <c r="BA18" s="101"/>
      <c r="BB18" s="101"/>
      <c r="BC18" s="101"/>
      <c r="BD18" s="101"/>
      <c r="BE18" s="101"/>
      <c r="BF18" s="101"/>
      <c r="BG18" s="101"/>
      <c r="BH18" s="101"/>
      <c r="BI18" s="101"/>
      <c r="BJ18" s="101"/>
      <c r="BK18" s="101"/>
    </row>
    <row r="19" spans="2:63">
      <c r="B19">
        <v>0.41699999999999998</v>
      </c>
      <c r="C19" s="80">
        <f t="shared" ref="C19:N19" si="44">LOG10(C93)</f>
        <v>1.1025023091854522</v>
      </c>
      <c r="D19" s="80">
        <f t="shared" si="44"/>
        <v>1.168733128934079</v>
      </c>
      <c r="E19" s="80">
        <f t="shared" si="44"/>
        <v>2.1874981594981424</v>
      </c>
      <c r="F19" s="80">
        <f t="shared" si="44"/>
        <v>2.6346898309782367</v>
      </c>
      <c r="G19" s="80">
        <f t="shared" si="44"/>
        <v>1.247555946928155</v>
      </c>
      <c r="H19" s="80">
        <f t="shared" si="44"/>
        <v>1.0715138050950892</v>
      </c>
      <c r="I19" s="80">
        <f t="shared" si="44"/>
        <v>2.4588447504948507</v>
      </c>
      <c r="J19" s="80">
        <f t="shared" si="44"/>
        <v>2.6692973508248192</v>
      </c>
      <c r="K19" s="80">
        <f t="shared" si="44"/>
        <v>1.0759846847441197</v>
      </c>
      <c r="L19" s="80">
        <f t="shared" si="44"/>
        <v>2.0347888312511837</v>
      </c>
      <c r="M19" s="80">
        <f t="shared" si="44"/>
        <v>1.6709598102383765</v>
      </c>
      <c r="N19" s="80">
        <f t="shared" si="44"/>
        <v>1.2356799185646921</v>
      </c>
      <c r="O19" s="131"/>
      <c r="P19" s="70" t="s">
        <v>171</v>
      </c>
      <c r="Q19">
        <v>3</v>
      </c>
      <c r="R19" s="13">
        <f t="shared" ref="R19:AC19" si="45">AVERAGE(C45:C47)</f>
        <v>1.4326758111075293</v>
      </c>
      <c r="S19" s="13">
        <f t="shared" si="45"/>
        <v>1.4438900279740763</v>
      </c>
      <c r="T19" s="13">
        <f t="shared" si="45"/>
        <v>1.7165799363613683</v>
      </c>
      <c r="U19" s="13">
        <f t="shared" si="45"/>
        <v>1.1950557895037095</v>
      </c>
      <c r="V19" s="13">
        <f t="shared" si="45"/>
        <v>1.3774327857927242</v>
      </c>
      <c r="W19" s="13">
        <f t="shared" si="45"/>
        <v>1.386745569614962</v>
      </c>
      <c r="X19" s="13">
        <f t="shared" si="45"/>
        <v>0.74424891724384101</v>
      </c>
      <c r="Y19" s="13">
        <f t="shared" si="45"/>
        <v>1.1725064355567005</v>
      </c>
      <c r="Z19" s="13">
        <f t="shared" si="45"/>
        <v>0.26181754537566326</v>
      </c>
      <c r="AA19" s="13">
        <f t="shared" si="45"/>
        <v>0.51489420939021147</v>
      </c>
      <c r="AB19" s="13">
        <f t="shared" si="45"/>
        <v>0.85963283364570586</v>
      </c>
      <c r="AC19" s="13">
        <f t="shared" si="45"/>
        <v>0.60373743283418047</v>
      </c>
      <c r="AD19" s="72">
        <f t="shared" si="0"/>
        <v>0.16666666666666666</v>
      </c>
      <c r="AE19">
        <v>4</v>
      </c>
      <c r="AF19" s="13">
        <f t="shared" si="5"/>
        <v>1.6313976503920515</v>
      </c>
      <c r="AG19" s="13">
        <f t="shared" si="6"/>
        <v>0.36757920217657986</v>
      </c>
      <c r="AH19" s="13">
        <f t="shared" si="7"/>
        <v>0.18378960108828993</v>
      </c>
      <c r="AI19">
        <f t="shared" si="8"/>
        <v>4</v>
      </c>
      <c r="AJ19" s="13">
        <f t="shared" si="9"/>
        <v>1.2453965390360187</v>
      </c>
      <c r="AK19" s="13">
        <f t="shared" si="10"/>
        <v>0.15747144979713676</v>
      </c>
      <c r="AL19" s="13">
        <f t="shared" si="11"/>
        <v>7.8735724898568379E-2</v>
      </c>
      <c r="AM19" s="13">
        <f t="shared" si="12"/>
        <v>0.15353466355220832</v>
      </c>
      <c r="AN19">
        <f t="shared" si="13"/>
        <v>4</v>
      </c>
      <c r="AO19" s="13">
        <f t="shared" si="14"/>
        <v>0.63256708736298339</v>
      </c>
      <c r="AP19" s="13">
        <f t="shared" si="15"/>
        <v>0.33007413940033847</v>
      </c>
      <c r="AQ19" s="13">
        <f t="shared" si="16"/>
        <v>0.16503706970016924</v>
      </c>
      <c r="AR19" s="13">
        <f t="shared" si="17"/>
        <v>0.32347265661233171</v>
      </c>
      <c r="AS19">
        <f t="shared" si="18"/>
        <v>4</v>
      </c>
      <c r="AT19" s="13">
        <f t="shared" si="19"/>
        <v>-8.7739243075051505E-3</v>
      </c>
      <c r="AV19" s="86">
        <v>7</v>
      </c>
      <c r="AW19" s="86">
        <v>0.43</v>
      </c>
      <c r="AY19" s="101"/>
      <c r="AZ19" s="101"/>
      <c r="BA19" s="101"/>
      <c r="BB19" s="101"/>
      <c r="BC19" s="101"/>
      <c r="BD19" s="101"/>
      <c r="BE19" s="101"/>
      <c r="BF19" s="101"/>
      <c r="BG19" s="101"/>
      <c r="BH19" s="101"/>
      <c r="BI19" s="101"/>
      <c r="BJ19" s="101"/>
      <c r="BK19" s="101"/>
    </row>
    <row r="20" spans="2:63">
      <c r="B20">
        <v>0.41699999999999998</v>
      </c>
      <c r="C20" s="80">
        <f t="shared" ref="C20:N20" si="46">LOG10(C94)</f>
        <v>1.0974308539442421</v>
      </c>
      <c r="D20" s="80">
        <f t="shared" si="46"/>
        <v>1.1737688231366501</v>
      </c>
      <c r="E20" s="80">
        <f t="shared" si="46"/>
        <v>2.2183043801572042</v>
      </c>
      <c r="F20" s="80">
        <f t="shared" si="46"/>
        <v>2.651001644993451</v>
      </c>
      <c r="G20" s="80">
        <f t="shared" si="46"/>
        <v>1.2495407645016383</v>
      </c>
      <c r="H20" s="80">
        <f t="shared" si="46"/>
        <v>1.0778401027349935</v>
      </c>
      <c r="I20" s="80">
        <f t="shared" si="46"/>
        <v>2.461800057158162</v>
      </c>
      <c r="J20" s="80">
        <f t="shared" si="46"/>
        <v>2.6688283733708702</v>
      </c>
      <c r="K20" s="80">
        <f t="shared" si="46"/>
        <v>1.0798683351751734</v>
      </c>
      <c r="L20" s="80">
        <f t="shared" si="46"/>
        <v>2.0341188743168597</v>
      </c>
      <c r="M20" s="80">
        <f t="shared" si="46"/>
        <v>1.6621342660642857</v>
      </c>
      <c r="N20" s="80">
        <f t="shared" si="46"/>
        <v>1.2355031964943377</v>
      </c>
      <c r="O20" s="131"/>
      <c r="P20" s="70" t="s">
        <v>172</v>
      </c>
      <c r="Q20">
        <v>4</v>
      </c>
      <c r="R20" s="13">
        <f t="shared" ref="R20:AC20" si="47">AVERAGE(C48:C50)</f>
        <v>2.1125255136964252</v>
      </c>
      <c r="S20" s="13">
        <f t="shared" si="47"/>
        <v>1.4743641774971572</v>
      </c>
      <c r="T20" s="13">
        <f t="shared" si="47"/>
        <v>1.6892155163198213</v>
      </c>
      <c r="U20" s="13">
        <f t="shared" si="47"/>
        <v>1.2494853940548023</v>
      </c>
      <c r="V20" s="13">
        <f t="shared" si="47"/>
        <v>1.364203743486164</v>
      </c>
      <c r="W20" s="13">
        <f t="shared" si="47"/>
        <v>1.3642510773539156</v>
      </c>
      <c r="X20" s="13">
        <f t="shared" si="47"/>
        <v>1.0319383264449098</v>
      </c>
      <c r="Y20" s="13">
        <f t="shared" si="47"/>
        <v>1.2211930088590854</v>
      </c>
      <c r="Z20" s="13">
        <f t="shared" si="47"/>
        <v>0.28732949236546096</v>
      </c>
      <c r="AA20" s="13">
        <f t="shared" si="47"/>
        <v>0.51294502074755133</v>
      </c>
      <c r="AB20" s="13">
        <f t="shared" si="47"/>
        <v>1.0715170433197068</v>
      </c>
      <c r="AC20" s="13">
        <f t="shared" si="47"/>
        <v>0.65847679301921469</v>
      </c>
      <c r="AD20" s="72">
        <f t="shared" si="0"/>
        <v>0.20833333333333334</v>
      </c>
      <c r="AE20">
        <v>5</v>
      </c>
      <c r="AF20" s="13">
        <f t="shared" si="5"/>
        <v>1.5988618820303975</v>
      </c>
      <c r="AG20" s="13">
        <f t="shared" si="6"/>
        <v>0.41074750513015684</v>
      </c>
      <c r="AH20" s="13">
        <f t="shared" si="7"/>
        <v>0.20537375256507842</v>
      </c>
      <c r="AI20">
        <f t="shared" si="8"/>
        <v>4</v>
      </c>
      <c r="AJ20" s="13">
        <f t="shared" si="9"/>
        <v>1.4677205143689898</v>
      </c>
      <c r="AK20" s="13">
        <f t="shared" si="10"/>
        <v>0.36049098800036067</v>
      </c>
      <c r="AL20" s="13">
        <f t="shared" si="11"/>
        <v>0.18024549400018033</v>
      </c>
      <c r="AM20" s="13">
        <f t="shared" si="12"/>
        <v>0.35147871330035163</v>
      </c>
      <c r="AN20">
        <f t="shared" si="13"/>
        <v>4</v>
      </c>
      <c r="AO20" s="13">
        <f t="shared" si="14"/>
        <v>0.70096181395609536</v>
      </c>
      <c r="AP20" s="13">
        <f t="shared" si="15"/>
        <v>0.26457123998049287</v>
      </c>
      <c r="AQ20" s="13">
        <f t="shared" si="16"/>
        <v>0.13228561999024643</v>
      </c>
      <c r="AR20" s="13">
        <f t="shared" si="17"/>
        <v>0.259279815180883</v>
      </c>
      <c r="AS20">
        <f t="shared" si="18"/>
        <v>4</v>
      </c>
      <c r="AT20" s="13">
        <f>LOG10(0.98)</f>
        <v>-8.7739243075051505E-3</v>
      </c>
      <c r="AV20" s="86">
        <v>7.9999900000000004</v>
      </c>
      <c r="AW20" s="86">
        <v>0.43</v>
      </c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</row>
    <row r="21" spans="2:63">
      <c r="B21">
        <v>0.5</v>
      </c>
      <c r="C21" s="4">
        <f t="shared" ref="C21:N21" si="48">LOG10(C95)</f>
        <v>1.1041455505540081</v>
      </c>
      <c r="D21" s="4">
        <f t="shared" si="48"/>
        <v>1.1811000797280484</v>
      </c>
      <c r="E21" s="4">
        <f t="shared" si="48"/>
        <v>1.8890887058923904</v>
      </c>
      <c r="F21" s="4">
        <f t="shared" si="48"/>
        <v>2.5338177979343115</v>
      </c>
      <c r="G21" s="4">
        <f t="shared" si="48"/>
        <v>1.2079842467661563</v>
      </c>
      <c r="H21" s="4">
        <f t="shared" si="48"/>
        <v>1.042496757433736</v>
      </c>
      <c r="I21" s="4">
        <f t="shared" si="48"/>
        <v>2.373825636017977</v>
      </c>
      <c r="J21" s="4">
        <f t="shared" si="48"/>
        <v>2.550124354601369</v>
      </c>
      <c r="K21" s="4">
        <f t="shared" si="48"/>
        <v>1.0638585488530716</v>
      </c>
      <c r="L21" s="4">
        <f t="shared" si="48"/>
        <v>1.0960753660851061</v>
      </c>
      <c r="M21" s="4">
        <f t="shared" si="48"/>
        <v>1.4551190646784022</v>
      </c>
      <c r="N21" s="4">
        <f t="shared" si="48"/>
        <v>1.1906677960706489</v>
      </c>
      <c r="O21" s="131"/>
      <c r="P21" s="70" t="s">
        <v>173</v>
      </c>
      <c r="Q21">
        <v>5</v>
      </c>
      <c r="R21" s="13">
        <f t="shared" ref="R21:AC21" si="49">AVERAGE(C51:C53)</f>
        <v>1.4910414957709026</v>
      </c>
      <c r="S21" s="13">
        <f t="shared" si="49"/>
        <v>2.1980528755448945</v>
      </c>
      <c r="T21" s="13">
        <f t="shared" si="49"/>
        <v>1.4390920009789252</v>
      </c>
      <c r="U21" s="13">
        <f t="shared" si="49"/>
        <v>1.2672611558268674</v>
      </c>
      <c r="V21" s="13">
        <f t="shared" si="49"/>
        <v>1.7562218483191596</v>
      </c>
      <c r="W21" s="13">
        <f t="shared" si="49"/>
        <v>1.7933176092375487</v>
      </c>
      <c r="X21" s="13">
        <f t="shared" si="49"/>
        <v>1.0830300439427998</v>
      </c>
      <c r="Y21" s="13">
        <f t="shared" si="49"/>
        <v>1.238312555976451</v>
      </c>
      <c r="Z21" s="13">
        <f t="shared" si="49"/>
        <v>0.61077688267696395</v>
      </c>
      <c r="AA21" s="13">
        <f t="shared" si="49"/>
        <v>0.4442464695179032</v>
      </c>
      <c r="AB21" s="13">
        <f t="shared" si="49"/>
        <v>1.0690755495009041</v>
      </c>
      <c r="AC21" s="13">
        <f t="shared" si="49"/>
        <v>0.6797483541286099</v>
      </c>
      <c r="AD21" s="72">
        <f t="shared" si="0"/>
        <v>0.25</v>
      </c>
      <c r="AE21">
        <v>6</v>
      </c>
      <c r="AF21" s="13">
        <f t="shared" si="5"/>
        <v>1.7798059143641012</v>
      </c>
      <c r="AG21" s="13">
        <f t="shared" si="6"/>
        <v>0.55466989914720133</v>
      </c>
      <c r="AH21" s="13">
        <f t="shared" si="7"/>
        <v>0.27733494957360066</v>
      </c>
      <c r="AI21">
        <f t="shared" si="8"/>
        <v>4</v>
      </c>
      <c r="AJ21" s="13">
        <f t="shared" si="9"/>
        <v>1.4393636218558774</v>
      </c>
      <c r="AK21" s="13">
        <f t="shared" si="10"/>
        <v>0.40512006223551067</v>
      </c>
      <c r="AL21" s="13">
        <f t="shared" si="11"/>
        <v>0.20256003111775533</v>
      </c>
      <c r="AM21" s="13">
        <f t="shared" si="12"/>
        <v>0.39499206067962289</v>
      </c>
      <c r="AN21">
        <f t="shared" si="13"/>
        <v>4</v>
      </c>
      <c r="AO21" s="13">
        <f t="shared" si="14"/>
        <v>0.66745348237773505</v>
      </c>
      <c r="AP21" s="13">
        <f t="shared" si="15"/>
        <v>0.3256233772722949</v>
      </c>
      <c r="AQ21" s="13">
        <f t="shared" si="16"/>
        <v>0.16281168863614745</v>
      </c>
      <c r="AR21" s="13">
        <f t="shared" si="17"/>
        <v>0.31911090972684902</v>
      </c>
      <c r="AS21">
        <f t="shared" si="18"/>
        <v>4</v>
      </c>
      <c r="AT21" s="13">
        <f t="shared" si="19"/>
        <v>-8.7739243075051505E-3</v>
      </c>
      <c r="AV21" s="86">
        <v>8</v>
      </c>
      <c r="AW21" s="86">
        <v>0.38</v>
      </c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</row>
    <row r="22" spans="2:63">
      <c r="B22">
        <v>0.5</v>
      </c>
      <c r="C22" s="4">
        <f t="shared" ref="C22:N22" si="50">LOG10(C96)</f>
        <v>1.1070742314120694</v>
      </c>
      <c r="D22" s="4">
        <f t="shared" si="50"/>
        <v>1.184492688528423</v>
      </c>
      <c r="E22" s="4">
        <f t="shared" si="50"/>
        <v>1.6640493516544297</v>
      </c>
      <c r="F22" s="4">
        <f t="shared" si="50"/>
        <v>2.5316028010324221</v>
      </c>
      <c r="G22" s="4">
        <f t="shared" si="50"/>
        <v>1.2114409355786693</v>
      </c>
      <c r="H22" s="4">
        <f t="shared" si="50"/>
        <v>1.0406023401140732</v>
      </c>
      <c r="I22" s="4">
        <f t="shared" si="50"/>
        <v>2.3376309483866788</v>
      </c>
      <c r="J22" s="4">
        <f t="shared" si="50"/>
        <v>2.5877435078305662</v>
      </c>
      <c r="K22" s="4">
        <f t="shared" si="50"/>
        <v>1.0645328611315783</v>
      </c>
      <c r="L22" s="4">
        <f t="shared" si="50"/>
        <v>1.1009216803208464</v>
      </c>
      <c r="M22" s="4">
        <f t="shared" si="50"/>
        <v>1.4508954486902428</v>
      </c>
      <c r="N22" s="4">
        <f t="shared" si="50"/>
        <v>1.1870128070189543</v>
      </c>
      <c r="O22" s="131"/>
      <c r="P22" s="70" t="s">
        <v>174</v>
      </c>
      <c r="Q22">
        <v>6</v>
      </c>
      <c r="R22" s="13">
        <f t="shared" ref="R22:AC22" si="51">AVERAGE(C54:C56)</f>
        <v>2.2343919000014143</v>
      </c>
      <c r="S22" s="13">
        <f t="shared" si="51"/>
        <v>2.204140839376366</v>
      </c>
      <c r="T22" s="13">
        <f t="shared" si="51"/>
        <v>1.6142218550178136</v>
      </c>
      <c r="U22" s="13">
        <f t="shared" si="51"/>
        <v>1.0664690630608107</v>
      </c>
      <c r="V22" s="13">
        <f t="shared" si="51"/>
        <v>1.7659078139476643</v>
      </c>
      <c r="W22" s="13">
        <f t="shared" si="51"/>
        <v>1.8124670413590245</v>
      </c>
      <c r="X22" s="13">
        <f t="shared" si="51"/>
        <v>1.1193402626829705</v>
      </c>
      <c r="Y22" s="13">
        <f t="shared" si="51"/>
        <v>1.0597393694338499</v>
      </c>
      <c r="Z22" s="13">
        <f t="shared" si="51"/>
        <v>0.62357191638326392</v>
      </c>
      <c r="AA22" s="13">
        <f t="shared" si="51"/>
        <v>0.38780284448319552</v>
      </c>
      <c r="AB22" s="13">
        <f t="shared" si="51"/>
        <v>1.1338711368318704</v>
      </c>
      <c r="AC22" s="13">
        <f t="shared" si="51"/>
        <v>0.52456803181261036</v>
      </c>
      <c r="AD22" s="72">
        <f t="shared" si="0"/>
        <v>0.29166666666666669</v>
      </c>
      <c r="AE22">
        <v>7</v>
      </c>
      <c r="AF22" s="13">
        <f t="shared" si="5"/>
        <v>1.7142768857855009</v>
      </c>
      <c r="AG22" s="13">
        <f t="shared" si="6"/>
        <v>0.43272866383056741</v>
      </c>
      <c r="AH22" s="13">
        <f t="shared" si="7"/>
        <v>0.2163643319152837</v>
      </c>
      <c r="AI22">
        <f t="shared" si="8"/>
        <v>4</v>
      </c>
      <c r="AJ22" s="13">
        <f t="shared" si="9"/>
        <v>1.4375105799226746</v>
      </c>
      <c r="AK22" s="13">
        <f t="shared" si="10"/>
        <v>0.39547970225341506</v>
      </c>
      <c r="AL22" s="13">
        <f t="shared" si="11"/>
        <v>0.19773985112670753</v>
      </c>
      <c r="AM22" s="13">
        <f t="shared" si="12"/>
        <v>0.38559270969707965</v>
      </c>
      <c r="AN22">
        <f t="shared" si="13"/>
        <v>4</v>
      </c>
      <c r="AO22" s="13">
        <f t="shared" si="14"/>
        <v>0.74900161825171629</v>
      </c>
      <c r="AP22" s="13">
        <f t="shared" si="15"/>
        <v>0.34360209763035865</v>
      </c>
      <c r="AQ22" s="13">
        <f t="shared" si="16"/>
        <v>0.17180104881517932</v>
      </c>
      <c r="AR22" s="13">
        <f t="shared" si="17"/>
        <v>0.33673005567775149</v>
      </c>
      <c r="AS22">
        <f t="shared" si="18"/>
        <v>4</v>
      </c>
      <c r="AT22" s="13">
        <f t="shared" si="19"/>
        <v>-8.7739243075051505E-3</v>
      </c>
      <c r="AV22" s="86">
        <v>11.99999</v>
      </c>
      <c r="AW22" s="86">
        <v>0.38</v>
      </c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</row>
    <row r="23" spans="2:63">
      <c r="B23">
        <v>0.5</v>
      </c>
      <c r="C23" s="4">
        <f t="shared" ref="C23:N23" si="52">LOG10(C97)</f>
        <v>1.1018844871675422</v>
      </c>
      <c r="D23" s="4">
        <f t="shared" si="52"/>
        <v>1.2350989900949394</v>
      </c>
      <c r="E23" s="4">
        <f t="shared" si="52"/>
        <v>1.4978139334016902</v>
      </c>
      <c r="F23" s="4">
        <f t="shared" si="52"/>
        <v>2.5017204754426254</v>
      </c>
      <c r="G23" s="4">
        <f t="shared" si="52"/>
        <v>1.2045269429998406</v>
      </c>
      <c r="H23" s="4">
        <f t="shared" si="52"/>
        <v>1.0377451292695923</v>
      </c>
      <c r="I23" s="4">
        <f t="shared" si="52"/>
        <v>2.3374792283940322</v>
      </c>
      <c r="J23" s="4">
        <f t="shared" si="52"/>
        <v>2.5517768157623664</v>
      </c>
      <c r="K23" s="4">
        <f t="shared" si="52"/>
        <v>1.0632958210735204</v>
      </c>
      <c r="L23" s="4">
        <f t="shared" si="52"/>
        <v>1.1007495256898598</v>
      </c>
      <c r="M23" s="4">
        <f t="shared" si="52"/>
        <v>1.4387637904176938</v>
      </c>
      <c r="N23" s="4">
        <f t="shared" si="52"/>
        <v>1.1818435879447726</v>
      </c>
      <c r="O23" s="131"/>
      <c r="P23" s="70" t="s">
        <v>175</v>
      </c>
      <c r="Q23">
        <v>7</v>
      </c>
      <c r="R23" s="13">
        <f t="shared" ref="R23:AC23" si="53">AVERAGE(C57:C59)</f>
        <v>1.6990689518923603</v>
      </c>
      <c r="S23" s="13">
        <f t="shared" si="53"/>
        <v>2.1351859891737299</v>
      </c>
      <c r="T23" s="13">
        <f t="shared" si="53"/>
        <v>1.9000583992160041</v>
      </c>
      <c r="U23" s="13">
        <f t="shared" si="53"/>
        <v>1.1227942028599087</v>
      </c>
      <c r="V23" s="13">
        <f t="shared" si="53"/>
        <v>1.7657223970238054</v>
      </c>
      <c r="W23" s="13">
        <f t="shared" si="53"/>
        <v>1.7938556978977473</v>
      </c>
      <c r="X23" s="13">
        <f t="shared" si="53"/>
        <v>1.1051982052346283</v>
      </c>
      <c r="Y23" s="13">
        <f t="shared" si="53"/>
        <v>1.0852660195345181</v>
      </c>
      <c r="Z23" s="13">
        <f t="shared" si="53"/>
        <v>1.0255638655610273</v>
      </c>
      <c r="AA23" s="13">
        <f t="shared" si="53"/>
        <v>0.38993247964143279</v>
      </c>
      <c r="AB23" s="13">
        <f t="shared" si="53"/>
        <v>1.0598530868852771</v>
      </c>
      <c r="AC23" s="13">
        <f t="shared" si="53"/>
        <v>0.5206570409191279</v>
      </c>
      <c r="AD23" s="72">
        <f t="shared" si="0"/>
        <v>0.33333333333333331</v>
      </c>
      <c r="AE23">
        <v>8</v>
      </c>
      <c r="AF23" s="13">
        <f t="shared" si="5"/>
        <v>2.0821354707653135</v>
      </c>
      <c r="AG23" s="13">
        <f t="shared" si="6"/>
        <v>8.8213233966177002E-2</v>
      </c>
      <c r="AH23" s="13">
        <f t="shared" si="7"/>
        <v>5.0929934376459735E-2</v>
      </c>
      <c r="AI23">
        <f t="shared" si="8"/>
        <v>3</v>
      </c>
      <c r="AJ23" s="13">
        <f t="shared" si="9"/>
        <v>1.4952999296622858</v>
      </c>
      <c r="AK23" s="13">
        <f t="shared" si="10"/>
        <v>0.39436435231652067</v>
      </c>
      <c r="AL23" s="13">
        <f t="shared" si="11"/>
        <v>0.22768636496873565</v>
      </c>
      <c r="AM23" s="13">
        <f t="shared" si="12"/>
        <v>0.44398841168903452</v>
      </c>
      <c r="AN23">
        <f t="shared" si="13"/>
        <v>3</v>
      </c>
      <c r="AO23" s="13">
        <f t="shared" si="14"/>
        <v>0.80872735949207353</v>
      </c>
      <c r="AP23" s="13">
        <f t="shared" si="15"/>
        <v>0.20381054828653095</v>
      </c>
      <c r="AQ23" s="13">
        <f t="shared" si="16"/>
        <v>0.11767007491691386</v>
      </c>
      <c r="AR23" s="13">
        <f t="shared" si="17"/>
        <v>0.23063334683715117</v>
      </c>
      <c r="AS23">
        <f t="shared" si="18"/>
        <v>3</v>
      </c>
      <c r="AT23" s="13">
        <f t="shared" si="19"/>
        <v>-8.7739243075051505E-3</v>
      </c>
      <c r="AV23" s="86">
        <v>12</v>
      </c>
      <c r="AW23" s="86">
        <v>0.25</v>
      </c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</row>
    <row r="24" spans="2:63">
      <c r="B24">
        <v>0.58299999999999996</v>
      </c>
      <c r="C24" s="80">
        <f t="shared" ref="C24:N24" si="54">LOG10(C98)</f>
        <v>1.129012793126035</v>
      </c>
      <c r="D24" s="80">
        <f t="shared" si="54"/>
        <v>1.2283233493080157</v>
      </c>
      <c r="E24" s="80">
        <v>0</v>
      </c>
      <c r="F24" s="80">
        <f t="shared" si="54"/>
        <v>2.3891394940924604</v>
      </c>
      <c r="G24" s="80">
        <f t="shared" si="54"/>
        <v>1.193458542609211</v>
      </c>
      <c r="H24" s="80">
        <f t="shared" si="54"/>
        <v>1.0731315649409932</v>
      </c>
      <c r="I24" s="80">
        <f t="shared" si="54"/>
        <v>2.2585774254457922</v>
      </c>
      <c r="J24" s="80">
        <f t="shared" si="54"/>
        <v>2.4247232372040601</v>
      </c>
      <c r="K24" s="80">
        <f t="shared" si="54"/>
        <v>0.93891981224477172</v>
      </c>
      <c r="L24" s="80">
        <f t="shared" si="54"/>
        <v>1.0917724414196828</v>
      </c>
      <c r="M24" s="80">
        <f t="shared" si="54"/>
        <v>1.5169318088680128</v>
      </c>
      <c r="N24" s="80">
        <f t="shared" si="54"/>
        <v>1.0670708560453701</v>
      </c>
      <c r="O24" s="131"/>
      <c r="P24" s="70" t="s">
        <v>176</v>
      </c>
      <c r="Q24">
        <v>8</v>
      </c>
      <c r="R24" s="13">
        <f>AVERAGE(C60:C62)</f>
        <v>2.1509559186144798</v>
      </c>
      <c r="S24" s="13">
        <f>AVERAGE(D60:D62)</f>
        <v>2.1127589620594662</v>
      </c>
      <c r="T24" s="13">
        <f>AVERAGE(E60:E62)</f>
        <v>1.9826915316219946</v>
      </c>
      <c r="U24" s="13"/>
      <c r="V24" s="13">
        <f>AVERAGE(G60:G62)</f>
        <v>1.7346268038278199</v>
      </c>
      <c r="W24" s="13">
        <f>AVERAGE(H60:H62)</f>
        <v>1.7111439110588194</v>
      </c>
      <c r="X24" s="13">
        <f>AVERAGE(I60:I62)</f>
        <v>1.0401290741002176</v>
      </c>
      <c r="Y24" s="13"/>
      <c r="Z24" s="13">
        <f>AVERAGE(K60:K62)</f>
        <v>0.68133751705945211</v>
      </c>
      <c r="AA24" s="13">
        <f>AVERAGE(L60:L62)</f>
        <v>0.70105247407197469</v>
      </c>
      <c r="AB24" s="13">
        <f>AVERAGE(M60:M62)</f>
        <v>1.0437920873447937</v>
      </c>
      <c r="AC24" s="13"/>
      <c r="AD24" s="72">
        <f t="shared" si="0"/>
        <v>0.5</v>
      </c>
      <c r="AE24">
        <v>12</v>
      </c>
      <c r="AF24" s="13">
        <f t="shared" si="5"/>
        <v>1.8564856625645605</v>
      </c>
      <c r="AG24" s="13">
        <f t="shared" si="6"/>
        <v>0.42729531089611356</v>
      </c>
      <c r="AH24" s="13">
        <f t="shared" si="7"/>
        <v>0.21364765544805678</v>
      </c>
      <c r="AI24">
        <f t="shared" si="8"/>
        <v>4</v>
      </c>
      <c r="AJ24" s="13">
        <f t="shared" si="9"/>
        <v>1.1938619655370071</v>
      </c>
      <c r="AK24" s="13">
        <f t="shared" si="10"/>
        <v>0.72588618612384936</v>
      </c>
      <c r="AL24" s="13">
        <f t="shared" si="11"/>
        <v>0.36294309306192468</v>
      </c>
      <c r="AM24" s="13">
        <f t="shared" si="12"/>
        <v>0.70773903147075312</v>
      </c>
      <c r="AN24">
        <f t="shared" si="13"/>
        <v>4</v>
      </c>
      <c r="AO24" s="13">
        <f t="shared" si="14"/>
        <v>0.6813525808219405</v>
      </c>
      <c r="AP24" s="13">
        <f t="shared" si="15"/>
        <v>0.15303226163872133</v>
      </c>
      <c r="AQ24" s="13">
        <f t="shared" si="16"/>
        <v>7.6516130819360664E-2</v>
      </c>
      <c r="AR24" s="13">
        <f t="shared" si="17"/>
        <v>0.14997161640594689</v>
      </c>
      <c r="AS24">
        <f t="shared" si="18"/>
        <v>4</v>
      </c>
      <c r="AT24" s="13">
        <f t="shared" si="19"/>
        <v>-8.7739243075051505E-3</v>
      </c>
      <c r="AV24" s="86">
        <v>17.99999</v>
      </c>
      <c r="AW24" s="86">
        <v>0.25</v>
      </c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</row>
    <row r="25" spans="2:63">
      <c r="B25">
        <v>0.58299999999999996</v>
      </c>
      <c r="C25" s="80">
        <f t="shared" ref="C25:N25" si="55">LOG10(C99)</f>
        <v>1.1352598985156586</v>
      </c>
      <c r="D25" s="80">
        <f t="shared" si="55"/>
        <v>1.2261357224736451</v>
      </c>
      <c r="E25" s="80">
        <f t="shared" si="55"/>
        <v>1.8451724841161281</v>
      </c>
      <c r="F25" s="80">
        <f t="shared" si="55"/>
        <v>2.3980338061503659</v>
      </c>
      <c r="G25" s="80">
        <f t="shared" si="55"/>
        <v>1.1955952630055255</v>
      </c>
      <c r="H25" s="80">
        <f t="shared" si="55"/>
        <v>1.0710715499836498</v>
      </c>
      <c r="I25" s="80">
        <f t="shared" si="55"/>
        <v>2.1878899961158544</v>
      </c>
      <c r="J25" s="80">
        <f t="shared" si="55"/>
        <v>2.4316178325245312</v>
      </c>
      <c r="K25" s="80">
        <f t="shared" si="55"/>
        <v>0.93323412871480804</v>
      </c>
      <c r="L25" s="80">
        <f t="shared" si="55"/>
        <v>1.0773315611289904</v>
      </c>
      <c r="M25" s="80">
        <f t="shared" si="55"/>
        <v>1.5118299060607316</v>
      </c>
      <c r="N25" s="80">
        <f t="shared" si="55"/>
        <v>1.0619422920280865</v>
      </c>
      <c r="O25" s="131"/>
      <c r="P25" s="70" t="s">
        <v>177</v>
      </c>
      <c r="Q25">
        <v>12</v>
      </c>
      <c r="R25" s="13">
        <f t="shared" ref="R25:AC25" si="56">AVERAGE(C63:C65)</f>
        <v>2.1062445729829342</v>
      </c>
      <c r="S25" s="13">
        <f t="shared" si="56"/>
        <v>2.0681418240897487</v>
      </c>
      <c r="T25" s="13">
        <f t="shared" si="56"/>
        <v>2.0345042389150332</v>
      </c>
      <c r="U25" s="13">
        <f t="shared" si="56"/>
        <v>1.2170520142705261</v>
      </c>
      <c r="V25" s="13">
        <f t="shared" si="56"/>
        <v>1.7324423227452608</v>
      </c>
      <c r="W25" s="13">
        <f t="shared" si="56"/>
        <v>1.7036646724727058</v>
      </c>
      <c r="X25" s="13">
        <f t="shared" si="56"/>
        <v>0.17915481706998956</v>
      </c>
      <c r="Y25" s="13">
        <f t="shared" si="56"/>
        <v>1.1601860498600722</v>
      </c>
      <c r="Z25" s="13">
        <f t="shared" si="56"/>
        <v>0.84851565512098548</v>
      </c>
      <c r="AA25" s="13">
        <f t="shared" si="56"/>
        <v>0.51745810123013525</v>
      </c>
      <c r="AB25" s="13">
        <f t="shared" si="56"/>
        <v>0.76759997553592241</v>
      </c>
      <c r="AC25" s="13">
        <f t="shared" si="56"/>
        <v>0.59183659140071876</v>
      </c>
      <c r="AD25" s="72">
        <f t="shared" si="0"/>
        <v>0.75</v>
      </c>
      <c r="AE25">
        <v>18</v>
      </c>
      <c r="AF25" s="13">
        <f t="shared" si="5"/>
        <v>2.0697798550789774</v>
      </c>
      <c r="AG25" s="13">
        <f t="shared" si="6"/>
        <v>3.5602165807229538E-2</v>
      </c>
      <c r="AH25" s="13">
        <f t="shared" si="7"/>
        <v>2.0554920012537666E-2</v>
      </c>
      <c r="AI25">
        <f t="shared" si="8"/>
        <v>3</v>
      </c>
      <c r="AJ25" s="13">
        <f t="shared" si="9"/>
        <v>1.2702091527737529</v>
      </c>
      <c r="AK25" s="13">
        <f t="shared" si="10"/>
        <v>0.99307622659741979</v>
      </c>
      <c r="AL25" s="13">
        <f t="shared" si="11"/>
        <v>0.57335282675183818</v>
      </c>
      <c r="AM25" s="13">
        <f t="shared" si="12"/>
        <v>1.1180380121660844</v>
      </c>
      <c r="AN25">
        <f t="shared" si="13"/>
        <v>3</v>
      </c>
      <c r="AO25" s="13">
        <f t="shared" si="14"/>
        <v>0.84071278127286908</v>
      </c>
      <c r="AP25" s="13">
        <f t="shared" si="15"/>
        <v>0.30803276038160782</v>
      </c>
      <c r="AQ25" s="13">
        <f t="shared" si="16"/>
        <v>0.17784279712554477</v>
      </c>
      <c r="AR25" s="13">
        <f t="shared" si="17"/>
        <v>0.34857188236606773</v>
      </c>
      <c r="AS25">
        <f t="shared" si="18"/>
        <v>3</v>
      </c>
      <c r="AT25" s="13">
        <f t="shared" si="19"/>
        <v>-8.7739243075051505E-3</v>
      </c>
      <c r="AV25" s="86">
        <v>18</v>
      </c>
      <c r="AW25" s="86">
        <v>0.16</v>
      </c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</row>
    <row r="26" spans="2:63">
      <c r="B26">
        <v>0.58299999999999996</v>
      </c>
      <c r="C26" s="80">
        <f t="shared" ref="C26:N26" si="57">LOG10(C100)</f>
        <v>1.1320354383274986</v>
      </c>
      <c r="D26" s="80">
        <f t="shared" si="57"/>
        <v>1.2343654057416324</v>
      </c>
      <c r="E26" s="80">
        <f t="shared" si="57"/>
        <v>1.5284281655376364</v>
      </c>
      <c r="F26" s="80">
        <f t="shared" si="57"/>
        <v>2.394570745248652</v>
      </c>
      <c r="G26" s="80">
        <f t="shared" si="57"/>
        <v>1.1889003731759118</v>
      </c>
      <c r="H26" s="80">
        <f t="shared" si="57"/>
        <v>1.0736816994762834</v>
      </c>
      <c r="I26" s="80">
        <f t="shared" si="57"/>
        <v>2.2538418048083599</v>
      </c>
      <c r="J26" s="80">
        <f t="shared" si="57"/>
        <v>2.4351273796091508</v>
      </c>
      <c r="K26" s="80">
        <f t="shared" si="57"/>
        <v>0.93570874784266356</v>
      </c>
      <c r="L26" s="80">
        <f t="shared" si="57"/>
        <v>1.0835742796739913</v>
      </c>
      <c r="M26" s="80">
        <f t="shared" si="57"/>
        <v>1.509431038243717</v>
      </c>
      <c r="N26" s="80">
        <f t="shared" si="57"/>
        <v>1.0575520010545327</v>
      </c>
      <c r="O26" s="131"/>
      <c r="P26" s="70" t="s">
        <v>178</v>
      </c>
      <c r="Q26">
        <v>18</v>
      </c>
      <c r="R26" s="13">
        <f>AVERAGE(C66:C68)</f>
        <v>2.0521802775337643</v>
      </c>
      <c r="S26" s="13">
        <f>AVERAGE(D66:D68)</f>
        <v>2.0464050364283692</v>
      </c>
      <c r="T26" s="13">
        <f>AVERAGE(E66:E68)</f>
        <v>2.1107542512747988</v>
      </c>
      <c r="U26" s="13"/>
      <c r="V26" s="13">
        <f>AVERAGE(G66:G68)</f>
        <v>2.1130015220782732</v>
      </c>
      <c r="W26" s="13">
        <f>AVERAGE(H66:H68)</f>
        <v>1.5222193524946472</v>
      </c>
      <c r="X26" s="13">
        <f>AVERAGE(I66:I68)</f>
        <v>0.17540658374833817</v>
      </c>
      <c r="Y26" s="13"/>
      <c r="Z26" s="13">
        <f>AVERAGE(K66:K68)</f>
        <v>1.1735808168771507</v>
      </c>
      <c r="AA26" s="13">
        <f>AVERAGE(L66:L68)</f>
        <v>0.56572769427736203</v>
      </c>
      <c r="AB26" s="13">
        <f>AVERAGE(M66:M68)</f>
        <v>0.78282983266409467</v>
      </c>
      <c r="AC26" s="13"/>
      <c r="AD26" s="72">
        <f t="shared" si="0"/>
        <v>1</v>
      </c>
      <c r="AE26">
        <v>24</v>
      </c>
      <c r="AF26" s="13">
        <f t="shared" si="5"/>
        <v>2.0784503263259086</v>
      </c>
      <c r="AG26" s="13">
        <f t="shared" si="6"/>
        <v>8.8355792601450461E-2</v>
      </c>
      <c r="AH26" s="13">
        <f t="shared" si="7"/>
        <v>4.4177896300725231E-2</v>
      </c>
      <c r="AI26">
        <f t="shared" si="8"/>
        <v>4</v>
      </c>
      <c r="AJ26" s="13">
        <f t="shared" si="9"/>
        <v>1.2119924593363314</v>
      </c>
      <c r="AK26" s="13">
        <f t="shared" si="10"/>
        <v>0.6895297331345962</v>
      </c>
      <c r="AL26" s="13">
        <f t="shared" si="11"/>
        <v>0.3447648665672981</v>
      </c>
      <c r="AM26" s="13">
        <f t="shared" si="12"/>
        <v>0.67229148980623132</v>
      </c>
      <c r="AN26">
        <f t="shared" si="13"/>
        <v>4</v>
      </c>
      <c r="AO26" s="13">
        <f t="shared" si="14"/>
        <v>0.94216920130650683</v>
      </c>
      <c r="AP26" s="13">
        <f t="shared" si="15"/>
        <v>0.36865615889592679</v>
      </c>
      <c r="AQ26" s="13">
        <f t="shared" si="16"/>
        <v>0.18432807944796339</v>
      </c>
      <c r="AR26" s="13">
        <f t="shared" si="17"/>
        <v>0.36128303571800824</v>
      </c>
      <c r="AS26">
        <f t="shared" si="18"/>
        <v>4</v>
      </c>
      <c r="AT26" s="13">
        <f t="shared" si="19"/>
        <v>-8.7739243075051505E-3</v>
      </c>
      <c r="AV26" s="86">
        <v>23.99999</v>
      </c>
      <c r="AW26" s="86">
        <v>0.16</v>
      </c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</row>
    <row r="27" spans="2:63" ht="16" thickBot="1">
      <c r="B27">
        <v>0.66700000000000004</v>
      </c>
      <c r="C27" s="4">
        <f>LOG10(C101)</f>
        <v>1.1352598985156586</v>
      </c>
      <c r="D27" s="4">
        <f t="shared" ref="D27:N27" si="58">LOG10(D101)</f>
        <v>1.221570712166461</v>
      </c>
      <c r="E27" s="4">
        <f t="shared" si="58"/>
        <v>0.91650658711515565</v>
      </c>
      <c r="F27" s="4">
        <f t="shared" si="58"/>
        <v>2.366661986891299</v>
      </c>
      <c r="G27" s="4">
        <f t="shared" si="58"/>
        <v>1.1746702414870474</v>
      </c>
      <c r="H27" s="4">
        <f t="shared" si="58"/>
        <v>1.064083435963596</v>
      </c>
      <c r="I27" s="4">
        <f t="shared" si="58"/>
        <v>2.1806046546075137</v>
      </c>
      <c r="J27" s="4">
        <f t="shared" si="58"/>
        <v>2.3363836756205996</v>
      </c>
      <c r="K27" s="4">
        <f t="shared" si="58"/>
        <v>0.82568570802175834</v>
      </c>
      <c r="L27" s="4">
        <f t="shared" si="58"/>
        <v>1.0215200641140327</v>
      </c>
      <c r="M27" s="4">
        <f t="shared" si="58"/>
        <v>1.4652638503565918</v>
      </c>
      <c r="N27" s="4">
        <f t="shared" si="58"/>
        <v>0.95303445725035674</v>
      </c>
      <c r="O27" s="131"/>
      <c r="P27" s="70" t="s">
        <v>179</v>
      </c>
      <c r="Q27">
        <v>24</v>
      </c>
      <c r="R27" s="13">
        <f t="shared" ref="R27:AC27" si="59">AVERAGE(C69:C71)</f>
        <v>2.0464853040244511</v>
      </c>
      <c r="S27" s="13">
        <f t="shared" si="59"/>
        <v>2.0287199487381593</v>
      </c>
      <c r="T27" s="13">
        <f t="shared" si="59"/>
        <v>2.210370239297895</v>
      </c>
      <c r="U27" s="13">
        <f t="shared" si="59"/>
        <v>2.0282258132431288</v>
      </c>
      <c r="V27" s="13">
        <f t="shared" si="59"/>
        <v>1.5823994761463662</v>
      </c>
      <c r="W27" s="13">
        <f t="shared" si="59"/>
        <v>1.5142152411981471</v>
      </c>
      <c r="X27" s="13">
        <f t="shared" si="59"/>
        <v>0.17868460177882906</v>
      </c>
      <c r="Y27" s="13">
        <f t="shared" si="59"/>
        <v>1.5726705182219833</v>
      </c>
      <c r="Z27" s="13">
        <f t="shared" si="59"/>
        <v>1.089420701975194</v>
      </c>
      <c r="AA27" s="13">
        <f t="shared" si="59"/>
        <v>0.5486333145556429</v>
      </c>
      <c r="AB27" s="13">
        <f t="shared" si="59"/>
        <v>0.7484197784504637</v>
      </c>
      <c r="AC27" s="13">
        <f t="shared" si="59"/>
        <v>1.3822030102447265</v>
      </c>
      <c r="AD27" s="79">
        <f t="shared" si="0"/>
        <v>2</v>
      </c>
      <c r="AE27" s="76">
        <v>48</v>
      </c>
      <c r="AF27" s="81">
        <f t="shared" si="5"/>
        <v>1.5202264944295318</v>
      </c>
      <c r="AG27" s="81">
        <f t="shared" si="6"/>
        <v>0.84370473066348628</v>
      </c>
      <c r="AH27" s="81">
        <f>AG27/SQRT(AI27)</f>
        <v>0.48711315336512451</v>
      </c>
      <c r="AI27" s="76">
        <f t="shared" si="8"/>
        <v>3</v>
      </c>
      <c r="AJ27" s="81">
        <f t="shared" si="9"/>
        <v>1.2402962167292984</v>
      </c>
      <c r="AK27" s="81">
        <f t="shared" si="10"/>
        <v>0.10394777488066971</v>
      </c>
      <c r="AL27" s="81">
        <f t="shared" si="11"/>
        <v>6.0014275809017283E-2</v>
      </c>
      <c r="AM27" s="81">
        <f t="shared" si="12"/>
        <v>0.11702783782758369</v>
      </c>
      <c r="AN27" s="76">
        <f>COUNT(V28:Y28)</f>
        <v>3</v>
      </c>
      <c r="AO27" s="81">
        <f t="shared" si="14"/>
        <v>0.77092585438547712</v>
      </c>
      <c r="AP27" s="81">
        <f t="shared" si="15"/>
        <v>0.45685677547400261</v>
      </c>
      <c r="AQ27" s="81">
        <f t="shared" si="16"/>
        <v>0.32304652396868722</v>
      </c>
      <c r="AR27" s="81">
        <f t="shared" si="17"/>
        <v>0.63317118697862695</v>
      </c>
      <c r="AS27" s="76">
        <f t="shared" si="18"/>
        <v>2</v>
      </c>
      <c r="AT27" s="81">
        <f t="shared" si="19"/>
        <v>-8.7739243075051505E-3</v>
      </c>
      <c r="AV27" s="86">
        <v>24</v>
      </c>
      <c r="AW27" s="86">
        <v>0.12</v>
      </c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</row>
    <row r="28" spans="2:63" ht="16" thickBot="1">
      <c r="B28">
        <v>0.66700000000000004</v>
      </c>
      <c r="C28" s="4">
        <f t="shared" ref="C28:N28" si="60">LOG10(C102)</f>
        <v>1.134272756620629</v>
      </c>
      <c r="D28" s="4">
        <f t="shared" si="60"/>
        <v>1.2255935481547995</v>
      </c>
      <c r="E28" s="4">
        <f t="shared" si="60"/>
        <v>0.90912794198926072</v>
      </c>
      <c r="F28" s="4">
        <f t="shared" si="60"/>
        <v>2.3790116575776108</v>
      </c>
      <c r="G28" s="4">
        <f t="shared" si="60"/>
        <v>1.1816435378393484</v>
      </c>
      <c r="H28" s="4">
        <f t="shared" si="60"/>
        <v>1.0646825662285115</v>
      </c>
      <c r="I28" s="4">
        <f t="shared" si="60"/>
        <v>2.0832803991429176</v>
      </c>
      <c r="J28" s="4">
        <f t="shared" si="60"/>
        <v>2.3349259906192912</v>
      </c>
      <c r="K28" s="4">
        <f t="shared" si="60"/>
        <v>0.81743314411138435</v>
      </c>
      <c r="L28" s="4">
        <f t="shared" si="60"/>
        <v>1.0164901316208281</v>
      </c>
      <c r="M28" s="4">
        <f t="shared" si="60"/>
        <v>1.4630713808122475</v>
      </c>
      <c r="N28" s="4">
        <f t="shared" si="60"/>
        <v>0.94443331770021455</v>
      </c>
      <c r="O28" s="131"/>
      <c r="P28" s="82" t="s">
        <v>180</v>
      </c>
      <c r="Q28" s="76">
        <v>48</v>
      </c>
      <c r="R28" s="81">
        <f>AVERAGE(C72:C74)</f>
        <v>0.55428614662492082</v>
      </c>
      <c r="S28" s="81">
        <f>AVERAGE(D72:D74)</f>
        <v>2.1130015220782732</v>
      </c>
      <c r="T28" s="81"/>
      <c r="U28" s="81">
        <f>AVERAGE(F72:F74)</f>
        <v>1.8933918145854014</v>
      </c>
      <c r="V28" s="81">
        <f>AVERAGE(G72:G74)</f>
        <v>1.204181531689966</v>
      </c>
      <c r="W28" s="81">
        <f>AVERAGE(H72:H74)</f>
        <v>1.1592226506178782</v>
      </c>
      <c r="X28" s="81"/>
      <c r="Y28" s="81">
        <f>AVERAGE(J72:J74)</f>
        <v>1.3574844678800506</v>
      </c>
      <c r="Z28" s="81">
        <f>AVERAGE(K72:K74)</f>
        <v>0.44787933041678984</v>
      </c>
      <c r="AA28" s="81"/>
      <c r="AB28" s="81"/>
      <c r="AC28" s="81">
        <f t="shared" ref="AC28" si="61">AVERAGE(N72:N74)</f>
        <v>1.0939723783541644</v>
      </c>
      <c r="AD28" s="72"/>
      <c r="AE28" s="69"/>
      <c r="AF28" s="69"/>
      <c r="AG28" s="69"/>
      <c r="AH28" s="69"/>
      <c r="AI28" s="69"/>
      <c r="AJ28" s="69"/>
      <c r="AV28" s="64">
        <v>47.999999000000003</v>
      </c>
      <c r="AW28" s="86">
        <v>0.12</v>
      </c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</row>
    <row r="29" spans="2:63">
      <c r="B29">
        <v>0.66700000000000004</v>
      </c>
      <c r="C29" s="4">
        <f t="shared" ref="C29:N29" si="62">LOG10(C103)</f>
        <v>1.129689892199301</v>
      </c>
      <c r="D29" s="4">
        <f t="shared" si="62"/>
        <v>1.2197154758555011</v>
      </c>
      <c r="E29" s="4">
        <f t="shared" si="62"/>
        <v>0.90476962590659515</v>
      </c>
      <c r="F29" s="4">
        <f t="shared" si="62"/>
        <v>2.3776576979010935</v>
      </c>
      <c r="G29" s="4">
        <f t="shared" si="62"/>
        <v>1.1620264324211771</v>
      </c>
      <c r="H29" s="4">
        <f t="shared" si="62"/>
        <v>1.0596769935847559</v>
      </c>
      <c r="I29" s="4">
        <f t="shared" si="62"/>
        <v>2.0897002738726762</v>
      </c>
      <c r="J29" s="4">
        <f t="shared" si="62"/>
        <v>2.338530197881393</v>
      </c>
      <c r="K29" s="4">
        <f t="shared" si="62"/>
        <v>0.81776363228036775</v>
      </c>
      <c r="L29" s="4">
        <f t="shared" si="62"/>
        <v>1.0166991380649715</v>
      </c>
      <c r="M29" s="4">
        <f t="shared" si="62"/>
        <v>1.46507040400967</v>
      </c>
      <c r="N29" s="4">
        <f t="shared" si="62"/>
        <v>0.95966137027349541</v>
      </c>
      <c r="O29" s="131"/>
      <c r="P29" s="72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V29" s="86">
        <v>48</v>
      </c>
      <c r="AW29" s="86">
        <v>1.6E-2</v>
      </c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</row>
    <row r="30" spans="2:63" ht="18">
      <c r="B30">
        <v>0.75</v>
      </c>
      <c r="C30" s="80">
        <f t="shared" ref="C30:N30" si="63">LOG10(C104)</f>
        <v>1.1391546584069043</v>
      </c>
      <c r="D30" s="80">
        <f t="shared" si="63"/>
        <v>1.1887316714457432</v>
      </c>
      <c r="E30" s="80">
        <f t="shared" si="63"/>
        <v>0.90971645323434458</v>
      </c>
      <c r="F30" s="80">
        <f t="shared" si="63"/>
        <v>2.194669716583773</v>
      </c>
      <c r="G30" s="80">
        <f t="shared" si="63"/>
        <v>1.1547282074401555</v>
      </c>
      <c r="H30" s="80">
        <f t="shared" si="63"/>
        <v>1.0349090733677482</v>
      </c>
      <c r="I30" s="80">
        <f t="shared" si="63"/>
        <v>1.9713593588781382</v>
      </c>
      <c r="J30" s="80">
        <f t="shared" si="63"/>
        <v>2.1973219175353838</v>
      </c>
      <c r="K30" s="80">
        <f t="shared" si="63"/>
        <v>0.81484666860446331</v>
      </c>
      <c r="L30" s="80">
        <f t="shared" si="63"/>
        <v>1.0054808099794013</v>
      </c>
      <c r="M30" s="80">
        <f t="shared" si="63"/>
        <v>1.3759378186307774</v>
      </c>
      <c r="N30" s="80">
        <f t="shared" si="63"/>
        <v>0.88195497133960055</v>
      </c>
      <c r="O30" s="131"/>
      <c r="P30" s="73" t="s">
        <v>243</v>
      </c>
      <c r="Q30" s="164" t="s">
        <v>140</v>
      </c>
      <c r="R30" s="164"/>
      <c r="S30" s="164"/>
      <c r="T30" s="164"/>
      <c r="U30" s="165" t="s">
        <v>141</v>
      </c>
      <c r="V30" s="165"/>
      <c r="W30" s="165"/>
      <c r="X30" s="165"/>
      <c r="Y30" s="166" t="s">
        <v>142</v>
      </c>
      <c r="Z30" s="166"/>
      <c r="AA30" s="166"/>
      <c r="AB30" s="166"/>
      <c r="AC30" s="103"/>
      <c r="AV30" s="86">
        <v>119.99999</v>
      </c>
      <c r="AW30" s="86">
        <v>1.6E-2</v>
      </c>
      <c r="AY30" s="69"/>
      <c r="AZ30" s="69"/>
      <c r="BA30" s="69"/>
      <c r="BB30" s="69"/>
      <c r="BC30" s="69"/>
      <c r="BD30" s="164"/>
      <c r="BE30" s="164"/>
      <c r="BF30" s="69"/>
      <c r="BG30" s="69"/>
      <c r="BH30" s="69"/>
      <c r="BI30" s="69"/>
      <c r="BJ30" s="69"/>
      <c r="BK30" s="69"/>
    </row>
    <row r="31" spans="2:63">
      <c r="B31">
        <v>0.75</v>
      </c>
      <c r="C31" s="80">
        <f t="shared" ref="C31:N31" si="64">LOG10(C105)</f>
        <v>1.1451653173506551</v>
      </c>
      <c r="D31" s="80">
        <f t="shared" si="64"/>
        <v>1.1914230666878078</v>
      </c>
      <c r="E31" s="80">
        <f t="shared" si="64"/>
        <v>0.90714253100314046</v>
      </c>
      <c r="F31" s="80">
        <f t="shared" si="64"/>
        <v>2.1979721209627989</v>
      </c>
      <c r="G31" s="80">
        <f t="shared" si="64"/>
        <v>1.1514617871243313</v>
      </c>
      <c r="H31" s="80">
        <f t="shared" si="64"/>
        <v>1.0355097850895585</v>
      </c>
      <c r="I31" s="80">
        <f t="shared" si="64"/>
        <v>2.0681561653817</v>
      </c>
      <c r="J31" s="80">
        <f t="shared" si="64"/>
        <v>2.1969909319182177</v>
      </c>
      <c r="K31" s="80">
        <f t="shared" si="64"/>
        <v>0.8055688175485558</v>
      </c>
      <c r="L31" s="80">
        <f t="shared" si="64"/>
        <v>1.0011277002770349</v>
      </c>
      <c r="M31" s="80">
        <f t="shared" si="64"/>
        <v>1.3789971408108515</v>
      </c>
      <c r="N31" s="80">
        <f t="shared" si="64"/>
        <v>0.87616008482562813</v>
      </c>
      <c r="O31" s="131"/>
      <c r="P31" s="72"/>
      <c r="Q31" s="69" t="s">
        <v>143</v>
      </c>
      <c r="R31" s="69" t="s">
        <v>22</v>
      </c>
      <c r="S31" s="69" t="s">
        <v>23</v>
      </c>
      <c r="T31" s="69" t="s">
        <v>24</v>
      </c>
      <c r="U31" t="s">
        <v>29</v>
      </c>
      <c r="V31" t="s">
        <v>30</v>
      </c>
      <c r="W31" t="s">
        <v>31</v>
      </c>
      <c r="X31" t="s">
        <v>32</v>
      </c>
      <c r="Y31" t="s">
        <v>38</v>
      </c>
      <c r="Z31" t="s">
        <v>39</v>
      </c>
      <c r="AA31" t="s">
        <v>40</v>
      </c>
      <c r="AB31" t="s">
        <v>41</v>
      </c>
      <c r="AC31" s="77"/>
      <c r="AF31" t="s">
        <v>209</v>
      </c>
      <c r="AV31" s="69">
        <f>5*24</f>
        <v>120</v>
      </c>
      <c r="AW31" s="86">
        <v>1.6E-2</v>
      </c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</row>
    <row r="32" spans="2:63" ht="16">
      <c r="B32">
        <v>0.75</v>
      </c>
      <c r="C32" s="80">
        <f t="shared" ref="C32:N32" si="65">LOG10(C106)</f>
        <v>1.1383974429905461</v>
      </c>
      <c r="D32" s="80">
        <f t="shared" si="65"/>
        <v>1.1872386198314788</v>
      </c>
      <c r="E32" s="80">
        <f t="shared" si="65"/>
        <v>0.90649665979935301</v>
      </c>
      <c r="F32" s="80">
        <f t="shared" si="65"/>
        <v>2.1993107851577243</v>
      </c>
      <c r="G32" s="80">
        <f t="shared" si="65"/>
        <v>1.1476763242410988</v>
      </c>
      <c r="H32" s="80">
        <f t="shared" si="65"/>
        <v>1.0376256699147191</v>
      </c>
      <c r="I32" s="80">
        <f t="shared" si="65"/>
        <v>1.9724481593507825</v>
      </c>
      <c r="J32" s="80">
        <f t="shared" si="65"/>
        <v>2.20179845636748</v>
      </c>
      <c r="K32" s="80">
        <f t="shared" si="65"/>
        <v>0.79553244271015433</v>
      </c>
      <c r="L32" s="80">
        <f t="shared" si="65"/>
        <v>0.99510845774474066</v>
      </c>
      <c r="M32" s="80">
        <f t="shared" si="65"/>
        <v>1.3792511141993193</v>
      </c>
      <c r="N32" s="80">
        <f t="shared" si="65"/>
        <v>0.87696796743258487</v>
      </c>
      <c r="O32" s="131"/>
      <c r="P32" s="72" t="s">
        <v>242</v>
      </c>
      <c r="Q32" s="123"/>
      <c r="R32" s="123"/>
      <c r="S32" s="123"/>
      <c r="T32" s="123"/>
      <c r="U32" s="122" t="s">
        <v>249</v>
      </c>
      <c r="V32" s="122" t="s">
        <v>247</v>
      </c>
      <c r="W32" s="122" t="s">
        <v>250</v>
      </c>
      <c r="X32" s="122" t="s">
        <v>248</v>
      </c>
      <c r="Y32" s="66" t="s">
        <v>251</v>
      </c>
      <c r="Z32" s="67" t="s">
        <v>252</v>
      </c>
      <c r="AA32" s="67" t="s">
        <v>253</v>
      </c>
      <c r="AB32" s="67" t="s">
        <v>254</v>
      </c>
      <c r="AC32" s="77"/>
      <c r="AF32" s="69" t="s">
        <v>182</v>
      </c>
      <c r="AG32" s="77" t="s">
        <v>183</v>
      </c>
      <c r="AH32" s="77" t="s">
        <v>183</v>
      </c>
      <c r="AV32" s="69">
        <v>192</v>
      </c>
      <c r="AW32" s="86">
        <v>1.6E-2</v>
      </c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</row>
    <row r="33" spans="2:63" ht="18">
      <c r="B33">
        <v>0.83299999999999996</v>
      </c>
      <c r="C33" s="4">
        <f t="shared" ref="C33:N33" si="66">LOG10(C107)</f>
        <v>1.126780577012009</v>
      </c>
      <c r="D33" s="4">
        <f t="shared" si="66"/>
        <v>1.1888160305023527</v>
      </c>
      <c r="E33" s="4">
        <f t="shared" si="66"/>
        <v>0.90091306773766899</v>
      </c>
      <c r="F33" s="4">
        <f t="shared" si="66"/>
        <v>2.1104381857939369</v>
      </c>
      <c r="G33" s="4">
        <f t="shared" si="66"/>
        <v>1.1228381940892662</v>
      </c>
      <c r="H33" s="4">
        <f t="shared" si="66"/>
        <v>0.97881938673284219</v>
      </c>
      <c r="I33" s="4">
        <f t="shared" si="66"/>
        <v>1.8701697211364408</v>
      </c>
      <c r="J33" s="4">
        <f t="shared" si="66"/>
        <v>2.1511276566581428</v>
      </c>
      <c r="K33" s="4">
        <f t="shared" si="66"/>
        <v>0.62767303176661593</v>
      </c>
      <c r="L33" s="4">
        <f t="shared" si="66"/>
        <v>1.0160718167340239</v>
      </c>
      <c r="M33" s="4">
        <f t="shared" si="66"/>
        <v>1.319688893249499</v>
      </c>
      <c r="N33" s="4">
        <f t="shared" si="66"/>
        <v>0.76908178711821895</v>
      </c>
      <c r="O33" s="89"/>
      <c r="P33">
        <v>6.3E-2</v>
      </c>
      <c r="Q33" s="77">
        <f t="shared" ref="Q33:AB33" si="67">AVERAGE(C80:C82)</f>
        <v>53.520999999999994</v>
      </c>
      <c r="R33" s="77">
        <f t="shared" si="67"/>
        <v>124.19766666666665</v>
      </c>
      <c r="S33" s="77">
        <f t="shared" si="67"/>
        <v>154.92966666666666</v>
      </c>
      <c r="T33" s="77">
        <f t="shared" si="67"/>
        <v>1559.1229999999998</v>
      </c>
      <c r="U33" s="77">
        <f t="shared" si="67"/>
        <v>85.632333333333335</v>
      </c>
      <c r="V33" s="77">
        <f t="shared" si="67"/>
        <v>67.348666666666659</v>
      </c>
      <c r="W33" s="77">
        <f t="shared" si="67"/>
        <v>469.60733333333332</v>
      </c>
      <c r="X33" s="77">
        <f t="shared" si="67"/>
        <v>1855.9733333333334</v>
      </c>
      <c r="Y33" s="77">
        <f t="shared" si="67"/>
        <v>38.830333333333336</v>
      </c>
      <c r="Z33" s="77">
        <f t="shared" si="67"/>
        <v>124.012</v>
      </c>
      <c r="AA33" s="77">
        <f t="shared" si="67"/>
        <v>68.349000000000004</v>
      </c>
      <c r="AB33" s="77">
        <f t="shared" si="67"/>
        <v>56.857333333333337</v>
      </c>
      <c r="AC33" s="77"/>
      <c r="AG33" s="102" t="s">
        <v>188</v>
      </c>
      <c r="AH33" s="66" t="s">
        <v>142</v>
      </c>
      <c r="AI33" t="s">
        <v>208</v>
      </c>
      <c r="AV33" s="69">
        <f>11*24</f>
        <v>264</v>
      </c>
      <c r="AW33" s="86">
        <v>1.6E-2</v>
      </c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</row>
    <row r="34" spans="2:63">
      <c r="B34">
        <v>0.83299999999999996</v>
      </c>
      <c r="C34" s="4">
        <f t="shared" ref="C34:N34" si="68">LOG10(C108)</f>
        <v>1.1288837020997733</v>
      </c>
      <c r="D34" s="4">
        <f t="shared" si="68"/>
        <v>1.1888160305023527</v>
      </c>
      <c r="E34" s="4">
        <f t="shared" si="68"/>
        <v>0.89943745428617761</v>
      </c>
      <c r="F34" s="4">
        <f t="shared" si="68"/>
        <v>2.1142439136889073</v>
      </c>
      <c r="G34" s="4">
        <f t="shared" si="68"/>
        <v>1.1323877811060488</v>
      </c>
      <c r="H34" s="4">
        <f t="shared" si="68"/>
        <v>0.97963941222290729</v>
      </c>
      <c r="I34" s="4">
        <f t="shared" si="68"/>
        <v>1.8798296014116129</v>
      </c>
      <c r="J34" s="4">
        <f t="shared" si="68"/>
        <v>2.1571030231706043</v>
      </c>
      <c r="K34" s="4">
        <f t="shared" si="68"/>
        <v>0.63052957142682409</v>
      </c>
      <c r="L34" s="4">
        <f t="shared" si="68"/>
        <v>1.0164483182590374</v>
      </c>
      <c r="M34" s="4">
        <f t="shared" si="68"/>
        <v>1.3249611530373546</v>
      </c>
      <c r="N34" s="4">
        <f t="shared" si="68"/>
        <v>0.76715586608218045</v>
      </c>
      <c r="O34" s="89"/>
      <c r="P34">
        <v>0.16700000000000001</v>
      </c>
      <c r="Q34" s="77">
        <f t="shared" ref="Q34:AB34" si="69">AVERAGE(C83:C85)</f>
        <v>17.797666666666668</v>
      </c>
      <c r="R34" s="77">
        <f t="shared" si="69"/>
        <v>119.84033333333332</v>
      </c>
      <c r="S34" s="77">
        <f t="shared" si="69"/>
        <v>360.71733333333333</v>
      </c>
      <c r="T34" s="77">
        <f t="shared" si="69"/>
        <v>1177.0633333333333</v>
      </c>
      <c r="U34" s="77">
        <f t="shared" si="69"/>
        <v>38.359000000000002</v>
      </c>
      <c r="V34" s="77">
        <f t="shared" si="69"/>
        <v>26.819333333333333</v>
      </c>
      <c r="W34" s="77">
        <f t="shared" si="69"/>
        <v>407.91699999999997</v>
      </c>
      <c r="X34" s="77">
        <f t="shared" si="69"/>
        <v>1275.8566666666668</v>
      </c>
      <c r="Y34" s="77">
        <f t="shared" si="69"/>
        <v>31.257666666666665</v>
      </c>
      <c r="Z34" s="77">
        <f t="shared" si="69"/>
        <v>118.44633333333333</v>
      </c>
      <c r="AA34" s="77">
        <f t="shared" si="69"/>
        <v>66.061333333333337</v>
      </c>
      <c r="AB34" s="77">
        <f t="shared" si="69"/>
        <v>40.260333333333335</v>
      </c>
      <c r="AC34" s="77"/>
      <c r="AF34" s="75">
        <v>6.25E-2</v>
      </c>
      <c r="AG34" s="13">
        <f>$AJ5</f>
        <v>2.4252667472068477</v>
      </c>
      <c r="AH34" s="13">
        <f>$AO5</f>
        <v>1.8180343341583711</v>
      </c>
      <c r="AI34" s="13">
        <f>AG34-AH34</f>
        <v>0.60723241304847653</v>
      </c>
      <c r="AV34" s="69">
        <f>14*24</f>
        <v>336</v>
      </c>
      <c r="AW34" s="86">
        <v>1.6E-2</v>
      </c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</row>
    <row r="35" spans="2:63">
      <c r="B35">
        <v>0.83299999999999996</v>
      </c>
      <c r="C35" s="4">
        <f t="shared" ref="C35:N35" si="70">LOG10(C109)</f>
        <v>1.1286254048759505</v>
      </c>
      <c r="D35" s="4">
        <f t="shared" si="70"/>
        <v>1.1882814795226671</v>
      </c>
      <c r="E35" s="4">
        <f t="shared" si="70"/>
        <v>0.8965262174895553</v>
      </c>
      <c r="F35" s="4">
        <f t="shared" si="70"/>
        <v>2.1169429642957751</v>
      </c>
      <c r="G35" s="4">
        <f t="shared" si="70"/>
        <v>1.1185292575317394</v>
      </c>
      <c r="H35" s="4">
        <f t="shared" si="70"/>
        <v>0.97932069738202443</v>
      </c>
      <c r="I35" s="4">
        <f t="shared" si="70"/>
        <v>1.8822740206663622</v>
      </c>
      <c r="J35" s="4">
        <f t="shared" si="70"/>
        <v>2.1578675970665566</v>
      </c>
      <c r="K35" s="4">
        <f t="shared" si="70"/>
        <v>0.62355939000543703</v>
      </c>
      <c r="L35" s="4">
        <f t="shared" si="70"/>
        <v>1.016657344822202</v>
      </c>
      <c r="M35" s="4">
        <f t="shared" si="70"/>
        <v>1.3274406762427553</v>
      </c>
      <c r="N35" s="4">
        <f t="shared" si="70"/>
        <v>0.7703364410951492</v>
      </c>
      <c r="O35" s="89"/>
      <c r="P35">
        <v>0.25</v>
      </c>
      <c r="Q35" s="77">
        <f t="shared" ref="Q35:AB35" si="71">AVERAGE(C86:C88)</f>
        <v>14.325666666666669</v>
      </c>
      <c r="R35" s="77">
        <f t="shared" si="71"/>
        <v>26.724666666666668</v>
      </c>
      <c r="S35" s="77">
        <f t="shared" si="71"/>
        <v>494.30533333333341</v>
      </c>
      <c r="T35" s="77">
        <f t="shared" si="71"/>
        <v>855.91266666666672</v>
      </c>
      <c r="U35" s="77">
        <f t="shared" si="71"/>
        <v>29.432333333333332</v>
      </c>
      <c r="V35" s="77">
        <f t="shared" si="71"/>
        <v>19.242666666666665</v>
      </c>
      <c r="W35" s="77">
        <f t="shared" si="71"/>
        <v>369.17433333333332</v>
      </c>
      <c r="X35" s="77">
        <f t="shared" si="71"/>
        <v>899.64100000000008</v>
      </c>
      <c r="Y35" s="77">
        <f t="shared" si="71"/>
        <v>17.815666666666669</v>
      </c>
      <c r="Z35" s="77">
        <f t="shared" si="71"/>
        <v>115.43299999999999</v>
      </c>
      <c r="AA35" s="77">
        <f t="shared" si="71"/>
        <v>68.121333333333325</v>
      </c>
      <c r="AB35" s="77">
        <f t="shared" si="71"/>
        <v>33.306999999999995</v>
      </c>
      <c r="AC35" s="77"/>
      <c r="AF35" s="13">
        <v>0.16700000000000001</v>
      </c>
      <c r="AG35" s="13">
        <f t="shared" ref="AG35:AG56" si="72">$AJ6</f>
        <v>2.1821240061243605</v>
      </c>
      <c r="AH35" s="13">
        <f t="shared" ref="AH35:AH56" si="73">$AO6</f>
        <v>1.7482995609542986</v>
      </c>
      <c r="AI35" s="13">
        <f t="shared" ref="AI35:AI56" si="74">AG35-AH35</f>
        <v>0.43382444517006191</v>
      </c>
      <c r="AV35" s="69">
        <f>17*24</f>
        <v>408</v>
      </c>
      <c r="AW35" s="86">
        <v>1.6E-2</v>
      </c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</row>
    <row r="36" spans="2:63">
      <c r="B36">
        <v>0.91700000000000004</v>
      </c>
      <c r="C36" s="80">
        <f t="shared" ref="C36:N36" si="75">LOG10(C110)</f>
        <v>1.112806017266885</v>
      </c>
      <c r="D36" s="80">
        <f t="shared" si="75"/>
        <v>1.202787915033841</v>
      </c>
      <c r="E36" s="80">
        <f t="shared" si="75"/>
        <v>1.702869778901527</v>
      </c>
      <c r="F36" s="80">
        <f t="shared" si="75"/>
        <v>2.0782428807736584</v>
      </c>
      <c r="G36" s="80">
        <f t="shared" si="75"/>
        <v>1.1469647969897474</v>
      </c>
      <c r="H36" s="80">
        <f t="shared" si="75"/>
        <v>1.0689646659444469</v>
      </c>
      <c r="I36" s="80">
        <f t="shared" si="75"/>
        <v>1.4138527600428668</v>
      </c>
      <c r="J36" s="80">
        <f t="shared" si="75"/>
        <v>2.0826094633774073</v>
      </c>
      <c r="K36" s="80">
        <f t="shared" si="75"/>
        <v>0.60498162960743163</v>
      </c>
      <c r="L36" s="80">
        <f t="shared" si="75"/>
        <v>1.0717715794167557</v>
      </c>
      <c r="M36" s="80">
        <f t="shared" si="75"/>
        <v>1.2382468865266867</v>
      </c>
      <c r="N36" s="80">
        <f t="shared" si="75"/>
        <v>0.69072754387036683</v>
      </c>
      <c r="O36" s="89"/>
      <c r="P36">
        <v>0.33300000000000002</v>
      </c>
      <c r="Q36" s="77">
        <f t="shared" ref="Q36:AB36" si="76">AVERAGE(C89:C91)</f>
        <v>14.257333333333333</v>
      </c>
      <c r="R36" s="77">
        <f t="shared" si="76"/>
        <v>18.884666666666668</v>
      </c>
      <c r="S36" s="77">
        <f t="shared" si="76"/>
        <v>252.75733333333332</v>
      </c>
      <c r="T36" s="77">
        <f t="shared" si="76"/>
        <v>601.15466666666669</v>
      </c>
      <c r="U36" s="77">
        <f t="shared" si="76"/>
        <v>22.961333333333332</v>
      </c>
      <c r="V36" s="77">
        <f t="shared" si="76"/>
        <v>15.273666666666665</v>
      </c>
      <c r="W36" s="77">
        <f t="shared" si="76"/>
        <v>325.40333333333336</v>
      </c>
      <c r="X36" s="77">
        <f t="shared" si="76"/>
        <v>674.29499999999996</v>
      </c>
      <c r="Y36" s="77">
        <f t="shared" si="76"/>
        <v>17.265000000000001</v>
      </c>
      <c r="Z36" s="77">
        <f t="shared" si="76"/>
        <v>112.14700000000001</v>
      </c>
      <c r="AA36" s="77">
        <f t="shared" si="76"/>
        <v>57.713999999999999</v>
      </c>
      <c r="AB36" s="77">
        <f t="shared" si="76"/>
        <v>22.958333333333332</v>
      </c>
      <c r="AC36" s="77"/>
      <c r="AF36" s="13">
        <v>0.25</v>
      </c>
      <c r="AG36" s="13">
        <f t="shared" si="72"/>
        <v>2.0685826495636825</v>
      </c>
      <c r="AH36" s="13">
        <f t="shared" si="73"/>
        <v>1.6672244723999585</v>
      </c>
      <c r="AI36" s="13">
        <f t="shared" si="74"/>
        <v>0.40135817716372402</v>
      </c>
      <c r="AV36" s="69">
        <f>20*24</f>
        <v>480</v>
      </c>
      <c r="AW36" s="86">
        <v>1.6E-2</v>
      </c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</row>
    <row r="37" spans="2:63">
      <c r="B37">
        <v>0.91700000000000004</v>
      </c>
      <c r="C37" s="80">
        <f t="shared" ref="C37:N37" si="77">LOG10(C111)</f>
        <v>1.1329637261307266</v>
      </c>
      <c r="D37" s="80">
        <f t="shared" si="77"/>
        <v>1.2129063927503023</v>
      </c>
      <c r="E37" s="80">
        <f t="shared" si="77"/>
        <v>1.7050422218462253</v>
      </c>
      <c r="F37" s="80">
        <f t="shared" si="77"/>
        <v>2.0862993100138474</v>
      </c>
      <c r="G37" s="80">
        <f t="shared" si="77"/>
        <v>1.1495577918615789</v>
      </c>
      <c r="H37" s="80">
        <f t="shared" si="77"/>
        <v>1.0678888066853989</v>
      </c>
      <c r="I37" s="80">
        <f t="shared" si="77"/>
        <v>1.4183012913197455</v>
      </c>
      <c r="J37" s="80">
        <f t="shared" si="77"/>
        <v>2.0826812707339752</v>
      </c>
      <c r="K37" s="80">
        <f t="shared" si="77"/>
        <v>0.61044722144212127</v>
      </c>
      <c r="L37" s="80">
        <f t="shared" si="77"/>
        <v>1.0724704823038931</v>
      </c>
      <c r="M37" s="80">
        <f t="shared" si="77"/>
        <v>1.2415962821540714</v>
      </c>
      <c r="N37" s="80">
        <f t="shared" si="77"/>
        <v>0.69001878078869527</v>
      </c>
      <c r="O37" s="89"/>
      <c r="P37">
        <v>0.41699999999999998</v>
      </c>
      <c r="Q37" s="77">
        <f t="shared" ref="Q37:AB37" si="78">AVERAGE(C92:C94)</f>
        <v>12.572333333333333</v>
      </c>
      <c r="R37" s="77">
        <f t="shared" si="78"/>
        <v>14.918999999999999</v>
      </c>
      <c r="S37" s="77">
        <f t="shared" si="78"/>
        <v>160.20966666666666</v>
      </c>
      <c r="T37" s="77">
        <f t="shared" si="78"/>
        <v>432.60166666666669</v>
      </c>
      <c r="U37" s="77">
        <f t="shared" si="78"/>
        <v>17.745999999999999</v>
      </c>
      <c r="V37" s="77">
        <f t="shared" si="78"/>
        <v>11.790333333333335</v>
      </c>
      <c r="W37" s="77">
        <f t="shared" si="78"/>
        <v>288.82066666666668</v>
      </c>
      <c r="X37" s="77">
        <f t="shared" si="78"/>
        <v>463.79733333333326</v>
      </c>
      <c r="Y37" s="77">
        <f t="shared" si="78"/>
        <v>12.045333333333334</v>
      </c>
      <c r="Z37" s="77">
        <f t="shared" si="78"/>
        <v>108.164</v>
      </c>
      <c r="AA37" s="77">
        <f t="shared" si="78"/>
        <v>46.292333333333339</v>
      </c>
      <c r="AB37" s="77">
        <f t="shared" si="78"/>
        <v>17.340333333333334</v>
      </c>
      <c r="AC37" s="77"/>
      <c r="AF37" s="13">
        <v>0.33300000000000002</v>
      </c>
      <c r="AG37" s="13">
        <f t="shared" si="72"/>
        <v>1.9715412970152366</v>
      </c>
      <c r="AH37" s="13">
        <f t="shared" si="73"/>
        <v>1.6022747616038291</v>
      </c>
      <c r="AI37" s="13">
        <f t="shared" si="74"/>
        <v>0.36926653541140753</v>
      </c>
      <c r="AV37" s="69">
        <f>24*23</f>
        <v>552</v>
      </c>
      <c r="AW37" s="86">
        <v>1.6E-2</v>
      </c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</row>
    <row r="38" spans="2:63">
      <c r="B38">
        <v>0.91700000000000004</v>
      </c>
      <c r="C38" s="80">
        <f t="shared" ref="C38:N38" si="79">LOG10(C112)</f>
        <v>1.1298831553406212</v>
      </c>
      <c r="D38" s="80">
        <f t="shared" si="79"/>
        <v>1.1856271356748993</v>
      </c>
      <c r="E38" s="80">
        <f t="shared" si="79"/>
        <v>1.6982136737388993</v>
      </c>
      <c r="F38" s="80">
        <f t="shared" si="79"/>
        <v>2.0902262999400301</v>
      </c>
      <c r="G38" s="80">
        <f t="shared" si="79"/>
        <v>1.1400364109752821</v>
      </c>
      <c r="H38" s="80">
        <f t="shared" si="79"/>
        <v>1.0701117827822002</v>
      </c>
      <c r="I38" s="80">
        <f t="shared" si="79"/>
        <v>1.424914289123989</v>
      </c>
      <c r="J38" s="80">
        <f t="shared" si="79"/>
        <v>2.0838858624795864</v>
      </c>
      <c r="K38" s="80">
        <f t="shared" si="79"/>
        <v>0.60465797204787097</v>
      </c>
      <c r="L38" s="80">
        <f t="shared" si="79"/>
        <v>1.0693720543085146</v>
      </c>
      <c r="M38" s="80">
        <f t="shared" si="79"/>
        <v>1.2397498104463636</v>
      </c>
      <c r="N38" s="80">
        <f t="shared" si="79"/>
        <v>0.6909930320998694</v>
      </c>
      <c r="O38" s="89"/>
      <c r="P38">
        <v>0.5</v>
      </c>
      <c r="Q38" s="77">
        <f t="shared" ref="Q38:AB38" si="80">AVERAGE(C95:C97)</f>
        <v>12.716666666666667</v>
      </c>
      <c r="R38" s="77">
        <f t="shared" si="80"/>
        <v>15.883333333333333</v>
      </c>
      <c r="S38" s="77">
        <f t="shared" si="80"/>
        <v>51.687666666666665</v>
      </c>
      <c r="T38" s="77">
        <f t="shared" si="80"/>
        <v>333.13866666666667</v>
      </c>
      <c r="U38" s="77">
        <f t="shared" si="80"/>
        <v>16.143333333333334</v>
      </c>
      <c r="V38" s="77">
        <f t="shared" si="80"/>
        <v>10.972000000000001</v>
      </c>
      <c r="W38" s="77">
        <f t="shared" si="80"/>
        <v>223.86433333333335</v>
      </c>
      <c r="X38" s="77">
        <f t="shared" si="80"/>
        <v>366.07066666666668</v>
      </c>
      <c r="Y38" s="77">
        <f t="shared" si="80"/>
        <v>11.585000000000001</v>
      </c>
      <c r="Z38" s="77">
        <f t="shared" si="80"/>
        <v>12.567666666666668</v>
      </c>
      <c r="AA38" s="77">
        <f t="shared" si="80"/>
        <v>28.074666666666669</v>
      </c>
      <c r="AB38" s="77">
        <f t="shared" si="80"/>
        <v>15.364666666666665</v>
      </c>
      <c r="AC38" s="77"/>
      <c r="AF38" s="13">
        <v>0.41699999999999998</v>
      </c>
      <c r="AG38" s="13">
        <f t="shared" si="72"/>
        <v>1.8618828245132386</v>
      </c>
      <c r="AH38" s="13">
        <f t="shared" si="73"/>
        <v>1.5048502338846104</v>
      </c>
      <c r="AI38" s="13">
        <f t="shared" si="74"/>
        <v>0.35703259062862824</v>
      </c>
      <c r="AV38" s="69">
        <f>24*26</f>
        <v>624</v>
      </c>
      <c r="AW38" s="86">
        <v>1.6E-2</v>
      </c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</row>
    <row r="39" spans="2:63">
      <c r="B39">
        <v>1</v>
      </c>
      <c r="C39" s="4">
        <f t="shared" ref="C39:N39" si="81">LOG10(C113)</f>
        <v>1.2096222345115506</v>
      </c>
      <c r="D39" s="4">
        <f t="shared" si="81"/>
        <v>2.0451390493875996</v>
      </c>
      <c r="E39" s="4">
        <f t="shared" si="81"/>
        <v>1.7439328780825309</v>
      </c>
      <c r="F39" s="4">
        <f t="shared" si="81"/>
        <v>2.0174048362183314</v>
      </c>
      <c r="G39" s="4">
        <f t="shared" si="81"/>
        <v>1.1473671077937864</v>
      </c>
      <c r="H39" s="4">
        <f t="shared" si="81"/>
        <v>1.0751087964165</v>
      </c>
      <c r="I39" s="4">
        <f t="shared" si="81"/>
        <v>1.3184807251745174</v>
      </c>
      <c r="J39" s="4">
        <f t="shared" si="81"/>
        <v>2.0174340416017595</v>
      </c>
      <c r="K39" s="4">
        <f t="shared" si="81"/>
        <v>0.58365210854204386</v>
      </c>
      <c r="L39" s="4">
        <f t="shared" si="81"/>
        <v>0.96477802202237606</v>
      </c>
      <c r="M39" s="4">
        <f t="shared" si="81"/>
        <v>1.4131488247143165</v>
      </c>
      <c r="N39" s="4">
        <f t="shared" si="81"/>
        <v>0.61658053008588609</v>
      </c>
      <c r="O39" s="89"/>
      <c r="P39">
        <v>0.58299999999999996</v>
      </c>
      <c r="Q39" s="77">
        <f t="shared" ref="Q39:AB39" si="82">AVERAGE(C98:C100)</f>
        <v>13.555333333333332</v>
      </c>
      <c r="R39" s="77">
        <f t="shared" si="82"/>
        <v>16.96766666666667</v>
      </c>
      <c r="S39" s="77">
        <f t="shared" si="82"/>
        <v>34.917999999999999</v>
      </c>
      <c r="T39" s="77">
        <f t="shared" si="82"/>
        <v>247.70233333333331</v>
      </c>
      <c r="U39" s="77">
        <f t="shared" si="82"/>
        <v>15.583333333333334</v>
      </c>
      <c r="V39" s="77">
        <f t="shared" si="82"/>
        <v>11.820333333333332</v>
      </c>
      <c r="W39" s="77">
        <f t="shared" si="82"/>
        <v>171.63800000000001</v>
      </c>
      <c r="X39" s="77">
        <f t="shared" si="82"/>
        <v>269.47033333333337</v>
      </c>
      <c r="Y39" s="77">
        <f t="shared" si="82"/>
        <v>8.6289999999999996</v>
      </c>
      <c r="Z39" s="77">
        <f t="shared" si="82"/>
        <v>12.141333333333334</v>
      </c>
      <c r="AA39" s="77">
        <f t="shared" si="82"/>
        <v>32.564333333333337</v>
      </c>
      <c r="AB39" s="77">
        <f t="shared" si="82"/>
        <v>11.54</v>
      </c>
      <c r="AC39" s="77"/>
      <c r="AF39" s="13">
        <v>0.5</v>
      </c>
      <c r="AG39" s="13">
        <f t="shared" si="72"/>
        <v>1.7902814035962549</v>
      </c>
      <c r="AH39" s="13">
        <f t="shared" si="73"/>
        <v>1.1994780248312247</v>
      </c>
      <c r="AI39" s="13">
        <f t="shared" si="74"/>
        <v>0.5908033787650302</v>
      </c>
      <c r="AV39" s="69">
        <f>24*29</f>
        <v>696</v>
      </c>
      <c r="AW39" s="86">
        <v>1.6E-2</v>
      </c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</row>
    <row r="40" spans="2:63">
      <c r="B40">
        <v>1</v>
      </c>
      <c r="C40" s="4">
        <f t="shared" ref="C40:N40" si="83">LOG10(C114)</f>
        <v>1.2073380952883563</v>
      </c>
      <c r="D40" s="4">
        <f t="shared" si="83"/>
        <v>2.0424416204305276</v>
      </c>
      <c r="E40" s="4">
        <f t="shared" si="83"/>
        <v>1.7503849543667795</v>
      </c>
      <c r="F40" s="4">
        <f t="shared" si="83"/>
        <v>2.0152423626576135</v>
      </c>
      <c r="G40" s="4">
        <f t="shared" si="83"/>
        <v>1.1505722476689979</v>
      </c>
      <c r="H40" s="4">
        <f t="shared" si="83"/>
        <v>1.0775132514976629</v>
      </c>
      <c r="I40" s="4">
        <f t="shared" si="83"/>
        <v>1.3003345680023299</v>
      </c>
      <c r="J40" s="4">
        <f t="shared" si="83"/>
        <v>2.0150997716430088</v>
      </c>
      <c r="K40" s="4">
        <f t="shared" si="83"/>
        <v>0.59162103821331913</v>
      </c>
      <c r="L40" s="4">
        <f t="shared" si="83"/>
        <v>0.9740047968974147</v>
      </c>
      <c r="M40" s="4">
        <f t="shared" si="83"/>
        <v>1.4124941472506352</v>
      </c>
      <c r="N40" s="4">
        <f t="shared" si="83"/>
        <v>0.61468634228201258</v>
      </c>
      <c r="O40" s="89"/>
      <c r="P40">
        <v>0.66700000000000004</v>
      </c>
      <c r="Q40" s="77">
        <f t="shared" ref="Q40:AB40" si="84">AVERAGE(C101:C103)</f>
        <v>13.585666666666668</v>
      </c>
      <c r="R40" s="77">
        <f t="shared" si="84"/>
        <v>16.684000000000001</v>
      </c>
      <c r="S40" s="77">
        <f t="shared" si="84"/>
        <v>8.1313333333333322</v>
      </c>
      <c r="T40" s="77">
        <f t="shared" si="84"/>
        <v>236.85299999999998</v>
      </c>
      <c r="U40" s="77">
        <f t="shared" si="84"/>
        <v>14.888666666666666</v>
      </c>
      <c r="V40" s="77">
        <f t="shared" si="84"/>
        <v>11.556333333333333</v>
      </c>
      <c r="W40" s="77">
        <f t="shared" si="84"/>
        <v>131.88233333333335</v>
      </c>
      <c r="X40" s="77">
        <f t="shared" si="84"/>
        <v>217.078</v>
      </c>
      <c r="Y40" s="77">
        <f t="shared" si="84"/>
        <v>6.6116666666666672</v>
      </c>
      <c r="Z40" s="77">
        <f t="shared" si="84"/>
        <v>10.429</v>
      </c>
      <c r="AA40" s="77">
        <f t="shared" si="84"/>
        <v>29.138666666666666</v>
      </c>
      <c r="AB40" s="77">
        <f t="shared" si="84"/>
        <v>8.9623333333333335</v>
      </c>
      <c r="AC40" s="77"/>
      <c r="AF40" s="13">
        <v>0.58299999999999996</v>
      </c>
      <c r="AG40" s="13">
        <f t="shared" si="72"/>
        <v>1.7323013890749437</v>
      </c>
      <c r="AH40" s="13">
        <f t="shared" si="73"/>
        <v>1.1487749061104466</v>
      </c>
      <c r="AI40" s="13">
        <f t="shared" si="74"/>
        <v>0.58352648296449705</v>
      </c>
      <c r="AV40" s="69">
        <f>32*24</f>
        <v>768</v>
      </c>
      <c r="AW40" s="86">
        <v>1.6E-2</v>
      </c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</row>
    <row r="41" spans="2:63">
      <c r="B41">
        <v>1</v>
      </c>
      <c r="C41" s="4">
        <f t="shared" ref="C41:N41" si="85">LOG10(C115)</f>
        <v>1.2093004951597051</v>
      </c>
      <c r="D41" s="4">
        <f t="shared" si="85"/>
        <v>2.0429179306332235</v>
      </c>
      <c r="E41" s="4">
        <f t="shared" si="85"/>
        <v>1.7522328877210938</v>
      </c>
      <c r="F41" s="4">
        <f t="shared" si="85"/>
        <v>2.0209327827778822</v>
      </c>
      <c r="G41" s="4">
        <f t="shared" si="85"/>
        <v>1.1399734879844585</v>
      </c>
      <c r="H41" s="4">
        <f t="shared" si="85"/>
        <v>1.0693350347899393</v>
      </c>
      <c r="I41" s="4">
        <f t="shared" si="85"/>
        <v>1.3144992279731516</v>
      </c>
      <c r="J41" s="4">
        <f t="shared" si="85"/>
        <v>2.0175967213659858</v>
      </c>
      <c r="K41" s="4">
        <f t="shared" si="85"/>
        <v>0.58512218630681545</v>
      </c>
      <c r="L41" s="4">
        <f t="shared" si="85"/>
        <v>0.97340497441006069</v>
      </c>
      <c r="M41" s="4">
        <f t="shared" si="85"/>
        <v>1.4080702858871854</v>
      </c>
      <c r="N41" s="4">
        <f t="shared" si="85"/>
        <v>0.61257195406517617</v>
      </c>
      <c r="O41" s="89"/>
      <c r="P41">
        <v>0.75</v>
      </c>
      <c r="Q41" s="77">
        <f t="shared" ref="Q41:AB41" si="86">AVERAGE(C104:C106)</f>
        <v>13.832999999999998</v>
      </c>
      <c r="R41" s="77">
        <f t="shared" si="86"/>
        <v>15.457333333333333</v>
      </c>
      <c r="S41" s="77">
        <f t="shared" si="86"/>
        <v>8.0870000000000015</v>
      </c>
      <c r="T41" s="77">
        <f t="shared" si="86"/>
        <v>157.51500000000001</v>
      </c>
      <c r="U41" s="77">
        <f t="shared" si="86"/>
        <v>14.167666666666667</v>
      </c>
      <c r="V41" s="77">
        <f t="shared" si="86"/>
        <v>10.864666666666666</v>
      </c>
      <c r="W41" s="77">
        <f t="shared" si="86"/>
        <v>101.48766666666667</v>
      </c>
      <c r="X41" s="77">
        <f t="shared" si="86"/>
        <v>158.01899999999998</v>
      </c>
      <c r="Y41" s="77">
        <f t="shared" si="86"/>
        <v>6.3883333333333328</v>
      </c>
      <c r="Z41" s="77">
        <f t="shared" si="86"/>
        <v>10.013666666666666</v>
      </c>
      <c r="AA41" s="77">
        <f t="shared" si="86"/>
        <v>23.881666666666664</v>
      </c>
      <c r="AB41" s="77">
        <f t="shared" si="86"/>
        <v>7.5573333333333332</v>
      </c>
      <c r="AC41" s="77"/>
      <c r="AF41" s="13">
        <v>0.66700000000000004</v>
      </c>
      <c r="AG41" s="13">
        <f t="shared" si="72"/>
        <v>1.6725173666057356</v>
      </c>
      <c r="AH41" s="13">
        <f t="shared" si="73"/>
        <v>1.0638438832179933</v>
      </c>
      <c r="AI41" s="13">
        <f t="shared" si="74"/>
        <v>0.6086734833877423</v>
      </c>
      <c r="AV41" s="69">
        <f>35*24</f>
        <v>840</v>
      </c>
      <c r="AW41" s="86">
        <v>1.6E-2</v>
      </c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</row>
    <row r="42" spans="2:63">
      <c r="B42">
        <v>2</v>
      </c>
      <c r="C42" s="80">
        <f t="shared" ref="C42:N42" si="87">LOG10(C116)</f>
        <v>1.1879435290625271</v>
      </c>
      <c r="D42" s="80">
        <f t="shared" si="87"/>
        <v>1.2829391657547735</v>
      </c>
      <c r="E42" s="80">
        <f t="shared" si="87"/>
        <v>1.7807852049682986</v>
      </c>
      <c r="F42" s="80">
        <f t="shared" si="87"/>
        <v>1.0547279320821981</v>
      </c>
      <c r="G42" s="80">
        <f t="shared" si="87"/>
        <v>1.1830134630819293</v>
      </c>
      <c r="H42" s="80">
        <f t="shared" si="87"/>
        <v>1.1106570375580309</v>
      </c>
      <c r="I42" s="80">
        <f t="shared" si="87"/>
        <v>0.93851972517649185</v>
      </c>
      <c r="J42" s="80">
        <f t="shared" si="87"/>
        <v>0.87355309351361876</v>
      </c>
      <c r="K42" s="80">
        <f t="shared" si="87"/>
        <v>0.46834733041215726</v>
      </c>
      <c r="L42" s="80">
        <f t="shared" si="87"/>
        <v>0.58410497039945275</v>
      </c>
      <c r="M42" s="80">
        <f t="shared" si="87"/>
        <v>0.95607233699518301</v>
      </c>
      <c r="N42" s="80">
        <f t="shared" si="87"/>
        <v>0.52685598712587456</v>
      </c>
      <c r="O42" s="89"/>
      <c r="P42">
        <v>0.83299999999999996</v>
      </c>
      <c r="Q42" s="77">
        <f t="shared" ref="Q42:AB42" si="88">AVERAGE(C107:C109)</f>
        <v>13.430666666666667</v>
      </c>
      <c r="R42" s="77">
        <f t="shared" si="88"/>
        <v>15.439666666666668</v>
      </c>
      <c r="S42" s="77">
        <f t="shared" si="88"/>
        <v>7.9243333333333332</v>
      </c>
      <c r="T42" s="77">
        <f t="shared" si="88"/>
        <v>129.982</v>
      </c>
      <c r="U42" s="77">
        <f t="shared" si="88"/>
        <v>13.323666666666666</v>
      </c>
      <c r="V42" s="77">
        <f t="shared" si="88"/>
        <v>9.533666666666667</v>
      </c>
      <c r="W42" s="77">
        <f t="shared" si="88"/>
        <v>75.414666666666662</v>
      </c>
      <c r="X42" s="77">
        <f t="shared" si="88"/>
        <v>143.01333333333335</v>
      </c>
      <c r="Y42" s="77">
        <f t="shared" si="88"/>
        <v>4.2389999999999999</v>
      </c>
      <c r="Z42" s="77">
        <f t="shared" si="88"/>
        <v>10.384666666666666</v>
      </c>
      <c r="AA42" s="77">
        <f t="shared" si="88"/>
        <v>21.088333333333335</v>
      </c>
      <c r="AB42" s="77">
        <f t="shared" si="88"/>
        <v>5.8730000000000002</v>
      </c>
      <c r="AC42" s="77"/>
      <c r="AF42" s="13">
        <v>0.75</v>
      </c>
      <c r="AG42" s="13">
        <f t="shared" si="72"/>
        <v>1.5974988197174427</v>
      </c>
      <c r="AH42" s="13">
        <f t="shared" si="73"/>
        <v>1.015577832841926</v>
      </c>
      <c r="AI42" s="13">
        <f t="shared" si="74"/>
        <v>0.58192098687551663</v>
      </c>
      <c r="AV42" s="69">
        <f>24*38</f>
        <v>912</v>
      </c>
      <c r="AW42" s="86">
        <v>1.6E-2</v>
      </c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</row>
    <row r="43" spans="2:63">
      <c r="B43">
        <v>2</v>
      </c>
      <c r="C43" s="80">
        <f t="shared" ref="C43:N43" si="89">LOG10(C117)</f>
        <v>1.1972254061181919</v>
      </c>
      <c r="D43" s="80">
        <f t="shared" si="89"/>
        <v>1.2871296207191107</v>
      </c>
      <c r="E43" s="80">
        <f t="shared" si="89"/>
        <v>1.7802308767767645</v>
      </c>
      <c r="F43" s="80">
        <f t="shared" si="89"/>
        <v>1.0640459628644827</v>
      </c>
      <c r="G43" s="80">
        <f t="shared" si="89"/>
        <v>1.1794943410054501</v>
      </c>
      <c r="H43" s="80">
        <f t="shared" si="89"/>
        <v>1.1093085052467491</v>
      </c>
      <c r="I43" s="80">
        <f t="shared" si="89"/>
        <v>0.93946933084353013</v>
      </c>
      <c r="J43" s="80">
        <f t="shared" si="89"/>
        <v>0.87558210432788575</v>
      </c>
      <c r="K43" s="80">
        <f t="shared" si="89"/>
        <v>0.48628876096056634</v>
      </c>
      <c r="L43" s="80">
        <f t="shared" si="89"/>
        <v>0.57691695596520709</v>
      </c>
      <c r="M43" s="80">
        <f t="shared" si="89"/>
        <v>0.95515838692579358</v>
      </c>
      <c r="N43" s="80">
        <f t="shared" si="89"/>
        <v>0.52672686731463558</v>
      </c>
      <c r="O43" s="89"/>
      <c r="P43">
        <v>0.91700000000000004</v>
      </c>
      <c r="Q43" s="77">
        <f t="shared" ref="Q43:AB43" si="90">AVERAGE(C110:C112)</f>
        <v>13.344666666666669</v>
      </c>
      <c r="R43" s="77">
        <f t="shared" si="90"/>
        <v>15.870333333333335</v>
      </c>
      <c r="S43" s="77">
        <f t="shared" si="90"/>
        <v>50.355999999999995</v>
      </c>
      <c r="T43" s="77">
        <f t="shared" si="90"/>
        <v>121.605</v>
      </c>
      <c r="U43" s="77">
        <f t="shared" si="90"/>
        <v>13.981</v>
      </c>
      <c r="V43" s="77">
        <f t="shared" si="90"/>
        <v>11.721666666666666</v>
      </c>
      <c r="W43" s="77">
        <f t="shared" si="90"/>
        <v>26.245000000000001</v>
      </c>
      <c r="X43" s="77">
        <f t="shared" si="90"/>
        <v>121.07633333333332</v>
      </c>
      <c r="Y43" s="77">
        <f t="shared" si="90"/>
        <v>4.0430000000000001</v>
      </c>
      <c r="Z43" s="77">
        <f t="shared" si="90"/>
        <v>11.781666666666666</v>
      </c>
      <c r="AA43" s="77">
        <f t="shared" si="90"/>
        <v>17.372666666666664</v>
      </c>
      <c r="AB43" s="77">
        <f t="shared" si="90"/>
        <v>4.9043333333333328</v>
      </c>
      <c r="AC43" s="77"/>
      <c r="AF43" s="13">
        <v>0.83299999999999996</v>
      </c>
      <c r="AG43" s="13">
        <f t="shared" si="72"/>
        <v>1.5341588624312124</v>
      </c>
      <c r="AH43" s="13">
        <f t="shared" si="73"/>
        <v>0.93413369081994146</v>
      </c>
      <c r="AI43" s="13">
        <f t="shared" si="74"/>
        <v>0.60002517161127089</v>
      </c>
      <c r="AV43" s="69">
        <f>24*41</f>
        <v>984</v>
      </c>
      <c r="AW43" s="86">
        <v>1.6E-2</v>
      </c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</row>
    <row r="44" spans="2:63">
      <c r="B44">
        <v>2</v>
      </c>
      <c r="C44" s="80">
        <f t="shared" ref="C44:N44" si="91">LOG10(C118)</f>
        <v>1.1944033259100062</v>
      </c>
      <c r="D44" s="80">
        <f t="shared" si="91"/>
        <v>1.289945516176668</v>
      </c>
      <c r="E44" s="80">
        <f t="shared" si="91"/>
        <v>1.7770714110641297</v>
      </c>
      <c r="F44" s="80">
        <f t="shared" si="91"/>
        <v>1.0622434410264781</v>
      </c>
      <c r="G44" s="80">
        <f t="shared" si="91"/>
        <v>1.1790057075648201</v>
      </c>
      <c r="H44" s="80">
        <f t="shared" si="91"/>
        <v>1.1077863843159532</v>
      </c>
      <c r="I44" s="80">
        <f t="shared" si="91"/>
        <v>0.94679602727146051</v>
      </c>
      <c r="J44" s="80">
        <f t="shared" si="91"/>
        <v>0.87932530078480742</v>
      </c>
      <c r="K44" s="80">
        <f t="shared" si="91"/>
        <v>0.48115587082803513</v>
      </c>
      <c r="L44" s="80">
        <f t="shared" si="91"/>
        <v>0.56679091238159174</v>
      </c>
      <c r="M44" s="80">
        <f t="shared" si="91"/>
        <v>0.94428522068875276</v>
      </c>
      <c r="N44" s="80">
        <f t="shared" si="91"/>
        <v>0.52853106063541144</v>
      </c>
      <c r="O44" s="89"/>
      <c r="P44">
        <v>1</v>
      </c>
      <c r="Q44" s="77">
        <f t="shared" ref="Q44:AB44" si="92">AVERAGE(C113:C115)</f>
        <v>16.171666666666667</v>
      </c>
      <c r="R44" s="77">
        <f t="shared" si="92"/>
        <v>110.53533333333333</v>
      </c>
      <c r="S44" s="77">
        <f t="shared" si="92"/>
        <v>56.087333333333333</v>
      </c>
      <c r="T44" s="77">
        <f t="shared" si="92"/>
        <v>104.19966666666666</v>
      </c>
      <c r="U44" s="77">
        <f t="shared" si="92"/>
        <v>13.995666666666665</v>
      </c>
      <c r="V44" s="77">
        <f t="shared" si="92"/>
        <v>11.857666666666667</v>
      </c>
      <c r="W44" s="77">
        <f t="shared" si="92"/>
        <v>20.472666666666665</v>
      </c>
      <c r="X44" s="77">
        <f t="shared" si="92"/>
        <v>103.923</v>
      </c>
      <c r="Y44" s="77">
        <f t="shared" si="92"/>
        <v>3.8620000000000001</v>
      </c>
      <c r="Z44" s="77">
        <f t="shared" si="92"/>
        <v>9.3486666666666665</v>
      </c>
      <c r="AA44" s="77">
        <f t="shared" si="92"/>
        <v>25.777666666666665</v>
      </c>
      <c r="AB44" s="77">
        <f t="shared" si="92"/>
        <v>4.1173333333333337</v>
      </c>
      <c r="AC44" s="77"/>
      <c r="AF44" s="13">
        <v>0.91700000000000004</v>
      </c>
      <c r="AG44" s="13">
        <f t="shared" si="72"/>
        <v>1.4291474326930187</v>
      </c>
      <c r="AH44" s="13">
        <f t="shared" si="73"/>
        <v>0.90208610625105345</v>
      </c>
      <c r="AI44" s="13">
        <f t="shared" si="74"/>
        <v>0.52706132644196524</v>
      </c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</row>
    <row r="45" spans="2:63">
      <c r="B45">
        <v>3</v>
      </c>
      <c r="C45" s="4">
        <f t="shared" ref="C45:N45" si="93">LOG10(C119)</f>
        <v>1.433241641112682</v>
      </c>
      <c r="D45" s="4">
        <f t="shared" si="93"/>
        <v>1.4439354274224243</v>
      </c>
      <c r="E45" s="4">
        <f t="shared" si="93"/>
        <v>1.7102104787023522</v>
      </c>
      <c r="F45" s="4">
        <f t="shared" si="93"/>
        <v>1.1975837690357769</v>
      </c>
      <c r="G45" s="4">
        <f t="shared" si="93"/>
        <v>1.3761935868842847</v>
      </c>
      <c r="H45" s="4">
        <f t="shared" si="93"/>
        <v>1.3873364261933372</v>
      </c>
      <c r="I45" s="4">
        <f t="shared" si="93"/>
        <v>0.74107277237332136</v>
      </c>
      <c r="J45" s="4">
        <f t="shared" si="93"/>
        <v>1.1672877899009315</v>
      </c>
      <c r="K45" s="4">
        <f t="shared" si="93"/>
        <v>0.26245108973042947</v>
      </c>
      <c r="L45" s="4">
        <f t="shared" si="93"/>
        <v>0.51600623038604776</v>
      </c>
      <c r="M45" s="4">
        <f t="shared" si="93"/>
        <v>0.86278709823534439</v>
      </c>
      <c r="N45" s="4">
        <f t="shared" si="93"/>
        <v>0.60681114691896343</v>
      </c>
      <c r="O45" s="89"/>
      <c r="P45">
        <v>2</v>
      </c>
      <c r="Q45" s="77">
        <f t="shared" ref="Q45:AB45" si="94">AVERAGE(C116:C118)</f>
        <v>15.603</v>
      </c>
      <c r="R45" s="77">
        <f t="shared" si="94"/>
        <v>19.349999999999998</v>
      </c>
      <c r="S45" s="77">
        <f t="shared" si="94"/>
        <v>60.167999999999999</v>
      </c>
      <c r="T45" s="77">
        <f t="shared" si="94"/>
        <v>11.491</v>
      </c>
      <c r="U45" s="77">
        <f t="shared" si="94"/>
        <v>15.153333333333334</v>
      </c>
      <c r="V45" s="77">
        <f t="shared" si="94"/>
        <v>12.860333333333335</v>
      </c>
      <c r="W45" s="77">
        <f t="shared" si="94"/>
        <v>8.7419999999999991</v>
      </c>
      <c r="X45" s="77">
        <f t="shared" si="94"/>
        <v>7.519000000000001</v>
      </c>
      <c r="Y45" s="77">
        <f t="shared" si="94"/>
        <v>3.0106666666666668</v>
      </c>
      <c r="Z45" s="77">
        <f t="shared" si="94"/>
        <v>3.7669999999999999</v>
      </c>
      <c r="AA45" s="77">
        <f t="shared" si="94"/>
        <v>8.9510000000000005</v>
      </c>
      <c r="AB45" s="77">
        <f t="shared" si="94"/>
        <v>3.3679999999999999</v>
      </c>
      <c r="AC45" s="77"/>
      <c r="AF45">
        <v>1</v>
      </c>
      <c r="AG45" s="13">
        <f t="shared" si="72"/>
        <v>1.3869429151593415</v>
      </c>
      <c r="AH45" s="13">
        <f t="shared" si="73"/>
        <v>0.89584460088977014</v>
      </c>
      <c r="AI45" s="13">
        <f t="shared" si="74"/>
        <v>0.4910983142695714</v>
      </c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</row>
    <row r="46" spans="2:63">
      <c r="B46">
        <v>3</v>
      </c>
      <c r="C46" s="4">
        <f t="shared" ref="C46:N46" si="95">LOG10(C120)</f>
        <v>1.4368779277106576</v>
      </c>
      <c r="D46" s="4">
        <f t="shared" si="95"/>
        <v>1.4460709357010051</v>
      </c>
      <c r="E46" s="4">
        <f t="shared" si="95"/>
        <v>1.7226832713756246</v>
      </c>
      <c r="F46" s="4">
        <f t="shared" si="95"/>
        <v>1.1931802735653452</v>
      </c>
      <c r="G46" s="4">
        <f t="shared" si="95"/>
        <v>1.3783797292507396</v>
      </c>
      <c r="H46" s="4">
        <f t="shared" si="95"/>
        <v>1.3845326154942486</v>
      </c>
      <c r="I46" s="4">
        <f t="shared" si="95"/>
        <v>0.74186039406526361</v>
      </c>
      <c r="J46" s="4">
        <f t="shared" si="95"/>
        <v>1.1791782292097941</v>
      </c>
      <c r="K46" s="4">
        <f t="shared" si="95"/>
        <v>0.26150077319828013</v>
      </c>
      <c r="L46" s="4">
        <f t="shared" si="95"/>
        <v>0.51732788229437354</v>
      </c>
      <c r="M46" s="4">
        <f t="shared" si="95"/>
        <v>0.85817613798234438</v>
      </c>
      <c r="N46" s="4">
        <f t="shared" si="95"/>
        <v>0.59780484240429288</v>
      </c>
      <c r="O46" s="89"/>
      <c r="P46">
        <v>3</v>
      </c>
      <c r="Q46" s="77">
        <f t="shared" ref="Q46:AB46" si="96">AVERAGE(C119:C121)</f>
        <v>27.082666666666668</v>
      </c>
      <c r="R46" s="77">
        <f t="shared" si="96"/>
        <v>27.790333333333333</v>
      </c>
      <c r="S46" s="77">
        <f t="shared" si="96"/>
        <v>52.072666666666663</v>
      </c>
      <c r="T46" s="77">
        <f t="shared" si="96"/>
        <v>15.669666666666666</v>
      </c>
      <c r="U46" s="77">
        <f t="shared" si="96"/>
        <v>23.846999999999998</v>
      </c>
      <c r="V46" s="77">
        <f t="shared" si="96"/>
        <v>24.364000000000001</v>
      </c>
      <c r="W46" s="77">
        <f t="shared" si="96"/>
        <v>5.549666666666667</v>
      </c>
      <c r="X46" s="77">
        <f t="shared" si="96"/>
        <v>14.877666666666665</v>
      </c>
      <c r="Y46" s="77">
        <f t="shared" si="96"/>
        <v>1.8273333333333335</v>
      </c>
      <c r="Z46" s="77">
        <f t="shared" si="96"/>
        <v>3.2726666666666664</v>
      </c>
      <c r="AA46" s="77">
        <f t="shared" si="96"/>
        <v>7.2383333333333333</v>
      </c>
      <c r="AB46" s="77">
        <f t="shared" si="96"/>
        <v>4.0156666666666663</v>
      </c>
      <c r="AC46" s="77"/>
      <c r="AF46">
        <v>2</v>
      </c>
      <c r="AG46" s="13">
        <f t="shared" si="72"/>
        <v>1.026875918390894</v>
      </c>
      <c r="AH46" s="13">
        <f t="shared" si="73"/>
        <v>0.63343622171938851</v>
      </c>
      <c r="AI46" s="13">
        <f t="shared" si="74"/>
        <v>0.39343969667150547</v>
      </c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</row>
    <row r="47" spans="2:63">
      <c r="B47">
        <v>3</v>
      </c>
      <c r="C47" s="4">
        <f>LOG10(C121)</f>
        <v>1.4279078644992482</v>
      </c>
      <c r="D47" s="4">
        <f t="shared" ref="D47:N47" si="97">LOG10(D121)</f>
        <v>1.4416637207987992</v>
      </c>
      <c r="E47" s="4">
        <f t="shared" si="97"/>
        <v>1.7168460590061283</v>
      </c>
      <c r="F47" s="4">
        <f t="shared" si="97"/>
        <v>1.1944033259100062</v>
      </c>
      <c r="G47" s="4">
        <f t="shared" si="97"/>
        <v>1.3777250412431481</v>
      </c>
      <c r="H47" s="4">
        <f t="shared" si="97"/>
        <v>1.3883676671573011</v>
      </c>
      <c r="I47" s="4">
        <f t="shared" si="97"/>
        <v>0.74981358529293785</v>
      </c>
      <c r="J47" s="4">
        <f t="shared" si="97"/>
        <v>1.1710532875593762</v>
      </c>
      <c r="K47" s="4">
        <f t="shared" si="97"/>
        <v>0.26150077319828013</v>
      </c>
      <c r="L47" s="4">
        <f t="shared" si="97"/>
        <v>0.5113485154902131</v>
      </c>
      <c r="M47" s="4">
        <f t="shared" si="97"/>
        <v>0.85793526471942905</v>
      </c>
      <c r="N47" s="4">
        <f t="shared" si="97"/>
        <v>0.6065963091792852</v>
      </c>
      <c r="O47" s="89"/>
      <c r="P47">
        <v>4</v>
      </c>
      <c r="Q47" s="77">
        <f t="shared" ref="Q47:AB47" si="98">AVERAGE(C122:C124)</f>
        <v>129.57666666666668</v>
      </c>
      <c r="R47" s="77">
        <f t="shared" si="98"/>
        <v>29.810333333333332</v>
      </c>
      <c r="S47" s="77">
        <f t="shared" si="98"/>
        <v>48.89233333333334</v>
      </c>
      <c r="T47" s="77">
        <f t="shared" si="98"/>
        <v>17.762</v>
      </c>
      <c r="U47" s="77">
        <f t="shared" si="98"/>
        <v>23.132333333333335</v>
      </c>
      <c r="V47" s="77">
        <f t="shared" si="98"/>
        <v>23.134666666666664</v>
      </c>
      <c r="W47" s="77">
        <f t="shared" si="98"/>
        <v>10.763333333333334</v>
      </c>
      <c r="X47" s="77">
        <f t="shared" si="98"/>
        <v>16.641666666666666</v>
      </c>
      <c r="Y47" s="77">
        <f t="shared" si="98"/>
        <v>1.9379999999999999</v>
      </c>
      <c r="Z47" s="77">
        <f t="shared" si="98"/>
        <v>3.2580000000000005</v>
      </c>
      <c r="AA47" s="77">
        <f t="shared" si="98"/>
        <v>11.790666666666667</v>
      </c>
      <c r="AB47" s="77">
        <f t="shared" si="98"/>
        <v>4.5549999999999997</v>
      </c>
      <c r="AC47" s="77"/>
      <c r="AF47">
        <v>3</v>
      </c>
      <c r="AG47" s="13">
        <f t="shared" si="72"/>
        <v>1.1702334270520569</v>
      </c>
      <c r="AH47" s="13">
        <f t="shared" si="73"/>
        <v>0.56002050531144021</v>
      </c>
      <c r="AI47" s="13">
        <f t="shared" si="74"/>
        <v>0.6102129217406167</v>
      </c>
      <c r="AY47" s="69"/>
      <c r="AZ47" s="69"/>
      <c r="BA47" s="69"/>
      <c r="BB47" s="69"/>
      <c r="BC47" s="69"/>
      <c r="BD47" s="69"/>
      <c r="BE47" s="69"/>
      <c r="BF47" s="69"/>
      <c r="BG47" s="69"/>
      <c r="BH47" s="69"/>
      <c r="BI47" s="69"/>
      <c r="BJ47" s="69"/>
      <c r="BK47" s="69"/>
    </row>
    <row r="48" spans="2:63">
      <c r="B48">
        <v>4</v>
      </c>
      <c r="C48" s="80">
        <f t="shared" ref="C48:N48" si="99">LOG10(C122)</f>
        <v>2.1111280363451241</v>
      </c>
      <c r="D48" s="80">
        <f t="shared" si="99"/>
        <v>1.4757873719746419</v>
      </c>
      <c r="E48" s="80">
        <f t="shared" si="99"/>
        <v>1.6827586141990916</v>
      </c>
      <c r="F48" s="80">
        <f t="shared" si="99"/>
        <v>1.2525617862063294</v>
      </c>
      <c r="G48" s="80">
        <f t="shared" si="99"/>
        <v>1.3694199649655836</v>
      </c>
      <c r="H48" s="80">
        <f t="shared" si="99"/>
        <v>1.3627086109093185</v>
      </c>
      <c r="I48" s="80">
        <f t="shared" si="99"/>
        <v>1.0357098378278617</v>
      </c>
      <c r="J48" s="80">
        <f t="shared" si="99"/>
        <v>1.219558331547224</v>
      </c>
      <c r="K48" s="80">
        <f t="shared" si="99"/>
        <v>0.29380435991933673</v>
      </c>
      <c r="L48" s="80">
        <f t="shared" si="99"/>
        <v>0.51000851294023475</v>
      </c>
      <c r="M48" s="80">
        <f t="shared" si="99"/>
        <v>1.0712927338345746</v>
      </c>
      <c r="N48" s="80">
        <f t="shared" si="99"/>
        <v>0.66209644541792345</v>
      </c>
      <c r="O48" s="89"/>
      <c r="P48">
        <v>5</v>
      </c>
      <c r="Q48" s="77">
        <f t="shared" ref="Q48:AB48" si="100">AVERAGE(C125:C127)</f>
        <v>115.26733333333334</v>
      </c>
      <c r="R48" s="77">
        <f t="shared" si="100"/>
        <v>157.80366666666669</v>
      </c>
      <c r="S48" s="77">
        <f t="shared" si="100"/>
        <v>27.48533333333333</v>
      </c>
      <c r="T48" s="77">
        <f t="shared" si="100"/>
        <v>18.504000000000001</v>
      </c>
      <c r="U48" s="77">
        <f t="shared" si="100"/>
        <v>57.047333333333334</v>
      </c>
      <c r="V48" s="77">
        <f t="shared" si="100"/>
        <v>62.133000000000003</v>
      </c>
      <c r="W48" s="77">
        <f t="shared" si="100"/>
        <v>12.107333333333335</v>
      </c>
      <c r="X48" s="77">
        <f t="shared" si="100"/>
        <v>17.311333333333334</v>
      </c>
      <c r="Y48" s="77">
        <f t="shared" si="100"/>
        <v>4.0813333333333333</v>
      </c>
      <c r="Z48" s="77">
        <f t="shared" si="100"/>
        <v>2.781333333333333</v>
      </c>
      <c r="AA48" s="77">
        <f t="shared" si="100"/>
        <v>11.723999999999998</v>
      </c>
      <c r="AB48" s="77">
        <f t="shared" si="100"/>
        <v>4.7836666666666661</v>
      </c>
      <c r="AC48" s="77"/>
      <c r="AF48">
        <v>4</v>
      </c>
      <c r="AG48" s="13">
        <f t="shared" si="72"/>
        <v>1.2453965390360187</v>
      </c>
      <c r="AH48" s="13">
        <f t="shared" si="73"/>
        <v>0.63256708736298339</v>
      </c>
      <c r="AI48" s="13">
        <f t="shared" si="74"/>
        <v>0.61282945167303526</v>
      </c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</row>
    <row r="49" spans="2:63">
      <c r="B49">
        <v>4</v>
      </c>
      <c r="C49" s="80">
        <f t="shared" ref="C49:N49" si="101">LOG10(C123)</f>
        <v>2.1127591219173554</v>
      </c>
      <c r="D49" s="80">
        <f t="shared" si="101"/>
        <v>1.4722589923890326</v>
      </c>
      <c r="E49" s="80">
        <f t="shared" si="101"/>
        <v>1.6911434034200954</v>
      </c>
      <c r="F49" s="80">
        <f t="shared" si="101"/>
        <v>1.2467939187751549</v>
      </c>
      <c r="G49" s="80">
        <f t="shared" si="101"/>
        <v>1.3616711852165599</v>
      </c>
      <c r="H49" s="80">
        <f t="shared" si="101"/>
        <v>1.3687701985902216</v>
      </c>
      <c r="I49" s="80">
        <f t="shared" si="101"/>
        <v>1.029464946638236</v>
      </c>
      <c r="J49" s="80">
        <f t="shared" si="101"/>
        <v>1.2202911856651553</v>
      </c>
      <c r="K49" s="80">
        <f t="shared" si="101"/>
        <v>0.2844307338445195</v>
      </c>
      <c r="L49" s="80">
        <f t="shared" si="101"/>
        <v>0.51560894923448031</v>
      </c>
      <c r="M49" s="80">
        <f t="shared" si="101"/>
        <v>1.0768951938660507</v>
      </c>
      <c r="N49" s="80">
        <f t="shared" si="101"/>
        <v>0.658964842664435</v>
      </c>
      <c r="O49" s="89"/>
      <c r="P49">
        <v>6</v>
      </c>
      <c r="Q49" s="77">
        <f t="shared" ref="Q49:AB49" si="102">AVERAGE(C128:C130)</f>
        <v>171.55166666666665</v>
      </c>
      <c r="R49" s="77">
        <f t="shared" si="102"/>
        <v>160.01066666666668</v>
      </c>
      <c r="S49" s="77">
        <f t="shared" si="102"/>
        <v>41.137999999999998</v>
      </c>
      <c r="T49" s="77">
        <f t="shared" si="102"/>
        <v>11.654000000000002</v>
      </c>
      <c r="U49" s="77">
        <f t="shared" si="102"/>
        <v>58.334666666666664</v>
      </c>
      <c r="V49" s="77">
        <f t="shared" si="102"/>
        <v>64.933333333333337</v>
      </c>
      <c r="W49" s="77">
        <f t="shared" si="102"/>
        <v>13.164333333333333</v>
      </c>
      <c r="X49" s="77">
        <f t="shared" si="102"/>
        <v>11.474666666666666</v>
      </c>
      <c r="Y49" s="77">
        <f t="shared" si="102"/>
        <v>4.2039999999999997</v>
      </c>
      <c r="Z49" s="77">
        <f t="shared" si="102"/>
        <v>2.4423333333333335</v>
      </c>
      <c r="AA49" s="77">
        <f t="shared" si="102"/>
        <v>13.612</v>
      </c>
      <c r="AB49" s="77">
        <f t="shared" si="102"/>
        <v>3.3463333333333334</v>
      </c>
      <c r="AC49" s="77"/>
      <c r="AF49">
        <v>5</v>
      </c>
      <c r="AG49" s="13">
        <f t="shared" si="72"/>
        <v>1.4677205143689898</v>
      </c>
      <c r="AH49" s="13">
        <f t="shared" si="73"/>
        <v>0.70096181395609536</v>
      </c>
      <c r="AI49" s="13">
        <f t="shared" si="74"/>
        <v>0.7667587004128944</v>
      </c>
      <c r="AY49" s="69"/>
      <c r="AZ49" s="69"/>
      <c r="BA49" s="69"/>
      <c r="BB49" s="69"/>
      <c r="BC49" s="69"/>
      <c r="BD49" s="69"/>
      <c r="BE49" s="69"/>
      <c r="BF49" s="69"/>
      <c r="BG49" s="69"/>
      <c r="BH49" s="69"/>
      <c r="BI49" s="69"/>
      <c r="BJ49" s="69"/>
      <c r="BK49" s="69"/>
    </row>
    <row r="50" spans="2:63">
      <c r="B50">
        <v>4</v>
      </c>
      <c r="C50" s="80">
        <f t="shared" ref="C50:N50" si="103">LOG10(C124)</f>
        <v>2.1136893828267946</v>
      </c>
      <c r="D50" s="80">
        <f t="shared" si="103"/>
        <v>1.4750461681277978</v>
      </c>
      <c r="E50" s="80">
        <f t="shared" si="103"/>
        <v>1.6937445313402766</v>
      </c>
      <c r="F50" s="80">
        <f t="shared" si="103"/>
        <v>1.2491004771829224</v>
      </c>
      <c r="G50" s="80">
        <f t="shared" si="103"/>
        <v>1.3615200802763487</v>
      </c>
      <c r="H50" s="80">
        <f t="shared" si="103"/>
        <v>1.3612744225622062</v>
      </c>
      <c r="I50" s="80">
        <f t="shared" si="103"/>
        <v>1.0306401948686319</v>
      </c>
      <c r="J50" s="80">
        <f t="shared" si="103"/>
        <v>1.2237295093648768</v>
      </c>
      <c r="K50" s="80">
        <f t="shared" si="103"/>
        <v>0.28375338333252653</v>
      </c>
      <c r="L50" s="80">
        <f t="shared" si="103"/>
        <v>0.51321760006793893</v>
      </c>
      <c r="M50" s="80">
        <f t="shared" si="103"/>
        <v>1.0663632022584946</v>
      </c>
      <c r="N50" s="80">
        <f t="shared" si="103"/>
        <v>0.65436909097528584</v>
      </c>
      <c r="O50" s="89"/>
      <c r="P50">
        <v>7</v>
      </c>
      <c r="Q50" s="77">
        <f t="shared" ref="Q50:AB50" si="104">AVERAGE(C131:C133)</f>
        <v>50.012999999999998</v>
      </c>
      <c r="R50" s="77">
        <f t="shared" si="104"/>
        <v>136.52133333333333</v>
      </c>
      <c r="S50" s="77">
        <f t="shared" si="104"/>
        <v>79.444333333333347</v>
      </c>
      <c r="T50" s="77">
        <f t="shared" si="104"/>
        <v>13.267666666666665</v>
      </c>
      <c r="U50" s="77">
        <f t="shared" si="104"/>
        <v>58.313333333333333</v>
      </c>
      <c r="V50" s="77">
        <f t="shared" si="104"/>
        <v>62.221000000000004</v>
      </c>
      <c r="W50" s="77">
        <f t="shared" si="104"/>
        <v>12.741</v>
      </c>
      <c r="X50" s="77">
        <f t="shared" si="104"/>
        <v>12.169333333333332</v>
      </c>
      <c r="Y50" s="77">
        <f t="shared" si="104"/>
        <v>10.606666666666667</v>
      </c>
      <c r="Z50" s="77">
        <f t="shared" si="104"/>
        <v>2.4543333333333335</v>
      </c>
      <c r="AA50" s="77">
        <f t="shared" si="104"/>
        <v>11.47766666666667</v>
      </c>
      <c r="AB50" s="77">
        <f t="shared" si="104"/>
        <v>3.3163333333333331</v>
      </c>
      <c r="AC50" s="77"/>
      <c r="AF50">
        <v>6</v>
      </c>
      <c r="AG50" s="13">
        <f t="shared" si="72"/>
        <v>1.4393636218558774</v>
      </c>
      <c r="AH50" s="13">
        <f t="shared" si="73"/>
        <v>0.66745348237773505</v>
      </c>
      <c r="AI50" s="13">
        <f t="shared" si="74"/>
        <v>0.77191013947814235</v>
      </c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</row>
    <row r="51" spans="2:63">
      <c r="B51">
        <v>5</v>
      </c>
      <c r="C51" s="4">
        <v>0</v>
      </c>
      <c r="D51" s="4">
        <f t="shared" ref="D51:N51" si="105">LOG10(D125)</f>
        <v>2.1911155223803065</v>
      </c>
      <c r="E51" s="4">
        <f t="shared" si="105"/>
        <v>1.4427462218289051</v>
      </c>
      <c r="F51" s="4">
        <f t="shared" si="105"/>
        <v>1.2699796766453237</v>
      </c>
      <c r="G51" s="4">
        <f t="shared" si="105"/>
        <v>1.7607917782699443</v>
      </c>
      <c r="H51" s="4">
        <f t="shared" si="105"/>
        <v>1.7929377165788118</v>
      </c>
      <c r="I51" s="4">
        <f t="shared" si="105"/>
        <v>1.0867867956266242</v>
      </c>
      <c r="J51" s="4">
        <f t="shared" si="105"/>
        <v>1.2429884121947949</v>
      </c>
      <c r="K51" s="4">
        <f t="shared" si="105"/>
        <v>0.61267791831650176</v>
      </c>
      <c r="L51" s="4">
        <f t="shared" si="105"/>
        <v>0.44638181222244211</v>
      </c>
      <c r="M51" s="4">
        <f t="shared" si="105"/>
        <v>1.0693350347899393</v>
      </c>
      <c r="N51" s="4">
        <f t="shared" si="105"/>
        <v>0.67660216958201835</v>
      </c>
      <c r="O51" s="89"/>
      <c r="P51">
        <v>8</v>
      </c>
      <c r="Q51" s="77">
        <f>AVERAGE(C134:C136)</f>
        <v>141.57133333333334</v>
      </c>
      <c r="R51" s="77">
        <f>AVERAGE(D134:D136)</f>
        <v>129.65466666666666</v>
      </c>
      <c r="S51" s="77">
        <f>AVERAGE(E134:E136)</f>
        <v>96.097999999999999</v>
      </c>
      <c r="T51" s="77"/>
      <c r="U51" s="77">
        <f>AVERAGE(G134:G136)</f>
        <v>54.31</v>
      </c>
      <c r="V51" s="77">
        <f>AVERAGE(H134:H136)</f>
        <v>51.425333333333327</v>
      </c>
      <c r="W51" s="77">
        <f>AVERAGE(I134:I136)</f>
        <v>10.968999999999999</v>
      </c>
      <c r="X51" s="77"/>
      <c r="Y51" s="77">
        <f>AVERAGE(K134:K136)</f>
        <v>4.8013333333333339</v>
      </c>
      <c r="Z51" s="77">
        <f>AVERAGE(L134:L136)</f>
        <v>5.0243333333333338</v>
      </c>
      <c r="AA51" s="77">
        <f>AVERAGE(M134:M136)</f>
        <v>11.061</v>
      </c>
      <c r="AB51" s="77"/>
      <c r="AC51" s="77"/>
      <c r="AF51">
        <v>7</v>
      </c>
      <c r="AG51" s="13">
        <f t="shared" si="72"/>
        <v>1.4375105799226746</v>
      </c>
      <c r="AH51" s="13">
        <f t="shared" si="73"/>
        <v>0.74900161825171629</v>
      </c>
      <c r="AI51" s="13">
        <f t="shared" si="74"/>
        <v>0.68850896167095832</v>
      </c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</row>
    <row r="52" spans="2:63">
      <c r="B52">
        <v>5</v>
      </c>
      <c r="C52" s="4">
        <f t="shared" ref="C52:N52" si="106">LOG10(C126)</f>
        <v>2.2381013278174842</v>
      </c>
      <c r="D52" s="4">
        <f t="shared" si="106"/>
        <v>2.208398354856087</v>
      </c>
      <c r="E52" s="4">
        <f t="shared" si="106"/>
        <v>1.4385739902186339</v>
      </c>
      <c r="F52" s="4">
        <f t="shared" si="106"/>
        <v>1.2664198658791035</v>
      </c>
      <c r="G52" s="4">
        <f t="shared" si="106"/>
        <v>1.7553182974989623</v>
      </c>
      <c r="H52" s="4">
        <f t="shared" si="106"/>
        <v>1.7959633938807091</v>
      </c>
      <c r="I52" s="4">
        <f t="shared" si="106"/>
        <v>1.0774769195043423</v>
      </c>
      <c r="J52" s="4">
        <f t="shared" si="106"/>
        <v>1.2386231053847003</v>
      </c>
      <c r="K52" s="4">
        <f t="shared" si="106"/>
        <v>0.6043340731029111</v>
      </c>
      <c r="L52" s="4">
        <f t="shared" si="106"/>
        <v>0.44544851426604987</v>
      </c>
      <c r="M52" s="4">
        <f t="shared" si="106"/>
        <v>1.0694830939346114</v>
      </c>
      <c r="N52" s="4">
        <f t="shared" si="106"/>
        <v>0.6843066460716315</v>
      </c>
      <c r="O52" s="89"/>
      <c r="P52">
        <v>12</v>
      </c>
      <c r="Q52" s="77">
        <f t="shared" ref="Q52:AB52" si="107">AVERAGE(C137:C139)</f>
        <v>127.71733333333333</v>
      </c>
      <c r="R52" s="77">
        <f t="shared" si="107"/>
        <v>116.98866666666667</v>
      </c>
      <c r="S52" s="77">
        <f t="shared" si="107"/>
        <v>108.271</v>
      </c>
      <c r="T52" s="77">
        <f t="shared" si="107"/>
        <v>16.483666666666668</v>
      </c>
      <c r="U52" s="77">
        <f t="shared" si="107"/>
        <v>54.006333333333338</v>
      </c>
      <c r="V52" s="77">
        <f t="shared" si="107"/>
        <v>50.544000000000004</v>
      </c>
      <c r="W52" s="77">
        <f t="shared" si="107"/>
        <v>1.5106666666666666</v>
      </c>
      <c r="X52" s="77">
        <f t="shared" si="107"/>
        <v>14.461</v>
      </c>
      <c r="Y52" s="77">
        <f t="shared" si="107"/>
        <v>7.1203333333333338</v>
      </c>
      <c r="Z52" s="77">
        <f t="shared" si="107"/>
        <v>3.2919999999999998</v>
      </c>
      <c r="AA52" s="77">
        <f t="shared" si="107"/>
        <v>5.855999999999999</v>
      </c>
      <c r="AB52" s="77">
        <f t="shared" si="107"/>
        <v>3.907</v>
      </c>
      <c r="AC52" s="77"/>
      <c r="AF52">
        <v>8</v>
      </c>
      <c r="AG52" s="13">
        <f t="shared" si="72"/>
        <v>1.4952999296622858</v>
      </c>
      <c r="AH52" s="13">
        <f t="shared" si="73"/>
        <v>0.80872735949207353</v>
      </c>
      <c r="AI52" s="13">
        <f t="shared" si="74"/>
        <v>0.68657257017021223</v>
      </c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</row>
    <row r="53" spans="2:63">
      <c r="B53">
        <v>5</v>
      </c>
      <c r="C53" s="4">
        <f t="shared" ref="C53:N53" si="108">LOG10(C127)</f>
        <v>2.2350231594952237</v>
      </c>
      <c r="D53" s="4">
        <f t="shared" si="108"/>
        <v>2.1946447493982895</v>
      </c>
      <c r="E53" s="4">
        <f t="shared" si="108"/>
        <v>1.4359557908892371</v>
      </c>
      <c r="F53" s="4">
        <f t="shared" si="108"/>
        <v>1.2653839249561747</v>
      </c>
      <c r="G53" s="4">
        <f t="shared" si="108"/>
        <v>1.7525554691885719</v>
      </c>
      <c r="H53" s="4">
        <f t="shared" si="108"/>
        <v>1.7910517172531248</v>
      </c>
      <c r="I53" s="4">
        <f t="shared" si="108"/>
        <v>1.0848264166974333</v>
      </c>
      <c r="J53" s="4">
        <f t="shared" si="108"/>
        <v>1.2333261503498574</v>
      </c>
      <c r="K53" s="4">
        <f t="shared" si="108"/>
        <v>0.61531865661147889</v>
      </c>
      <c r="L53" s="4">
        <f t="shared" si="108"/>
        <v>0.44090908206521767</v>
      </c>
      <c r="M53" s="4">
        <f t="shared" si="108"/>
        <v>1.0684085197781616</v>
      </c>
      <c r="N53" s="4">
        <f t="shared" si="108"/>
        <v>0.67833624673217996</v>
      </c>
      <c r="O53" s="89"/>
      <c r="P53">
        <v>18</v>
      </c>
      <c r="Q53" s="109">
        <f>AVERAGE(C140:C142)</f>
        <v>112.76933333333334</v>
      </c>
      <c r="R53" s="109">
        <f>AVERAGE(D140:D142)</f>
        <v>111.294</v>
      </c>
      <c r="S53" s="109">
        <f>AVERAGE(E140:E142)</f>
        <v>129.05266666666665</v>
      </c>
      <c r="T53" s="109"/>
      <c r="U53" s="109">
        <f>AVERAGE(G140:G142)</f>
        <v>129.71933333333334</v>
      </c>
      <c r="V53" s="109">
        <f>AVERAGE(H140:H142)</f>
        <v>33.282999999999994</v>
      </c>
      <c r="W53" s="109">
        <f>AVERAGE(I140:I142)</f>
        <v>1.4976666666666667</v>
      </c>
      <c r="X53" s="109"/>
      <c r="Y53" s="109">
        <f>AVERAGE(K140:K142)</f>
        <v>14.914</v>
      </c>
      <c r="Z53" s="109">
        <f>AVERAGE(L140:L142)</f>
        <v>3.6789999999999998</v>
      </c>
      <c r="AA53" s="109">
        <f>AVERAGE(M140:M142)</f>
        <v>6.0650000000000004</v>
      </c>
      <c r="AB53" s="109"/>
      <c r="AC53" s="77"/>
      <c r="AF53">
        <v>12</v>
      </c>
      <c r="AG53" s="13">
        <f t="shared" si="72"/>
        <v>1.1938619655370071</v>
      </c>
      <c r="AH53" s="13">
        <f t="shared" si="73"/>
        <v>0.6813525808219405</v>
      </c>
      <c r="AI53" s="13">
        <f t="shared" si="74"/>
        <v>0.51250938471506657</v>
      </c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</row>
    <row r="54" spans="2:63">
      <c r="B54">
        <v>6</v>
      </c>
      <c r="C54" s="80">
        <f t="shared" ref="C54:N54" si="109">LOG10(C128)</f>
        <v>2.2347424710937358</v>
      </c>
      <c r="D54" s="80">
        <f t="shared" si="109"/>
        <v>2.2006015552331721</v>
      </c>
      <c r="E54" s="80">
        <f t="shared" si="109"/>
        <v>1.619958968366304</v>
      </c>
      <c r="F54" s="80">
        <f t="shared" si="109"/>
        <v>1.0696680969115957</v>
      </c>
      <c r="G54" s="80">
        <f t="shared" si="109"/>
        <v>1.7715654349165357</v>
      </c>
      <c r="H54" s="80">
        <f t="shared" si="109"/>
        <v>1.8130536445071124</v>
      </c>
      <c r="I54" s="80">
        <f t="shared" si="109"/>
        <v>1.1293675957229856</v>
      </c>
      <c r="J54" s="80">
        <f t="shared" si="109"/>
        <v>1.0608488730388075</v>
      </c>
      <c r="K54" s="80">
        <f t="shared" si="109"/>
        <v>0.63608651510307268</v>
      </c>
      <c r="L54" s="80">
        <f t="shared" si="109"/>
        <v>0.38969754820638569</v>
      </c>
      <c r="M54" s="80">
        <f t="shared" si="109"/>
        <v>1.1401622296136367</v>
      </c>
      <c r="N54" s="80">
        <f t="shared" si="109"/>
        <v>0.5245259366263757</v>
      </c>
      <c r="O54" s="89"/>
      <c r="P54">
        <v>24</v>
      </c>
      <c r="Q54" s="77">
        <f t="shared" ref="Q54:AB54" si="110">AVERAGE(C143:C145)</f>
        <v>111.30566666666668</v>
      </c>
      <c r="R54" s="77">
        <f t="shared" si="110"/>
        <v>106.83766666666668</v>
      </c>
      <c r="S54" s="77">
        <f t="shared" si="110"/>
        <v>162.32466666666664</v>
      </c>
      <c r="T54" s="77">
        <f t="shared" si="110"/>
        <v>106.71566666666666</v>
      </c>
      <c r="U54" s="77">
        <f t="shared" si="110"/>
        <v>38.229666666666667</v>
      </c>
      <c r="V54" s="77">
        <f t="shared" si="110"/>
        <v>32.675000000000004</v>
      </c>
      <c r="W54" s="77">
        <f t="shared" si="110"/>
        <v>1.5089999999999997</v>
      </c>
      <c r="X54" s="77">
        <f t="shared" si="110"/>
        <v>37.392333333333333</v>
      </c>
      <c r="Y54" s="77">
        <f t="shared" si="110"/>
        <v>12.33</v>
      </c>
      <c r="Z54" s="77">
        <f t="shared" si="110"/>
        <v>3.5370000000000004</v>
      </c>
      <c r="AA54" s="77">
        <f t="shared" si="110"/>
        <v>5.6030000000000006</v>
      </c>
      <c r="AB54" s="77">
        <f t="shared" si="110"/>
        <v>24.111000000000001</v>
      </c>
      <c r="AC54" s="69"/>
      <c r="AF54">
        <v>18</v>
      </c>
      <c r="AG54" s="13">
        <f t="shared" si="72"/>
        <v>1.2702091527737529</v>
      </c>
      <c r="AH54" s="13">
        <f t="shared" si="73"/>
        <v>0.84071278127286908</v>
      </c>
      <c r="AI54" s="13">
        <f t="shared" si="74"/>
        <v>0.42949637150088382</v>
      </c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</row>
    <row r="55" spans="2:63" ht="16" thickBot="1">
      <c r="B55">
        <v>6</v>
      </c>
      <c r="C55" s="80">
        <f t="shared" ref="C55:N55" si="111">LOG10(C129)</f>
        <v>2.2361844428801496</v>
      </c>
      <c r="D55" s="80">
        <f t="shared" si="111"/>
        <v>2.2069876947564082</v>
      </c>
      <c r="E55" s="80">
        <f t="shared" si="111"/>
        <v>1.6096050797202244</v>
      </c>
      <c r="F55" s="80">
        <f t="shared" si="111"/>
        <v>1.06513137214021</v>
      </c>
      <c r="G55" s="80">
        <f t="shared" si="111"/>
        <v>1.7623183775306317</v>
      </c>
      <c r="H55" s="80">
        <f t="shared" si="111"/>
        <v>1.8114007169440953</v>
      </c>
      <c r="I55" s="80">
        <f t="shared" si="111"/>
        <v>1.1151443517931066</v>
      </c>
      <c r="J55" s="80">
        <f t="shared" si="111"/>
        <v>1.0591846176313713</v>
      </c>
      <c r="K55" s="80">
        <f t="shared" si="111"/>
        <v>0.61679048632971578</v>
      </c>
      <c r="L55" s="80">
        <f t="shared" si="111"/>
        <v>0.38703370128236314</v>
      </c>
      <c r="M55" s="80">
        <f t="shared" si="111"/>
        <v>1.1367839631833645</v>
      </c>
      <c r="N55" s="80">
        <f t="shared" si="111"/>
        <v>0.52335620665479277</v>
      </c>
      <c r="O55" s="89"/>
      <c r="P55" s="76">
        <v>48</v>
      </c>
      <c r="Q55" s="77">
        <f>AVERAGE(C146:C148)</f>
        <v>3.5836666666666672</v>
      </c>
      <c r="R55" s="77">
        <f>AVERAGE(D146:D148)</f>
        <v>129.71933333333334</v>
      </c>
      <c r="S55" s="77"/>
      <c r="T55" s="77">
        <f>AVERAGE(F146:F148)</f>
        <v>78.233666666666679</v>
      </c>
      <c r="U55" s="77">
        <f>AVERAGE(G146:G148)</f>
        <v>16.002333333333336</v>
      </c>
      <c r="V55" s="77">
        <f>AVERAGE(H146:H148)</f>
        <v>14.428666666666667</v>
      </c>
      <c r="W55" s="77"/>
      <c r="X55" s="77">
        <f>AVERAGE(J146:J148)</f>
        <v>22.778333333333332</v>
      </c>
      <c r="Y55" s="77">
        <f>AVERAGE(K146:K148)</f>
        <v>2.8046666666666664</v>
      </c>
      <c r="Z55" s="77"/>
      <c r="AA55" s="77"/>
      <c r="AB55" s="77">
        <f>AVERAGE(N146:N148)</f>
        <v>12.416666666666666</v>
      </c>
      <c r="AC55" s="69"/>
      <c r="AF55">
        <v>24</v>
      </c>
      <c r="AG55" s="13">
        <f t="shared" si="72"/>
        <v>1.2119924593363314</v>
      </c>
      <c r="AH55" s="13">
        <f t="shared" si="73"/>
        <v>0.94216920130650683</v>
      </c>
      <c r="AI55" s="13">
        <f t="shared" si="74"/>
        <v>0.26982325802982454</v>
      </c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</row>
    <row r="56" spans="2:63" ht="16" thickBot="1">
      <c r="B56">
        <v>6</v>
      </c>
      <c r="C56" s="80">
        <f t="shared" ref="C56:N56" si="112">LOG10(C130)</f>
        <v>2.232248786030357</v>
      </c>
      <c r="D56" s="80">
        <f t="shared" si="112"/>
        <v>2.2048332681395175</v>
      </c>
      <c r="E56" s="80">
        <f t="shared" si="112"/>
        <v>1.6131015169669127</v>
      </c>
      <c r="F56" s="80">
        <f t="shared" si="112"/>
        <v>1.0646077201306265</v>
      </c>
      <c r="G56" s="80">
        <f t="shared" si="112"/>
        <v>1.7638396293958254</v>
      </c>
      <c r="H56" s="80">
        <f t="shared" si="112"/>
        <v>1.8129467626258653</v>
      </c>
      <c r="I56" s="80">
        <f t="shared" si="112"/>
        <v>1.1135088405328191</v>
      </c>
      <c r="J56" s="80">
        <f t="shared" si="112"/>
        <v>1.0591846176313713</v>
      </c>
      <c r="K56" s="80">
        <f t="shared" si="112"/>
        <v>0.61783874771700331</v>
      </c>
      <c r="L56" s="80">
        <f t="shared" si="112"/>
        <v>0.38667728396083773</v>
      </c>
      <c r="M56" s="80">
        <f t="shared" si="112"/>
        <v>1.1246672176986099</v>
      </c>
      <c r="N56" s="80">
        <f t="shared" si="112"/>
        <v>0.52582195215666261</v>
      </c>
      <c r="O56" s="89"/>
      <c r="P56" s="69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69"/>
      <c r="AF56" s="117">
        <v>48</v>
      </c>
      <c r="AG56" s="13">
        <f t="shared" si="72"/>
        <v>1.2402962167292984</v>
      </c>
      <c r="AH56" s="13">
        <f t="shared" si="73"/>
        <v>0.77092585438547712</v>
      </c>
      <c r="AI56" s="13">
        <f t="shared" si="74"/>
        <v>0.46937036234382123</v>
      </c>
      <c r="AY56" s="69"/>
      <c r="AZ56" s="69"/>
      <c r="BA56" s="69"/>
      <c r="BB56" s="69"/>
      <c r="BC56" s="69"/>
      <c r="BD56" s="69"/>
      <c r="BE56" s="69"/>
      <c r="BF56" s="69"/>
      <c r="BG56" s="69"/>
      <c r="BH56" s="69"/>
      <c r="BI56" s="69"/>
      <c r="BJ56" s="69"/>
      <c r="BK56" s="69"/>
    </row>
    <row r="57" spans="2:63">
      <c r="B57">
        <v>7</v>
      </c>
      <c r="C57" s="4">
        <f t="shared" ref="C57:N57" si="113">LOG10(C131)</f>
        <v>1.7010150517664315</v>
      </c>
      <c r="D57" s="4">
        <f t="shared" si="113"/>
        <v>2.1320065976271243</v>
      </c>
      <c r="E57" s="4">
        <f t="shared" si="113"/>
        <v>1.8973136264766393</v>
      </c>
      <c r="F57" s="4">
        <f t="shared" si="113"/>
        <v>1.1220847507108693</v>
      </c>
      <c r="G57" s="4">
        <f t="shared" si="113"/>
        <v>1.7684753027894067</v>
      </c>
      <c r="H57" s="4">
        <f t="shared" si="113"/>
        <v>1.8046232272597464</v>
      </c>
      <c r="I57" s="4">
        <f t="shared" si="113"/>
        <v>1.1067347000978456</v>
      </c>
      <c r="J57" s="4">
        <f t="shared" si="113"/>
        <v>1.085219201044942</v>
      </c>
      <c r="K57" s="4">
        <f t="shared" si="113"/>
        <v>1.0304782806224082</v>
      </c>
      <c r="L57" s="4">
        <f t="shared" si="113"/>
        <v>0.38863396935178918</v>
      </c>
      <c r="M57" s="4">
        <f t="shared" si="113"/>
        <v>1.0607733632617062</v>
      </c>
      <c r="N57" s="4">
        <f t="shared" si="113"/>
        <v>0.52205280086882244</v>
      </c>
      <c r="O57" s="89"/>
      <c r="P57" s="69"/>
      <c r="AC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</row>
    <row r="58" spans="2:63">
      <c r="B58">
        <v>7</v>
      </c>
      <c r="C58" s="4">
        <f t="shared" ref="C58:N58" si="114">LOG10(C132)</f>
        <v>1.702016725569145</v>
      </c>
      <c r="D58" s="4">
        <f t="shared" si="114"/>
        <v>2.133411155911022</v>
      </c>
      <c r="E58" s="4">
        <f t="shared" si="114"/>
        <v>1.9019321358596528</v>
      </c>
      <c r="F58" s="4">
        <f t="shared" si="114"/>
        <v>1.1228709228644356</v>
      </c>
      <c r="G58" s="4">
        <f t="shared" si="114"/>
        <v>1.7716756535507092</v>
      </c>
      <c r="H58" s="4">
        <f t="shared" si="114"/>
        <v>1.7928117712481468</v>
      </c>
      <c r="I58" s="4">
        <f t="shared" si="114"/>
        <v>1.1021591832436852</v>
      </c>
      <c r="J58" s="4">
        <f t="shared" si="114"/>
        <v>1.0862886290216822</v>
      </c>
      <c r="K58" s="4">
        <f t="shared" si="114"/>
        <v>1.024321442141565</v>
      </c>
      <c r="L58" s="4">
        <f t="shared" si="114"/>
        <v>0.39022836246913006</v>
      </c>
      <c r="M58" s="4">
        <f t="shared" si="114"/>
        <v>1.0591846176313713</v>
      </c>
      <c r="N58" s="4">
        <f t="shared" si="114"/>
        <v>0.5200903281128425</v>
      </c>
      <c r="O58" s="89"/>
      <c r="P58" s="69"/>
      <c r="AC58" s="69"/>
      <c r="AY58" s="69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</row>
    <row r="59" spans="2:63">
      <c r="B59">
        <v>7</v>
      </c>
      <c r="C59" s="4">
        <f t="shared" ref="C59:N59" si="115">LOG10(C133)</f>
        <v>1.6941750783415039</v>
      </c>
      <c r="D59" s="4">
        <f t="shared" si="115"/>
        <v>2.140140213983043</v>
      </c>
      <c r="E59" s="4">
        <f t="shared" si="115"/>
        <v>1.9009294353117205</v>
      </c>
      <c r="F59" s="4">
        <f t="shared" si="115"/>
        <v>1.1234269350044213</v>
      </c>
      <c r="G59" s="4">
        <f t="shared" si="115"/>
        <v>1.7570162347313005</v>
      </c>
      <c r="H59" s="4">
        <f t="shared" si="115"/>
        <v>1.7841320951853492</v>
      </c>
      <c r="I59" s="4">
        <f t="shared" si="115"/>
        <v>1.1067007323623543</v>
      </c>
      <c r="J59" s="4">
        <f t="shared" si="115"/>
        <v>1.08429022853693</v>
      </c>
      <c r="K59" s="4">
        <f t="shared" si="115"/>
        <v>1.021891873919109</v>
      </c>
      <c r="L59" s="4">
        <f t="shared" si="115"/>
        <v>0.39093510710337914</v>
      </c>
      <c r="M59" s="4">
        <f t="shared" si="115"/>
        <v>1.0596012797627539</v>
      </c>
      <c r="N59" s="4">
        <f t="shared" si="115"/>
        <v>0.51982799377571876</v>
      </c>
      <c r="O59" s="89"/>
      <c r="P59" s="69"/>
      <c r="AC59" s="69"/>
    </row>
    <row r="60" spans="2:63">
      <c r="B60">
        <v>8</v>
      </c>
      <c r="C60" s="80">
        <f t="shared" ref="C60:M60" si="116">LOG10(C134)</f>
        <v>2.1452989832469433</v>
      </c>
      <c r="D60" s="80">
        <f t="shared" si="116"/>
        <v>2.1058166374336857</v>
      </c>
      <c r="E60" s="80">
        <f t="shared" si="116"/>
        <v>1.9875590184800194</v>
      </c>
      <c r="F60" s="80"/>
      <c r="G60" s="80">
        <f t="shared" si="116"/>
        <v>1.7146817477276806</v>
      </c>
      <c r="H60" s="80">
        <f t="shared" si="116"/>
        <v>1.7167460199658005</v>
      </c>
      <c r="I60" s="80">
        <f t="shared" si="116"/>
        <v>1.0346685558342408</v>
      </c>
      <c r="J60" s="80"/>
      <c r="K60" s="80">
        <f t="shared" si="116"/>
        <v>0.67751570479875756</v>
      </c>
      <c r="L60" s="80">
        <f t="shared" si="116"/>
        <v>0.69495600224981813</v>
      </c>
      <c r="M60" s="80">
        <f t="shared" si="116"/>
        <v>1.0457922327295592</v>
      </c>
      <c r="N60" s="80"/>
      <c r="O60" s="89"/>
      <c r="P60" s="69"/>
      <c r="AC60" s="69"/>
    </row>
    <row r="61" spans="2:63">
      <c r="B61">
        <v>8</v>
      </c>
      <c r="C61" s="80">
        <f t="shared" ref="C61:M61" si="117">LOG10(C135)</f>
        <v>2.1526338074843068</v>
      </c>
      <c r="D61" s="80">
        <f t="shared" si="117"/>
        <v>2.1176325049332503</v>
      </c>
      <c r="E61" s="80">
        <f t="shared" si="117"/>
        <v>1.983720982761626</v>
      </c>
      <c r="F61" s="80"/>
      <c r="G61" s="80">
        <f t="shared" si="117"/>
        <v>1.7503309381199934</v>
      </c>
      <c r="H61" s="80">
        <f t="shared" si="117"/>
        <v>1.7127927595781132</v>
      </c>
      <c r="I61" s="80">
        <f t="shared" si="117"/>
        <v>1.0480531731156091</v>
      </c>
      <c r="J61" s="80"/>
      <c r="K61" s="80">
        <f t="shared" si="117"/>
        <v>0.68779641138129466</v>
      </c>
      <c r="L61" s="80">
        <f t="shared" si="117"/>
        <v>0.70165431732574812</v>
      </c>
      <c r="M61" s="80">
        <f t="shared" si="117"/>
        <v>1.0427723374976738</v>
      </c>
      <c r="N61" s="80"/>
      <c r="O61" s="89"/>
      <c r="P61" s="69"/>
      <c r="AC61" s="69"/>
    </row>
    <row r="62" spans="2:63">
      <c r="B62">
        <v>8</v>
      </c>
      <c r="C62" s="80">
        <f t="shared" ref="C62:M62" si="118">LOG10(C136)</f>
        <v>2.1549349651121887</v>
      </c>
      <c r="D62" s="80">
        <f t="shared" si="118"/>
        <v>2.1148277438114618</v>
      </c>
      <c r="E62" s="80">
        <f t="shared" si="118"/>
        <v>1.9767945936243385</v>
      </c>
      <c r="F62" s="80"/>
      <c r="G62" s="80">
        <f t="shared" si="118"/>
        <v>1.7388677256357858</v>
      </c>
      <c r="H62" s="80">
        <f t="shared" si="118"/>
        <v>1.7038929536325444</v>
      </c>
      <c r="I62" s="80">
        <f t="shared" si="118"/>
        <v>1.0376654933508025</v>
      </c>
      <c r="J62" s="80"/>
      <c r="K62" s="80">
        <f t="shared" si="118"/>
        <v>0.67870043499830424</v>
      </c>
      <c r="L62" s="80">
        <f t="shared" si="118"/>
        <v>0.70654710264035747</v>
      </c>
      <c r="M62" s="80">
        <f t="shared" si="118"/>
        <v>1.0428116918071479</v>
      </c>
      <c r="N62" s="80"/>
      <c r="O62" s="89"/>
      <c r="P62" s="69"/>
      <c r="AC62" s="69"/>
    </row>
    <row r="63" spans="2:63">
      <c r="B63">
        <v>12</v>
      </c>
      <c r="C63" s="4">
        <f t="shared" ref="C63:N63" si="119">LOG10(C137)</f>
        <v>2.1032665050992811</v>
      </c>
      <c r="D63" s="4">
        <f t="shared" si="119"/>
        <v>2.0695126997073721</v>
      </c>
      <c r="E63" s="4">
        <f t="shared" si="119"/>
        <v>2.0353456730524533</v>
      </c>
      <c r="F63" s="4">
        <f t="shared" si="119"/>
        <v>1.2186667714958719</v>
      </c>
      <c r="G63" s="4">
        <f t="shared" si="119"/>
        <v>1.7326349675391959</v>
      </c>
      <c r="H63" s="4">
        <f t="shared" si="119"/>
        <v>1.7045708751895041</v>
      </c>
      <c r="I63" s="4">
        <f t="shared" si="119"/>
        <v>0.18241465243455401</v>
      </c>
      <c r="J63" s="4">
        <f t="shared" si="119"/>
        <v>1.1577890862820488</v>
      </c>
      <c r="K63" s="4">
        <f t="shared" si="119"/>
        <v>0.80996352171401398</v>
      </c>
      <c r="L63" s="4">
        <f t="shared" si="119"/>
        <v>0.51574141666936524</v>
      </c>
      <c r="M63" s="4">
        <f t="shared" si="119"/>
        <v>0.76723009811071829</v>
      </c>
      <c r="N63" s="4">
        <f t="shared" si="119"/>
        <v>0.59527571180209937</v>
      </c>
      <c r="O63" s="89"/>
      <c r="P63" s="69"/>
      <c r="AC63" s="69"/>
    </row>
    <row r="64" spans="2:63">
      <c r="B64">
        <v>12</v>
      </c>
      <c r="C64" s="4">
        <f t="shared" ref="C64:N64" si="120">LOG10(C138)</f>
        <v>2.1072642530654635</v>
      </c>
      <c r="D64" s="4">
        <f t="shared" si="120"/>
        <v>2.0663818395069429</v>
      </c>
      <c r="E64" s="4">
        <f t="shared" si="120"/>
        <v>2.0309557541293501</v>
      </c>
      <c r="F64" s="4">
        <f t="shared" si="120"/>
        <v>1.2168781417028569</v>
      </c>
      <c r="G64" s="4">
        <f t="shared" si="120"/>
        <v>1.7340954296554612</v>
      </c>
      <c r="H64" s="4">
        <f t="shared" si="120"/>
        <v>1.7056242713789194</v>
      </c>
      <c r="I64" s="4">
        <f t="shared" si="120"/>
        <v>0.18069920129603473</v>
      </c>
      <c r="J64" s="4">
        <f t="shared" si="120"/>
        <v>1.1647988196934553</v>
      </c>
      <c r="K64" s="4">
        <f t="shared" si="120"/>
        <v>0.80509287834267307</v>
      </c>
      <c r="L64" s="4">
        <f t="shared" si="120"/>
        <v>0.51851393987788741</v>
      </c>
      <c r="M64" s="4">
        <f t="shared" si="120"/>
        <v>0.76663588631026747</v>
      </c>
      <c r="N64" s="4">
        <f t="shared" si="120"/>
        <v>0.59017283159631428</v>
      </c>
      <c r="O64" s="89"/>
      <c r="P64" s="69"/>
      <c r="AC64" s="69"/>
      <c r="AF64" s="91"/>
      <c r="AG64" s="91"/>
      <c r="AH64" s="91"/>
      <c r="AI64" s="91"/>
      <c r="AJ64" s="91"/>
    </row>
    <row r="65" spans="1:36">
      <c r="B65">
        <v>12</v>
      </c>
      <c r="C65" s="4">
        <f t="shared" ref="C65:N65" si="121">LOG10(C139)</f>
        <v>2.1082029607840584</v>
      </c>
      <c r="D65" s="4">
        <f t="shared" si="121"/>
        <v>2.0685309330549311</v>
      </c>
      <c r="E65" s="4">
        <f t="shared" si="121"/>
        <v>2.0372112895632948</v>
      </c>
      <c r="F65" s="4">
        <f t="shared" si="121"/>
        <v>1.2156111296128493</v>
      </c>
      <c r="G65" s="4">
        <f t="shared" si="121"/>
        <v>1.730596571041126</v>
      </c>
      <c r="H65" s="4">
        <f t="shared" si="121"/>
        <v>1.7007988708496939</v>
      </c>
      <c r="I65" s="4">
        <f t="shared" si="121"/>
        <v>0.17435059747937998</v>
      </c>
      <c r="J65" s="4">
        <f t="shared" si="121"/>
        <v>1.157970243604713</v>
      </c>
      <c r="K65" s="4">
        <f t="shared" si="121"/>
        <v>0.93049056530626961</v>
      </c>
      <c r="L65" s="4">
        <f t="shared" si="121"/>
        <v>0.51811894714315299</v>
      </c>
      <c r="M65" s="4">
        <f t="shared" si="121"/>
        <v>0.76893394218678146</v>
      </c>
      <c r="N65" s="4">
        <f t="shared" si="121"/>
        <v>0.59006123080374251</v>
      </c>
      <c r="O65" s="89"/>
      <c r="P65" s="69"/>
      <c r="AC65" s="69"/>
      <c r="AF65" s="91"/>
      <c r="AG65" s="109"/>
      <c r="AH65" s="109"/>
      <c r="AI65" s="91"/>
      <c r="AJ65" s="91"/>
    </row>
    <row r="66" spans="1:36">
      <c r="B66">
        <v>18</v>
      </c>
      <c r="C66" s="80">
        <f>LOG10(C140)</f>
        <v>2.0480337324619695</v>
      </c>
      <c r="D66" s="80">
        <f t="shared" ref="D66:M66" si="122">LOG10(D140)</f>
        <v>2.0571447898890289</v>
      </c>
      <c r="E66" s="80">
        <f t="shared" si="122"/>
        <v>2.1151276939682035</v>
      </c>
      <c r="F66" s="80"/>
      <c r="G66" s="80">
        <f t="shared" si="122"/>
        <v>2.1108757790928365</v>
      </c>
      <c r="H66" s="80">
        <f t="shared" si="122"/>
        <v>1.5237334637881079</v>
      </c>
      <c r="I66" s="80">
        <f t="shared" si="122"/>
        <v>0.17926446433902535</v>
      </c>
      <c r="J66" s="80"/>
      <c r="K66" s="80">
        <f t="shared" si="122"/>
        <v>1.1778249718646818</v>
      </c>
      <c r="L66" s="80">
        <f t="shared" si="122"/>
        <v>0.56454771175594787</v>
      </c>
      <c r="M66" s="80">
        <f t="shared" si="122"/>
        <v>0.78304557211469283</v>
      </c>
      <c r="N66" s="80"/>
      <c r="O66" s="89"/>
      <c r="P66" s="69"/>
      <c r="AC66" s="69"/>
      <c r="AF66" s="91"/>
      <c r="AG66" s="132"/>
      <c r="AH66" s="86"/>
      <c r="AI66" s="91"/>
      <c r="AJ66" s="91"/>
    </row>
    <row r="67" spans="1:36">
      <c r="B67">
        <v>18</v>
      </c>
      <c r="C67" s="80">
        <f t="shared" ref="C67:M67" si="123">LOG10(C141)</f>
        <v>2.0532014121207256</v>
      </c>
      <c r="D67" s="80">
        <f t="shared" si="123"/>
        <v>2.0407842468773159</v>
      </c>
      <c r="E67" s="80">
        <f t="shared" si="123"/>
        <v>2.1100608284441247</v>
      </c>
      <c r="F67" s="80"/>
      <c r="G67" s="80">
        <f t="shared" si="123"/>
        <v>2.1149377495910961</v>
      </c>
      <c r="H67" s="80">
        <f t="shared" si="123"/>
        <v>1.5229916471690228</v>
      </c>
      <c r="I67" s="80">
        <f t="shared" si="123"/>
        <v>0.17347764345299457</v>
      </c>
      <c r="J67" s="80"/>
      <c r="K67" s="80">
        <f t="shared" si="123"/>
        <v>1.1734193840818021</v>
      </c>
      <c r="L67" s="80">
        <f t="shared" si="123"/>
        <v>0.56761444273084449</v>
      </c>
      <c r="M67" s="80">
        <f t="shared" si="123"/>
        <v>0.78383214338444107</v>
      </c>
      <c r="N67" s="80"/>
      <c r="O67" s="89"/>
      <c r="P67" s="69"/>
      <c r="AC67" s="69"/>
      <c r="AF67" s="133"/>
      <c r="AG67" s="109"/>
      <c r="AH67" s="109"/>
      <c r="AI67" s="109"/>
      <c r="AJ67" s="91"/>
    </row>
    <row r="68" spans="1:36">
      <c r="B68">
        <v>18</v>
      </c>
      <c r="C68" s="80">
        <f t="shared" ref="C68:M68" si="124">LOG10(C142)</f>
        <v>2.0553056880185978</v>
      </c>
      <c r="D68" s="80">
        <f t="shared" si="124"/>
        <v>2.041286072518762</v>
      </c>
      <c r="E68" s="80">
        <f t="shared" si="124"/>
        <v>2.1070742314120694</v>
      </c>
      <c r="F68" s="80"/>
      <c r="G68" s="80">
        <f t="shared" si="124"/>
        <v>2.1131910375508869</v>
      </c>
      <c r="H68" s="80">
        <f t="shared" si="124"/>
        <v>1.5199329465268103</v>
      </c>
      <c r="I68" s="80">
        <f t="shared" si="124"/>
        <v>0.17347764345299457</v>
      </c>
      <c r="J68" s="80"/>
      <c r="K68" s="80">
        <f t="shared" si="124"/>
        <v>1.1694980946849678</v>
      </c>
      <c r="L68" s="80">
        <f t="shared" si="124"/>
        <v>0.56502092834529372</v>
      </c>
      <c r="M68" s="80">
        <f t="shared" si="124"/>
        <v>0.78161178249315011</v>
      </c>
      <c r="N68" s="80"/>
      <c r="O68" s="89"/>
      <c r="P68" s="69"/>
      <c r="AC68" s="69"/>
      <c r="AF68" s="109"/>
      <c r="AG68" s="109"/>
      <c r="AH68" s="109"/>
      <c r="AI68" s="109"/>
      <c r="AJ68" s="91"/>
    </row>
    <row r="69" spans="1:36">
      <c r="B69">
        <v>24</v>
      </c>
      <c r="C69" s="4">
        <f t="shared" ref="C69:N69" si="125">LOG10(C143)</f>
        <v>2.0390570180334437</v>
      </c>
      <c r="D69" s="4">
        <f t="shared" si="125"/>
        <v>2.0268599859845615</v>
      </c>
      <c r="E69" s="4">
        <f t="shared" si="125"/>
        <v>2.2147617480383732</v>
      </c>
      <c r="F69" s="4">
        <f t="shared" si="125"/>
        <v>2.0265291789492168</v>
      </c>
      <c r="G69" s="4">
        <f t="shared" si="125"/>
        <v>1.5829832741625227</v>
      </c>
      <c r="H69" s="4">
        <f t="shared" si="125"/>
        <v>1.5146407109486935</v>
      </c>
      <c r="I69" s="4">
        <f t="shared" si="125"/>
        <v>0.18127177155946156</v>
      </c>
      <c r="J69" s="4">
        <f t="shared" si="125"/>
        <v>1.5815628401153636</v>
      </c>
      <c r="K69" s="4">
        <f t="shared" si="125"/>
        <v>1.1389339402569236</v>
      </c>
      <c r="L69" s="4">
        <f t="shared" si="125"/>
        <v>0.54752857645978215</v>
      </c>
      <c r="M69" s="4">
        <f t="shared" si="125"/>
        <v>0.74733410961590507</v>
      </c>
      <c r="N69" s="4">
        <f t="shared" si="125"/>
        <v>1.379305517750582</v>
      </c>
      <c r="O69" s="89"/>
      <c r="P69" s="69"/>
      <c r="Q69" s="69"/>
      <c r="AC69" s="69"/>
      <c r="AF69" s="109"/>
      <c r="AG69" s="109"/>
      <c r="AH69" s="109"/>
      <c r="AI69" s="109"/>
      <c r="AJ69" s="91"/>
    </row>
    <row r="70" spans="1:36">
      <c r="B70">
        <v>24</v>
      </c>
      <c r="C70" s="4">
        <f t="shared" ref="C70:N70" si="126">LOG10(C144)</f>
        <v>2.0508204014832447</v>
      </c>
      <c r="D70" s="4">
        <f t="shared" si="126"/>
        <v>2.0314367429716138</v>
      </c>
      <c r="E70" s="4">
        <f t="shared" si="126"/>
        <v>2.2102087950991236</v>
      </c>
      <c r="F70" s="4">
        <f t="shared" si="126"/>
        <v>2.0281115030961865</v>
      </c>
      <c r="G70" s="4">
        <f t="shared" si="126"/>
        <v>1.5831534144738921</v>
      </c>
      <c r="H70" s="4">
        <f t="shared" si="126"/>
        <v>1.5134306984441004</v>
      </c>
      <c r="I70" s="4">
        <f t="shared" si="126"/>
        <v>0.17840134153375525</v>
      </c>
      <c r="J70" s="4">
        <f t="shared" si="126"/>
        <v>1.5775722172954503</v>
      </c>
      <c r="K70" s="4">
        <f t="shared" si="126"/>
        <v>1.052578525044658</v>
      </c>
      <c r="L70" s="4">
        <f t="shared" si="126"/>
        <v>0.5503506723016155</v>
      </c>
      <c r="M70" s="4">
        <f t="shared" si="126"/>
        <v>0.74849812661373705</v>
      </c>
      <c r="N70" s="4">
        <f t="shared" si="126"/>
        <v>1.3867485908293837</v>
      </c>
      <c r="O70" s="131"/>
      <c r="AC70" s="69"/>
      <c r="AF70" s="109"/>
      <c r="AG70" s="109"/>
      <c r="AH70" s="109"/>
      <c r="AI70" s="109"/>
      <c r="AJ70" s="91"/>
    </row>
    <row r="71" spans="1:36">
      <c r="B71">
        <v>24</v>
      </c>
      <c r="C71" s="4">
        <f t="shared" ref="C71:N71" si="127">LOG10(C145)</f>
        <v>2.0495784925566642</v>
      </c>
      <c r="D71" s="4">
        <f t="shared" si="127"/>
        <v>2.0278631172583026</v>
      </c>
      <c r="E71" s="4">
        <f t="shared" si="127"/>
        <v>2.2061401747561891</v>
      </c>
      <c r="F71" s="4">
        <f t="shared" si="127"/>
        <v>2.0300367576839831</v>
      </c>
      <c r="G71" s="4">
        <f t="shared" si="127"/>
        <v>1.5810617398026836</v>
      </c>
      <c r="H71" s="4">
        <f t="shared" si="127"/>
        <v>1.5145743142016479</v>
      </c>
      <c r="I71" s="4">
        <f t="shared" si="127"/>
        <v>0.17638069224327035</v>
      </c>
      <c r="J71" s="4">
        <f t="shared" si="127"/>
        <v>1.5588764972551366</v>
      </c>
      <c r="K71" s="4">
        <f t="shared" si="127"/>
        <v>1.0767496406240002</v>
      </c>
      <c r="L71" s="4">
        <f t="shared" si="127"/>
        <v>0.54802069490553096</v>
      </c>
      <c r="M71" s="4">
        <f t="shared" si="127"/>
        <v>0.74942709912174887</v>
      </c>
      <c r="N71" s="4">
        <f t="shared" si="127"/>
        <v>1.3805549221542135</v>
      </c>
      <c r="O71" s="131"/>
      <c r="AC71" s="69"/>
      <c r="AF71" s="109"/>
      <c r="AG71" s="109"/>
      <c r="AH71" s="109"/>
      <c r="AI71" s="109"/>
      <c r="AJ71" s="91"/>
    </row>
    <row r="72" spans="1:36">
      <c r="B72">
        <v>48</v>
      </c>
      <c r="C72" s="80">
        <f t="shared" ref="C72:D72" si="128">LOG10(C146)</f>
        <v>0.55978696820055651</v>
      </c>
      <c r="D72" s="80">
        <f t="shared" si="128"/>
        <v>2.1108757790928365</v>
      </c>
      <c r="E72" s="80"/>
      <c r="F72" s="80">
        <f t="shared" ref="F72:N72" si="129">LOG10(F146)</f>
        <v>1.892795589285923</v>
      </c>
      <c r="G72" s="80">
        <f t="shared" si="129"/>
        <v>1.202433822489233</v>
      </c>
      <c r="H72" s="80">
        <f t="shared" si="129"/>
        <v>1.1585132626164318</v>
      </c>
      <c r="I72" s="80"/>
      <c r="J72" s="80">
        <f t="shared" si="129"/>
        <v>1.365525422456709</v>
      </c>
      <c r="K72" s="80">
        <f t="shared" si="129"/>
        <v>0.44855173920157809</v>
      </c>
      <c r="L72" s="80"/>
      <c r="M72" s="80"/>
      <c r="N72" s="80">
        <f t="shared" si="129"/>
        <v>1.1012313867906991</v>
      </c>
      <c r="O72" s="131"/>
      <c r="AC72" s="69"/>
      <c r="AF72" s="109"/>
      <c r="AG72" s="109"/>
      <c r="AH72" s="109"/>
      <c r="AI72" s="109"/>
      <c r="AJ72" s="91"/>
    </row>
    <row r="73" spans="1:36">
      <c r="B73">
        <v>48</v>
      </c>
      <c r="C73" s="80">
        <f t="shared" ref="C73:D73" si="130">LOG10(C147)</f>
        <v>0.55714614231836312</v>
      </c>
      <c r="D73" s="80">
        <f t="shared" si="130"/>
        <v>2.1149377495910961</v>
      </c>
      <c r="E73" s="80"/>
      <c r="F73" s="80">
        <f t="shared" ref="F73:N73" si="131">LOG10(F147)</f>
        <v>1.8951627757358436</v>
      </c>
      <c r="G73" s="80">
        <f t="shared" si="131"/>
        <v>1.204879333760662</v>
      </c>
      <c r="H73" s="80">
        <f t="shared" si="131"/>
        <v>1.1616374807045904</v>
      </c>
      <c r="I73" s="80"/>
      <c r="J73" s="80">
        <f t="shared" si="131"/>
        <v>1.3538970054181618</v>
      </c>
      <c r="K73" s="80">
        <f t="shared" si="131"/>
        <v>0.44607093570100509</v>
      </c>
      <c r="L73" s="80"/>
      <c r="M73" s="80"/>
      <c r="N73" s="80">
        <f t="shared" si="131"/>
        <v>1.0920536064254753</v>
      </c>
      <c r="O73" s="131"/>
      <c r="AC73" s="69"/>
      <c r="AF73" s="109"/>
      <c r="AG73" s="109"/>
      <c r="AH73" s="109"/>
      <c r="AI73" s="109"/>
      <c r="AJ73" s="91"/>
    </row>
    <row r="74" spans="1:36">
      <c r="B74">
        <v>48</v>
      </c>
      <c r="C74" s="80">
        <f t="shared" ref="C74:D74" si="132">LOG10(C148)</f>
        <v>0.54592532935584281</v>
      </c>
      <c r="D74" s="80">
        <f t="shared" si="132"/>
        <v>2.1131910375508869</v>
      </c>
      <c r="E74" s="80"/>
      <c r="F74" s="80">
        <f t="shared" ref="F74:N74" si="133">LOG10(F148)</f>
        <v>1.8922170787344383</v>
      </c>
      <c r="G74" s="80">
        <f t="shared" si="133"/>
        <v>1.2052314388200032</v>
      </c>
      <c r="H74" s="80">
        <f t="shared" si="133"/>
        <v>1.157517208532612</v>
      </c>
      <c r="I74" s="80"/>
      <c r="J74" s="80">
        <f t="shared" si="133"/>
        <v>1.3530309757652812</v>
      </c>
      <c r="K74" s="80">
        <f t="shared" si="133"/>
        <v>0.4490153163477863</v>
      </c>
      <c r="L74" s="80"/>
      <c r="M74" s="80"/>
      <c r="N74" s="80">
        <f t="shared" si="133"/>
        <v>1.0886321418463187</v>
      </c>
      <c r="O74" s="131"/>
      <c r="AC74" s="69"/>
      <c r="AF74" s="109"/>
      <c r="AG74" s="109"/>
      <c r="AH74" s="109"/>
      <c r="AI74" s="109"/>
      <c r="AJ74" s="91"/>
    </row>
    <row r="75" spans="1:36"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P75" s="69"/>
      <c r="AC75" s="69"/>
      <c r="AF75" s="109"/>
      <c r="AG75" s="109"/>
      <c r="AH75" s="109"/>
      <c r="AI75" s="109"/>
      <c r="AJ75" s="91"/>
    </row>
    <row r="76" spans="1:36">
      <c r="P76" s="69"/>
      <c r="AC76" s="69"/>
      <c r="AF76" s="109"/>
      <c r="AG76" s="109"/>
      <c r="AH76" s="109"/>
      <c r="AI76" s="109"/>
      <c r="AJ76" s="91"/>
    </row>
    <row r="77" spans="1:36" ht="18">
      <c r="B77" t="s">
        <v>241</v>
      </c>
      <c r="C77" s="164" t="s">
        <v>140</v>
      </c>
      <c r="D77" s="164"/>
      <c r="E77" s="164"/>
      <c r="F77" s="164"/>
      <c r="G77" s="165" t="s">
        <v>141</v>
      </c>
      <c r="H77" s="165"/>
      <c r="I77" s="165"/>
      <c r="J77" s="165"/>
      <c r="K77" s="166" t="s">
        <v>142</v>
      </c>
      <c r="L77" s="166"/>
      <c r="M77" s="166"/>
      <c r="N77" s="166"/>
      <c r="O77" s="123"/>
      <c r="P77" s="69"/>
      <c r="AC77" s="69"/>
      <c r="AF77" s="109"/>
      <c r="AG77" s="109"/>
      <c r="AH77" s="109"/>
      <c r="AI77" s="109"/>
      <c r="AJ77" s="91"/>
    </row>
    <row r="78" spans="1:36">
      <c r="C78" s="69" t="s">
        <v>143</v>
      </c>
      <c r="D78" s="69" t="s">
        <v>22</v>
      </c>
      <c r="E78" s="69" t="s">
        <v>23</v>
      </c>
      <c r="F78" s="69" t="s">
        <v>24</v>
      </c>
      <c r="G78" t="s">
        <v>29</v>
      </c>
      <c r="H78" t="s">
        <v>30</v>
      </c>
      <c r="I78" t="s">
        <v>31</v>
      </c>
      <c r="J78" t="s">
        <v>32</v>
      </c>
      <c r="K78" t="s">
        <v>38</v>
      </c>
      <c r="L78" t="s">
        <v>39</v>
      </c>
      <c r="M78" t="s">
        <v>40</v>
      </c>
      <c r="N78" t="s">
        <v>41</v>
      </c>
      <c r="P78" s="69"/>
      <c r="AC78" s="69"/>
      <c r="AF78" s="91"/>
      <c r="AG78" s="109"/>
      <c r="AH78" s="109"/>
      <c r="AI78" s="109"/>
      <c r="AJ78" s="91"/>
    </row>
    <row r="79" spans="1:36" ht="18">
      <c r="A79" t="s">
        <v>157</v>
      </c>
      <c r="B79" t="s">
        <v>158</v>
      </c>
      <c r="C79" s="123" t="s">
        <v>144</v>
      </c>
      <c r="D79" s="123" t="s">
        <v>145</v>
      </c>
      <c r="E79" s="123" t="s">
        <v>146</v>
      </c>
      <c r="F79" s="123" t="s">
        <v>147</v>
      </c>
      <c r="G79" s="65" t="s">
        <v>148</v>
      </c>
      <c r="H79" s="65" t="s">
        <v>149</v>
      </c>
      <c r="I79" s="65" t="s">
        <v>150</v>
      </c>
      <c r="J79" s="65" t="s">
        <v>151</v>
      </c>
      <c r="K79" s="66" t="s">
        <v>152</v>
      </c>
      <c r="L79" s="67" t="s">
        <v>153</v>
      </c>
      <c r="M79" s="67" t="s">
        <v>154</v>
      </c>
      <c r="N79" s="67" t="s">
        <v>155</v>
      </c>
      <c r="O79" s="103"/>
      <c r="P79" s="69"/>
      <c r="AC79" s="69"/>
      <c r="AF79" s="91"/>
      <c r="AG79" s="109"/>
      <c r="AH79" s="109"/>
      <c r="AI79" s="109"/>
      <c r="AJ79" s="91"/>
    </row>
    <row r="80" spans="1:36">
      <c r="A80">
        <v>5</v>
      </c>
      <c r="B80">
        <v>8.3000000000000004E-2</v>
      </c>
      <c r="C80" s="4">
        <v>53.28</v>
      </c>
      <c r="D80" s="4">
        <v>124.124</v>
      </c>
      <c r="E80" s="4">
        <v>171.34700000000001</v>
      </c>
      <c r="F80" s="4">
        <v>1554.9849999999999</v>
      </c>
      <c r="G80" s="4">
        <v>87.611000000000004</v>
      </c>
      <c r="H80" s="4">
        <v>67.655000000000001</v>
      </c>
      <c r="I80" s="4">
        <v>462.55399999999997</v>
      </c>
      <c r="J80" s="4">
        <v>1851.2370000000001</v>
      </c>
      <c r="K80" s="21">
        <v>38.816000000000003</v>
      </c>
      <c r="L80" s="4">
        <v>123.672</v>
      </c>
      <c r="M80" s="4">
        <v>68.844999999999999</v>
      </c>
      <c r="N80" s="4">
        <v>56.968000000000004</v>
      </c>
      <c r="O80" s="89"/>
      <c r="P80" s="69"/>
      <c r="AF80" s="91"/>
      <c r="AG80" s="109"/>
      <c r="AH80" s="109"/>
      <c r="AI80" s="109"/>
      <c r="AJ80" s="91"/>
    </row>
    <row r="81" spans="1:36">
      <c r="A81">
        <v>5</v>
      </c>
      <c r="B81">
        <v>8.3000000000000004E-2</v>
      </c>
      <c r="C81" s="4">
        <v>53.642000000000003</v>
      </c>
      <c r="D81" s="4">
        <v>124.014</v>
      </c>
      <c r="E81" s="4">
        <v>150.53299999999999</v>
      </c>
      <c r="F81" s="4">
        <v>1567.8130000000001</v>
      </c>
      <c r="G81" s="4">
        <v>84.617000000000004</v>
      </c>
      <c r="H81" s="4">
        <v>67.146000000000001</v>
      </c>
      <c r="I81" s="4">
        <v>460.77</v>
      </c>
      <c r="J81" s="4">
        <v>1881.4090000000001</v>
      </c>
      <c r="K81" s="21">
        <v>38.597000000000001</v>
      </c>
      <c r="L81" s="4">
        <v>123.917</v>
      </c>
      <c r="M81" s="4">
        <v>68.298000000000002</v>
      </c>
      <c r="N81" s="4">
        <v>57.000999999999998</v>
      </c>
      <c r="O81" s="89"/>
      <c r="P81" s="69"/>
      <c r="AF81" s="91"/>
      <c r="AG81" s="109"/>
      <c r="AH81" s="109"/>
      <c r="AI81" s="109"/>
      <c r="AJ81" s="91"/>
    </row>
    <row r="82" spans="1:36">
      <c r="A82">
        <v>5</v>
      </c>
      <c r="B82">
        <v>8.3000000000000004E-2</v>
      </c>
      <c r="C82" s="4">
        <v>53.640999999999998</v>
      </c>
      <c r="D82" s="4">
        <v>124.455</v>
      </c>
      <c r="E82" s="4">
        <v>142.90899999999999</v>
      </c>
      <c r="F82" s="4">
        <v>1554.5709999999999</v>
      </c>
      <c r="G82" s="4">
        <v>84.668999999999997</v>
      </c>
      <c r="H82" s="4">
        <v>67.245000000000005</v>
      </c>
      <c r="I82" s="4">
        <v>485.49799999999999</v>
      </c>
      <c r="J82" s="4">
        <v>1835.2739999999999</v>
      </c>
      <c r="K82" s="21">
        <v>39.078000000000003</v>
      </c>
      <c r="L82" s="4">
        <v>124.447</v>
      </c>
      <c r="M82" s="4">
        <v>67.903999999999996</v>
      </c>
      <c r="N82" s="4">
        <v>56.603000000000002</v>
      </c>
      <c r="O82" s="89"/>
      <c r="P82" s="69"/>
      <c r="AF82" s="91"/>
      <c r="AG82" s="109"/>
      <c r="AH82" s="109"/>
      <c r="AI82" s="109"/>
      <c r="AJ82" s="91"/>
    </row>
    <row r="83" spans="1:36">
      <c r="A83">
        <v>10</v>
      </c>
      <c r="B83">
        <v>0.16700000000000001</v>
      </c>
      <c r="C83" s="4">
        <v>17.777999999999999</v>
      </c>
      <c r="D83" s="4">
        <v>118.83</v>
      </c>
      <c r="E83" s="4">
        <v>355.40300000000002</v>
      </c>
      <c r="F83" s="4">
        <v>1161.33</v>
      </c>
      <c r="G83" s="4">
        <v>38.578000000000003</v>
      </c>
      <c r="H83" s="4">
        <v>26.573</v>
      </c>
      <c r="I83" s="4">
        <v>398.03800000000001</v>
      </c>
      <c r="J83" s="4">
        <v>1268.835</v>
      </c>
      <c r="K83" s="21">
        <v>31.530999999999999</v>
      </c>
      <c r="L83" s="4">
        <v>118.187</v>
      </c>
      <c r="M83" s="4">
        <v>66.078999999999994</v>
      </c>
      <c r="N83" s="4">
        <v>40.969000000000001</v>
      </c>
      <c r="O83" s="89"/>
      <c r="P83" s="69"/>
      <c r="Q83" s="69"/>
      <c r="AF83" s="91"/>
      <c r="AG83" s="109"/>
      <c r="AH83" s="109"/>
      <c r="AI83" s="109"/>
      <c r="AJ83" s="91"/>
    </row>
    <row r="84" spans="1:36">
      <c r="A84">
        <v>10</v>
      </c>
      <c r="B84">
        <v>0.16700000000000001</v>
      </c>
      <c r="C84" s="4">
        <v>17.597999999999999</v>
      </c>
      <c r="D84" s="4">
        <v>119.529</v>
      </c>
      <c r="E84" s="4">
        <v>355.78399999999999</v>
      </c>
      <c r="F84" s="4">
        <v>1167.4670000000001</v>
      </c>
      <c r="G84" s="4">
        <v>38.079000000000001</v>
      </c>
      <c r="H84" s="4">
        <v>27.053999999999998</v>
      </c>
      <c r="I84" s="4">
        <v>401.82900000000001</v>
      </c>
      <c r="J84" s="4">
        <v>1272.6210000000001</v>
      </c>
      <c r="K84" s="21">
        <v>31.736999999999998</v>
      </c>
      <c r="L84" s="4">
        <v>118.384</v>
      </c>
      <c r="M84" s="4">
        <v>65.704999999999998</v>
      </c>
      <c r="N84" s="4">
        <v>39.787999999999997</v>
      </c>
      <c r="O84" s="131"/>
      <c r="AF84" s="91"/>
      <c r="AG84" s="109"/>
      <c r="AH84" s="109"/>
      <c r="AI84" s="109"/>
      <c r="AJ84" s="91"/>
    </row>
    <row r="85" spans="1:36">
      <c r="A85">
        <v>10</v>
      </c>
      <c r="B85">
        <v>0.16700000000000001</v>
      </c>
      <c r="C85" s="4">
        <v>18.016999999999999</v>
      </c>
      <c r="D85" s="4">
        <v>121.16200000000001</v>
      </c>
      <c r="E85" s="4">
        <v>370.96499999999997</v>
      </c>
      <c r="F85" s="4">
        <v>1202.393</v>
      </c>
      <c r="G85" s="4">
        <v>38.42</v>
      </c>
      <c r="H85" s="4">
        <v>26.831</v>
      </c>
      <c r="I85" s="4">
        <v>423.88400000000001</v>
      </c>
      <c r="J85" s="4">
        <v>1286.114</v>
      </c>
      <c r="K85" s="21">
        <v>30.504999999999999</v>
      </c>
      <c r="L85" s="4">
        <v>118.768</v>
      </c>
      <c r="M85" s="4">
        <v>66.400000000000006</v>
      </c>
      <c r="N85" s="4">
        <v>40.024000000000001</v>
      </c>
      <c r="O85" s="131"/>
      <c r="AF85" s="91"/>
      <c r="AG85" s="109"/>
      <c r="AH85" s="109"/>
      <c r="AI85" s="109"/>
      <c r="AJ85" s="91"/>
    </row>
    <row r="86" spans="1:36">
      <c r="B86">
        <v>0.25</v>
      </c>
      <c r="C86" s="4">
        <v>14.896000000000001</v>
      </c>
      <c r="D86" s="4">
        <v>26.640999999999998</v>
      </c>
      <c r="E86" s="4">
        <v>480.45100000000002</v>
      </c>
      <c r="F86" s="4">
        <v>857.01700000000005</v>
      </c>
      <c r="G86" s="4">
        <v>29.192</v>
      </c>
      <c r="H86" s="4">
        <v>19.41</v>
      </c>
      <c r="I86" s="4">
        <v>371.459</v>
      </c>
      <c r="J86" s="4">
        <v>890.42600000000004</v>
      </c>
      <c r="K86" s="21">
        <v>17.937000000000001</v>
      </c>
      <c r="L86" s="4">
        <v>115.005</v>
      </c>
      <c r="M86" s="4">
        <v>69.096999999999994</v>
      </c>
      <c r="N86" s="4">
        <v>33.454000000000001</v>
      </c>
      <c r="O86" s="131"/>
      <c r="AF86" s="91"/>
      <c r="AG86" s="109"/>
      <c r="AH86" s="109"/>
      <c r="AI86" s="109"/>
      <c r="AJ86" s="91"/>
    </row>
    <row r="87" spans="1:36">
      <c r="B87">
        <v>0.25</v>
      </c>
      <c r="C87" s="4">
        <v>14.143000000000001</v>
      </c>
      <c r="D87" s="4">
        <v>26.768000000000001</v>
      </c>
      <c r="E87" s="4">
        <v>508.43099999999998</v>
      </c>
      <c r="F87" s="4">
        <v>854.02599999999995</v>
      </c>
      <c r="G87" s="4">
        <v>29.818999999999999</v>
      </c>
      <c r="H87" s="4">
        <v>19.187999999999999</v>
      </c>
      <c r="I87" s="4">
        <v>368.85199999999998</v>
      </c>
      <c r="J87" s="4">
        <v>894.67100000000005</v>
      </c>
      <c r="K87" s="21">
        <v>17.864999999999998</v>
      </c>
      <c r="L87" s="4">
        <v>115.259</v>
      </c>
      <c r="M87" s="4">
        <v>68.275999999999996</v>
      </c>
      <c r="N87" s="4">
        <v>33.35</v>
      </c>
      <c r="O87" s="131"/>
      <c r="AF87" s="91"/>
      <c r="AG87" s="109"/>
      <c r="AH87" s="109"/>
      <c r="AI87" s="109"/>
      <c r="AJ87" s="91"/>
    </row>
    <row r="88" spans="1:36">
      <c r="B88">
        <v>0.25</v>
      </c>
      <c r="C88" s="38">
        <v>13.938000000000001</v>
      </c>
      <c r="D88" s="4">
        <v>26.765000000000001</v>
      </c>
      <c r="E88" s="4">
        <v>494.03399999999999</v>
      </c>
      <c r="F88" s="4">
        <v>856.69500000000005</v>
      </c>
      <c r="G88" s="4">
        <v>29.286000000000001</v>
      </c>
      <c r="H88" s="4">
        <v>19.13</v>
      </c>
      <c r="I88" s="4">
        <v>367.21199999999999</v>
      </c>
      <c r="J88" s="4">
        <v>913.82600000000002</v>
      </c>
      <c r="K88" s="21">
        <v>17.645</v>
      </c>
      <c r="L88" s="4">
        <v>116.035</v>
      </c>
      <c r="M88" s="4">
        <v>66.991</v>
      </c>
      <c r="N88" s="4">
        <v>33.116999999999997</v>
      </c>
      <c r="O88" s="131"/>
      <c r="AF88" s="91"/>
      <c r="AG88" s="109"/>
      <c r="AH88" s="109"/>
      <c r="AI88" s="109"/>
      <c r="AJ88" s="91"/>
    </row>
    <row r="89" spans="1:36">
      <c r="B89">
        <v>0.33300000000000002</v>
      </c>
      <c r="C89" s="4">
        <v>14.313000000000001</v>
      </c>
      <c r="D89" s="4">
        <v>19.07</v>
      </c>
      <c r="E89" s="4">
        <v>257.05700000000002</v>
      </c>
      <c r="F89" s="4">
        <v>589.11800000000005</v>
      </c>
      <c r="G89" s="4">
        <v>22.916</v>
      </c>
      <c r="H89" s="4">
        <v>15.44</v>
      </c>
      <c r="I89" s="4">
        <v>321.40300000000002</v>
      </c>
      <c r="J89" s="4">
        <v>674.27200000000005</v>
      </c>
      <c r="K89" s="21">
        <v>17.379000000000001</v>
      </c>
      <c r="L89" s="4">
        <v>112.09399999999999</v>
      </c>
      <c r="M89" s="4">
        <v>57.186999999999998</v>
      </c>
      <c r="N89" s="4">
        <v>23.321000000000002</v>
      </c>
      <c r="O89" s="131"/>
      <c r="AF89" s="91"/>
      <c r="AG89" s="109"/>
      <c r="AH89" s="109"/>
      <c r="AI89" s="109"/>
      <c r="AJ89" s="91"/>
    </row>
    <row r="90" spans="1:36">
      <c r="B90">
        <v>0.33300000000000002</v>
      </c>
      <c r="C90" s="4">
        <v>14.19</v>
      </c>
      <c r="D90" s="4">
        <v>18.937000000000001</v>
      </c>
      <c r="E90" s="4">
        <v>251.92599999999999</v>
      </c>
      <c r="F90" s="4">
        <v>609.30600000000004</v>
      </c>
      <c r="G90" s="4">
        <v>22.846</v>
      </c>
      <c r="H90" s="4">
        <v>15.176</v>
      </c>
      <c r="I90" s="4">
        <v>324.62700000000001</v>
      </c>
      <c r="J90" s="4">
        <v>672.01800000000003</v>
      </c>
      <c r="K90" s="21">
        <v>17.364999999999998</v>
      </c>
      <c r="L90" s="4">
        <v>112.12</v>
      </c>
      <c r="M90" s="4">
        <v>58.643000000000001</v>
      </c>
      <c r="N90" s="4">
        <v>22.646000000000001</v>
      </c>
      <c r="O90" s="131"/>
      <c r="AF90" s="91"/>
      <c r="AG90" s="109"/>
      <c r="AH90" s="91"/>
      <c r="AI90" s="91"/>
      <c r="AJ90" s="91"/>
    </row>
    <row r="91" spans="1:36">
      <c r="B91">
        <v>0.33300000000000002</v>
      </c>
      <c r="C91" s="4">
        <v>14.269</v>
      </c>
      <c r="D91" s="4">
        <v>18.646999999999998</v>
      </c>
      <c r="E91" s="4">
        <v>249.28899999999999</v>
      </c>
      <c r="F91" s="4">
        <v>605.04</v>
      </c>
      <c r="G91" s="4">
        <v>23.122</v>
      </c>
      <c r="H91" s="4">
        <v>15.205</v>
      </c>
      <c r="I91" s="4">
        <v>330.18</v>
      </c>
      <c r="J91" s="4">
        <v>676.59500000000003</v>
      </c>
      <c r="K91" s="21">
        <v>17.050999999999998</v>
      </c>
      <c r="L91" s="4">
        <v>112.227</v>
      </c>
      <c r="M91" s="4">
        <v>57.311999999999998</v>
      </c>
      <c r="N91" s="4">
        <v>22.908000000000001</v>
      </c>
      <c r="O91" s="131"/>
      <c r="AF91" s="91"/>
      <c r="AG91" s="109"/>
      <c r="AH91" s="91"/>
      <c r="AI91" s="91"/>
      <c r="AJ91" s="91"/>
    </row>
    <row r="92" spans="1:36">
      <c r="B92">
        <v>0.41699999999999998</v>
      </c>
      <c r="C92" s="4">
        <v>12.54</v>
      </c>
      <c r="D92" s="4">
        <v>15.089</v>
      </c>
      <c r="E92" s="4">
        <v>161.32499999999999</v>
      </c>
      <c r="F92" s="4">
        <v>418.87900000000002</v>
      </c>
      <c r="G92" s="4">
        <v>17.791</v>
      </c>
      <c r="H92" s="4">
        <v>11.618</v>
      </c>
      <c r="I92" s="4">
        <v>289.22399999999999</v>
      </c>
      <c r="J92" s="4">
        <v>457.93799999999999</v>
      </c>
      <c r="K92" s="21">
        <v>12.205</v>
      </c>
      <c r="L92" s="4">
        <v>107.979</v>
      </c>
      <c r="M92" s="4">
        <v>46.066000000000003</v>
      </c>
      <c r="N92" s="4">
        <v>17.616</v>
      </c>
      <c r="O92" s="131"/>
      <c r="AF92" s="91"/>
      <c r="AG92" s="109"/>
      <c r="AH92" s="91"/>
      <c r="AI92" s="91"/>
      <c r="AJ92" s="91"/>
    </row>
    <row r="93" spans="1:36">
      <c r="B93">
        <v>0.41699999999999998</v>
      </c>
      <c r="C93" s="4">
        <v>12.662000000000001</v>
      </c>
      <c r="D93" s="4">
        <v>14.747999999999999</v>
      </c>
      <c r="E93" s="4">
        <v>153.99199999999999</v>
      </c>
      <c r="F93" s="4">
        <v>431.21100000000001</v>
      </c>
      <c r="G93" s="4">
        <v>17.683</v>
      </c>
      <c r="H93" s="4">
        <v>11.79</v>
      </c>
      <c r="I93" s="4">
        <v>287.637</v>
      </c>
      <c r="J93" s="4">
        <v>466.97899999999998</v>
      </c>
      <c r="K93" s="21">
        <v>11.912000000000001</v>
      </c>
      <c r="L93" s="4">
        <v>108.34</v>
      </c>
      <c r="M93" s="4">
        <v>46.877000000000002</v>
      </c>
      <c r="N93" s="4">
        <v>17.206</v>
      </c>
      <c r="O93" s="131"/>
      <c r="AF93" s="91"/>
      <c r="AG93" s="109"/>
      <c r="AH93" s="91"/>
      <c r="AI93" s="91"/>
      <c r="AJ93" s="91"/>
    </row>
    <row r="94" spans="1:36">
      <c r="B94">
        <v>0.41699999999999998</v>
      </c>
      <c r="C94" s="4">
        <v>12.515000000000001</v>
      </c>
      <c r="D94" s="4">
        <v>14.92</v>
      </c>
      <c r="E94" s="4">
        <v>165.31200000000001</v>
      </c>
      <c r="F94" s="4">
        <v>447.71499999999997</v>
      </c>
      <c r="G94" s="4">
        <v>17.763999999999999</v>
      </c>
      <c r="H94" s="4">
        <v>11.962999999999999</v>
      </c>
      <c r="I94" s="4">
        <v>289.601</v>
      </c>
      <c r="J94" s="4">
        <v>466.47500000000002</v>
      </c>
      <c r="K94" s="21">
        <v>12.019</v>
      </c>
      <c r="L94" s="4">
        <v>108.173</v>
      </c>
      <c r="M94" s="4">
        <v>45.933999999999997</v>
      </c>
      <c r="N94" s="4">
        <v>17.199000000000002</v>
      </c>
      <c r="O94" s="131"/>
      <c r="AF94" s="91"/>
      <c r="AG94" s="109"/>
      <c r="AH94" s="91"/>
      <c r="AI94" s="91"/>
      <c r="AJ94" s="91"/>
    </row>
    <row r="95" spans="1:36">
      <c r="B95">
        <v>0.5</v>
      </c>
      <c r="C95" s="4">
        <v>12.71</v>
      </c>
      <c r="D95" s="4">
        <v>15.173999999999999</v>
      </c>
      <c r="E95" s="4">
        <v>77.462000000000003</v>
      </c>
      <c r="F95" s="4">
        <v>341.83600000000001</v>
      </c>
      <c r="G95" s="4">
        <v>16.143000000000001</v>
      </c>
      <c r="H95" s="4">
        <v>11.028</v>
      </c>
      <c r="I95" s="4">
        <v>236.49700000000001</v>
      </c>
      <c r="J95" s="4">
        <v>354.91500000000002</v>
      </c>
      <c r="K95" s="21">
        <v>11.584</v>
      </c>
      <c r="L95" s="4">
        <v>12.476000000000001</v>
      </c>
      <c r="M95" s="4">
        <v>28.518000000000001</v>
      </c>
      <c r="N95" s="4">
        <v>15.512</v>
      </c>
      <c r="O95" s="131"/>
      <c r="AF95" s="91"/>
      <c r="AG95" s="109"/>
      <c r="AH95" s="91"/>
      <c r="AI95" s="91"/>
      <c r="AJ95" s="91"/>
    </row>
    <row r="96" spans="1:36">
      <c r="B96">
        <v>0.5</v>
      </c>
      <c r="C96" s="4">
        <v>12.795999999999999</v>
      </c>
      <c r="D96" s="4">
        <v>15.292999999999999</v>
      </c>
      <c r="E96" s="4">
        <v>46.137</v>
      </c>
      <c r="F96" s="4">
        <v>340.09699999999998</v>
      </c>
      <c r="G96" s="4">
        <v>16.271999999999998</v>
      </c>
      <c r="H96" s="4">
        <v>10.98</v>
      </c>
      <c r="I96" s="4">
        <v>217.58600000000001</v>
      </c>
      <c r="J96" s="4">
        <v>387.029</v>
      </c>
      <c r="K96" s="21">
        <v>11.602</v>
      </c>
      <c r="L96" s="4">
        <v>12.616</v>
      </c>
      <c r="M96" s="4">
        <v>28.242000000000001</v>
      </c>
      <c r="N96" s="4">
        <v>15.382</v>
      </c>
      <c r="O96" s="131"/>
      <c r="AF96" s="91"/>
      <c r="AG96" s="91"/>
      <c r="AH96" s="91"/>
      <c r="AI96" s="91"/>
      <c r="AJ96" s="91"/>
    </row>
    <row r="97" spans="2:15">
      <c r="B97">
        <v>0.5</v>
      </c>
      <c r="C97" s="4">
        <v>12.644</v>
      </c>
      <c r="D97" s="4">
        <v>17.183</v>
      </c>
      <c r="E97" s="4">
        <v>31.463999999999999</v>
      </c>
      <c r="F97" s="4">
        <v>317.483</v>
      </c>
      <c r="G97" s="4">
        <v>16.015000000000001</v>
      </c>
      <c r="H97" s="4">
        <v>10.907999999999999</v>
      </c>
      <c r="I97" s="4">
        <v>217.51</v>
      </c>
      <c r="J97" s="4">
        <v>356.26799999999997</v>
      </c>
      <c r="K97" s="21">
        <v>11.569000000000001</v>
      </c>
      <c r="L97" s="4">
        <v>12.611000000000001</v>
      </c>
      <c r="M97" s="4">
        <v>27.463999999999999</v>
      </c>
      <c r="N97" s="4">
        <v>15.2</v>
      </c>
      <c r="O97" s="131"/>
    </row>
    <row r="98" spans="2:15">
      <c r="B98">
        <v>0.58299999999999996</v>
      </c>
      <c r="C98" s="4">
        <v>13.459</v>
      </c>
      <c r="D98" s="4">
        <v>16.917000000000002</v>
      </c>
      <c r="E98" s="34">
        <v>0.98</v>
      </c>
      <c r="F98" s="4">
        <v>244.98500000000001</v>
      </c>
      <c r="G98" s="4">
        <v>15.612</v>
      </c>
      <c r="H98" s="4">
        <v>11.834</v>
      </c>
      <c r="I98" s="4">
        <v>181.375</v>
      </c>
      <c r="J98" s="4">
        <v>265.90300000000002</v>
      </c>
      <c r="K98" s="21">
        <v>8.6880000000000006</v>
      </c>
      <c r="L98" s="4">
        <v>12.353</v>
      </c>
      <c r="M98" s="4">
        <v>32.880000000000003</v>
      </c>
      <c r="N98" s="4">
        <v>11.67</v>
      </c>
      <c r="O98" s="131"/>
    </row>
    <row r="99" spans="2:15">
      <c r="B99">
        <v>0.58299999999999996</v>
      </c>
      <c r="C99" s="4">
        <v>13.654</v>
      </c>
      <c r="D99" s="4">
        <v>16.832000000000001</v>
      </c>
      <c r="E99" s="4">
        <v>70.012</v>
      </c>
      <c r="F99" s="4">
        <v>250.054</v>
      </c>
      <c r="G99" s="4">
        <v>15.689</v>
      </c>
      <c r="H99" s="4">
        <v>11.778</v>
      </c>
      <c r="I99" s="4">
        <v>154.131</v>
      </c>
      <c r="J99" s="4">
        <v>270.15800000000002</v>
      </c>
      <c r="K99" s="21">
        <v>8.5749999999999993</v>
      </c>
      <c r="L99" s="4">
        <v>11.949</v>
      </c>
      <c r="M99" s="4">
        <v>32.496000000000002</v>
      </c>
      <c r="N99" s="4">
        <v>11.532999999999999</v>
      </c>
      <c r="O99" s="131"/>
    </row>
    <row r="100" spans="2:15">
      <c r="B100">
        <v>0.58299999999999996</v>
      </c>
      <c r="C100" s="4">
        <v>13.553000000000001</v>
      </c>
      <c r="D100" s="4">
        <v>17.154</v>
      </c>
      <c r="E100" s="4">
        <v>33.762</v>
      </c>
      <c r="F100" s="4">
        <v>248.06800000000001</v>
      </c>
      <c r="G100" s="4">
        <v>15.449</v>
      </c>
      <c r="H100" s="4">
        <v>11.849</v>
      </c>
      <c r="I100" s="4">
        <v>179.40799999999999</v>
      </c>
      <c r="J100" s="4">
        <v>272.35000000000002</v>
      </c>
      <c r="K100" s="21">
        <v>8.6240000000000006</v>
      </c>
      <c r="L100" s="4">
        <v>12.122</v>
      </c>
      <c r="M100" s="4">
        <v>32.317</v>
      </c>
      <c r="N100" s="4">
        <v>11.417</v>
      </c>
      <c r="O100" s="131"/>
    </row>
    <row r="101" spans="2:15">
      <c r="B101">
        <v>0.66700000000000004</v>
      </c>
      <c r="C101" s="4">
        <v>13.654</v>
      </c>
      <c r="D101" s="4">
        <v>16.655999999999999</v>
      </c>
      <c r="E101" s="4">
        <v>8.2509999999999994</v>
      </c>
      <c r="F101" s="4">
        <v>232.62799999999999</v>
      </c>
      <c r="G101" s="4">
        <v>14.951000000000001</v>
      </c>
      <c r="H101" s="4">
        <v>11.59</v>
      </c>
      <c r="I101" s="4">
        <v>151.56700000000001</v>
      </c>
      <c r="J101" s="4">
        <v>216.96199999999999</v>
      </c>
      <c r="K101" s="21">
        <v>6.694</v>
      </c>
      <c r="L101" s="4">
        <v>10.507999999999999</v>
      </c>
      <c r="M101" s="4">
        <v>29.192</v>
      </c>
      <c r="N101" s="4">
        <v>8.9749999999999996</v>
      </c>
      <c r="O101" s="131"/>
    </row>
    <row r="102" spans="2:15">
      <c r="B102">
        <v>0.66700000000000004</v>
      </c>
      <c r="C102" s="4">
        <v>13.622999999999999</v>
      </c>
      <c r="D102" s="4">
        <v>16.811</v>
      </c>
      <c r="E102" s="4">
        <v>8.1120000000000001</v>
      </c>
      <c r="F102" s="4">
        <v>239.33799999999999</v>
      </c>
      <c r="G102" s="4">
        <v>15.193</v>
      </c>
      <c r="H102" s="4">
        <v>11.606</v>
      </c>
      <c r="I102" s="4">
        <v>121.13800000000001</v>
      </c>
      <c r="J102" s="4">
        <v>216.23500000000001</v>
      </c>
      <c r="K102" s="21">
        <v>6.5679999999999996</v>
      </c>
      <c r="L102" s="4">
        <v>10.387</v>
      </c>
      <c r="M102" s="4">
        <v>29.045000000000002</v>
      </c>
      <c r="N102" s="4">
        <v>8.7989999999999995</v>
      </c>
      <c r="O102" s="131"/>
    </row>
    <row r="103" spans="2:15">
      <c r="B103">
        <v>0.66700000000000004</v>
      </c>
      <c r="C103" s="4">
        <v>13.48</v>
      </c>
      <c r="D103" s="4">
        <v>16.585000000000001</v>
      </c>
      <c r="E103" s="4">
        <v>8.0310000000000006</v>
      </c>
      <c r="F103" s="4">
        <v>238.59299999999999</v>
      </c>
      <c r="G103" s="4">
        <v>14.522</v>
      </c>
      <c r="H103" s="4">
        <v>11.473000000000001</v>
      </c>
      <c r="I103" s="4">
        <v>122.94199999999999</v>
      </c>
      <c r="J103" s="4">
        <v>218.03700000000001</v>
      </c>
      <c r="K103" s="21">
        <v>6.5730000000000004</v>
      </c>
      <c r="L103" s="4">
        <v>10.391999999999999</v>
      </c>
      <c r="M103" s="4">
        <v>29.178999999999998</v>
      </c>
      <c r="N103" s="4">
        <v>9.1129999999999995</v>
      </c>
      <c r="O103" s="131"/>
    </row>
    <row r="104" spans="2:15">
      <c r="B104">
        <v>0.75</v>
      </c>
      <c r="C104" s="4">
        <v>13.776999999999999</v>
      </c>
      <c r="D104" s="4">
        <v>15.443</v>
      </c>
      <c r="E104" s="4">
        <v>8.1229999999999993</v>
      </c>
      <c r="F104" s="4">
        <v>156.55600000000001</v>
      </c>
      <c r="G104" s="4">
        <v>14.28</v>
      </c>
      <c r="H104" s="4">
        <v>10.837</v>
      </c>
      <c r="I104" s="4">
        <v>93.617999999999995</v>
      </c>
      <c r="J104" s="4">
        <v>157.51499999999999</v>
      </c>
      <c r="K104" s="21">
        <v>6.5289999999999999</v>
      </c>
      <c r="L104" s="4">
        <v>10.127000000000001</v>
      </c>
      <c r="M104" s="4">
        <v>23.765000000000001</v>
      </c>
      <c r="N104" s="4">
        <v>7.62</v>
      </c>
      <c r="O104" s="131"/>
    </row>
    <row r="105" spans="2:15">
      <c r="B105">
        <v>0.75</v>
      </c>
      <c r="C105" s="4">
        <v>13.968999999999999</v>
      </c>
      <c r="D105" s="4">
        <v>15.539</v>
      </c>
      <c r="E105" s="4">
        <v>8.0749999999999993</v>
      </c>
      <c r="F105" s="4">
        <v>157.751</v>
      </c>
      <c r="G105" s="4">
        <v>14.173</v>
      </c>
      <c r="H105" s="4">
        <v>10.852</v>
      </c>
      <c r="I105" s="4">
        <v>116.992</v>
      </c>
      <c r="J105" s="4">
        <v>157.39500000000001</v>
      </c>
      <c r="K105" s="21">
        <v>6.391</v>
      </c>
      <c r="L105" s="4">
        <v>10.026</v>
      </c>
      <c r="M105" s="4">
        <v>23.933</v>
      </c>
      <c r="N105" s="4">
        <v>7.5190000000000001</v>
      </c>
      <c r="O105" s="131"/>
    </row>
    <row r="106" spans="2:15">
      <c r="B106">
        <v>0.75</v>
      </c>
      <c r="C106" s="4">
        <v>13.753</v>
      </c>
      <c r="D106" s="4">
        <v>15.39</v>
      </c>
      <c r="E106" s="4">
        <v>8.0630000000000006</v>
      </c>
      <c r="F106" s="4">
        <v>158.238</v>
      </c>
      <c r="G106" s="4">
        <v>14.05</v>
      </c>
      <c r="H106" s="4">
        <v>10.904999999999999</v>
      </c>
      <c r="I106" s="4">
        <v>93.852999999999994</v>
      </c>
      <c r="J106" s="4">
        <v>159.14699999999999</v>
      </c>
      <c r="K106" s="21">
        <v>6.2450000000000001</v>
      </c>
      <c r="L106" s="4">
        <v>9.8879999999999999</v>
      </c>
      <c r="M106" s="4">
        <v>23.946999999999999</v>
      </c>
      <c r="N106" s="4">
        <v>7.5330000000000004</v>
      </c>
      <c r="O106" s="131"/>
    </row>
    <row r="107" spans="2:15">
      <c r="B107">
        <v>0.83299999999999996</v>
      </c>
      <c r="C107" s="4">
        <v>13.39</v>
      </c>
      <c r="D107" s="4">
        <v>15.446</v>
      </c>
      <c r="E107" s="4">
        <v>7.96</v>
      </c>
      <c r="F107" s="4">
        <v>128.95500000000001</v>
      </c>
      <c r="G107" s="4">
        <v>13.269</v>
      </c>
      <c r="H107" s="4">
        <v>9.5239999999999991</v>
      </c>
      <c r="I107" s="4">
        <v>74.16</v>
      </c>
      <c r="J107" s="4">
        <v>141.62100000000001</v>
      </c>
      <c r="K107" s="21">
        <v>4.2430000000000003</v>
      </c>
      <c r="L107" s="4">
        <v>10.377000000000001</v>
      </c>
      <c r="M107" s="4">
        <v>20.878</v>
      </c>
      <c r="N107" s="4">
        <v>5.8760000000000003</v>
      </c>
      <c r="O107" s="131"/>
    </row>
    <row r="108" spans="2:15">
      <c r="B108">
        <v>0.83299999999999996</v>
      </c>
      <c r="C108" s="4">
        <v>13.455</v>
      </c>
      <c r="D108" s="4">
        <v>15.446</v>
      </c>
      <c r="E108" s="4">
        <v>7.9329999999999998</v>
      </c>
      <c r="F108" s="4">
        <v>130.09</v>
      </c>
      <c r="G108" s="4">
        <v>13.564</v>
      </c>
      <c r="H108" s="4">
        <v>9.5419999999999998</v>
      </c>
      <c r="I108" s="4">
        <v>75.828000000000003</v>
      </c>
      <c r="J108" s="4">
        <v>143.583</v>
      </c>
      <c r="K108" s="21">
        <v>4.2709999999999999</v>
      </c>
      <c r="L108" s="4">
        <v>10.385999999999999</v>
      </c>
      <c r="M108" s="4">
        <v>21.132999999999999</v>
      </c>
      <c r="N108" s="4">
        <v>5.85</v>
      </c>
      <c r="O108" s="131"/>
    </row>
    <row r="109" spans="2:15">
      <c r="B109">
        <v>0.83299999999999996</v>
      </c>
      <c r="C109" s="4">
        <v>13.446999999999999</v>
      </c>
      <c r="D109" s="4">
        <v>15.427</v>
      </c>
      <c r="E109" s="4">
        <v>7.88</v>
      </c>
      <c r="F109" s="4">
        <v>130.90100000000001</v>
      </c>
      <c r="G109" s="4">
        <v>13.138</v>
      </c>
      <c r="H109" s="4">
        <v>9.5350000000000001</v>
      </c>
      <c r="I109" s="4">
        <v>76.256</v>
      </c>
      <c r="J109" s="38">
        <v>143.83600000000001</v>
      </c>
      <c r="K109" s="21">
        <v>4.2030000000000003</v>
      </c>
      <c r="L109" s="4">
        <v>10.391</v>
      </c>
      <c r="M109" s="4">
        <v>21.254000000000001</v>
      </c>
      <c r="N109" s="4">
        <v>5.8929999999999998</v>
      </c>
      <c r="O109" s="131"/>
    </row>
    <row r="110" spans="2:15">
      <c r="B110">
        <v>0.91700000000000004</v>
      </c>
      <c r="C110" s="4">
        <v>12.965999999999999</v>
      </c>
      <c r="D110" s="4">
        <v>15.951000000000001</v>
      </c>
      <c r="E110" s="4">
        <v>50.451000000000001</v>
      </c>
      <c r="F110" s="4">
        <v>119.741</v>
      </c>
      <c r="G110" s="4">
        <v>14.026999999999999</v>
      </c>
      <c r="H110" s="4">
        <v>11.721</v>
      </c>
      <c r="I110" s="4">
        <v>25.933</v>
      </c>
      <c r="J110" s="4">
        <v>120.95099999999999</v>
      </c>
      <c r="K110" s="21">
        <v>4.0270000000000001</v>
      </c>
      <c r="L110" s="4">
        <v>11.797000000000001</v>
      </c>
      <c r="M110" s="4">
        <v>17.308</v>
      </c>
      <c r="N110" s="4">
        <v>4.9059999999999997</v>
      </c>
      <c r="O110" s="131"/>
    </row>
    <row r="111" spans="2:15">
      <c r="B111">
        <v>0.91700000000000004</v>
      </c>
      <c r="C111" s="4">
        <v>13.582000000000001</v>
      </c>
      <c r="D111" s="4">
        <v>16.327000000000002</v>
      </c>
      <c r="E111" s="4">
        <v>50.704000000000001</v>
      </c>
      <c r="F111" s="4">
        <v>121.983</v>
      </c>
      <c r="G111" s="4">
        <v>14.111000000000001</v>
      </c>
      <c r="H111" s="4">
        <v>11.692</v>
      </c>
      <c r="I111" s="4">
        <v>26.2</v>
      </c>
      <c r="J111" s="4">
        <v>120.971</v>
      </c>
      <c r="K111" s="21">
        <v>4.0780000000000003</v>
      </c>
      <c r="L111" s="4">
        <v>11.816000000000001</v>
      </c>
      <c r="M111" s="4">
        <v>17.442</v>
      </c>
      <c r="N111" s="4">
        <v>4.8979999999999997</v>
      </c>
      <c r="O111" s="131"/>
    </row>
    <row r="112" spans="2:15">
      <c r="B112">
        <v>0.91700000000000004</v>
      </c>
      <c r="C112" s="4">
        <v>13.486000000000001</v>
      </c>
      <c r="D112" s="4">
        <v>15.333</v>
      </c>
      <c r="E112" s="4">
        <v>49.912999999999997</v>
      </c>
      <c r="F112" s="4">
        <v>123.09099999999999</v>
      </c>
      <c r="G112" s="4">
        <v>13.805</v>
      </c>
      <c r="H112" s="4">
        <v>11.752000000000001</v>
      </c>
      <c r="I112" s="4">
        <v>26.602</v>
      </c>
      <c r="J112" s="4">
        <v>121.307</v>
      </c>
      <c r="K112" s="21">
        <v>4.024</v>
      </c>
      <c r="L112" s="4">
        <v>11.731999999999999</v>
      </c>
      <c r="M112" s="4">
        <v>17.367999999999999</v>
      </c>
      <c r="N112" s="4">
        <v>4.9089999999999998</v>
      </c>
      <c r="O112" s="131"/>
    </row>
    <row r="113" spans="2:15">
      <c r="B113">
        <v>1</v>
      </c>
      <c r="C113" s="4">
        <v>16.204000000000001</v>
      </c>
      <c r="D113" s="4">
        <v>110.953</v>
      </c>
      <c r="E113" s="4">
        <v>55.454000000000001</v>
      </c>
      <c r="F113" s="4">
        <v>104.089</v>
      </c>
      <c r="G113" s="4">
        <v>14.04</v>
      </c>
      <c r="H113" s="4">
        <v>11.888</v>
      </c>
      <c r="I113" s="4">
        <v>20.82</v>
      </c>
      <c r="J113" s="4">
        <v>104.096</v>
      </c>
      <c r="K113" s="21">
        <v>3.8340000000000001</v>
      </c>
      <c r="L113" s="4">
        <v>9.2210000000000001</v>
      </c>
      <c r="M113" s="4">
        <v>25.890999999999998</v>
      </c>
      <c r="N113" s="4">
        <v>4.1360000000000001</v>
      </c>
      <c r="O113" s="131"/>
    </row>
    <row r="114" spans="2:15">
      <c r="B114">
        <v>1</v>
      </c>
      <c r="C114" s="4">
        <v>16.119</v>
      </c>
      <c r="D114" s="4">
        <v>110.26600000000001</v>
      </c>
      <c r="E114" s="4">
        <v>56.283999999999999</v>
      </c>
      <c r="F114" s="4">
        <v>103.572</v>
      </c>
      <c r="G114" s="4">
        <v>14.144</v>
      </c>
      <c r="H114" s="4">
        <v>11.954000000000001</v>
      </c>
      <c r="I114" s="4">
        <v>19.968</v>
      </c>
      <c r="J114" s="4">
        <v>103.538</v>
      </c>
      <c r="K114" s="21">
        <v>3.9049999999999998</v>
      </c>
      <c r="L114" s="4">
        <v>9.4190000000000005</v>
      </c>
      <c r="M114" s="4">
        <v>25.852</v>
      </c>
      <c r="N114" s="4">
        <v>4.1180000000000003</v>
      </c>
      <c r="O114" s="131"/>
    </row>
    <row r="115" spans="2:15">
      <c r="B115">
        <v>1</v>
      </c>
      <c r="C115" s="4">
        <v>16.192</v>
      </c>
      <c r="D115" s="4">
        <v>110.387</v>
      </c>
      <c r="E115" s="4">
        <v>56.524000000000001</v>
      </c>
      <c r="F115" s="4">
        <v>104.938</v>
      </c>
      <c r="G115" s="4">
        <v>13.803000000000001</v>
      </c>
      <c r="H115" s="4">
        <v>11.731</v>
      </c>
      <c r="I115" s="4">
        <v>20.63</v>
      </c>
      <c r="J115" s="4">
        <v>104.13500000000001</v>
      </c>
      <c r="K115" s="21">
        <v>3.847</v>
      </c>
      <c r="L115" s="4">
        <v>9.4060000000000006</v>
      </c>
      <c r="M115" s="4">
        <v>25.59</v>
      </c>
      <c r="N115" s="4">
        <v>4.0979999999999999</v>
      </c>
      <c r="O115" s="131"/>
    </row>
    <row r="116" spans="2:15">
      <c r="B116">
        <v>2</v>
      </c>
      <c r="C116" s="4">
        <v>15.414999999999999</v>
      </c>
      <c r="D116" s="4">
        <v>19.184000000000001</v>
      </c>
      <c r="E116" s="4">
        <v>60.365000000000002</v>
      </c>
      <c r="F116" s="4">
        <v>11.343</v>
      </c>
      <c r="G116" s="4">
        <v>15.241</v>
      </c>
      <c r="H116" s="4">
        <v>12.901999999999999</v>
      </c>
      <c r="I116" s="4">
        <v>8.68</v>
      </c>
      <c r="J116" s="4">
        <v>7.4740000000000002</v>
      </c>
      <c r="K116" s="21">
        <v>2.94</v>
      </c>
      <c r="L116" s="4">
        <v>3.8380000000000001</v>
      </c>
      <c r="M116" s="4">
        <v>9.0380000000000003</v>
      </c>
      <c r="N116" s="4">
        <v>3.3639999999999999</v>
      </c>
      <c r="O116" s="131"/>
    </row>
    <row r="117" spans="2:15">
      <c r="B117">
        <v>2</v>
      </c>
      <c r="C117" s="4">
        <v>15.747999999999999</v>
      </c>
      <c r="D117" s="4">
        <v>19.37</v>
      </c>
      <c r="E117" s="4">
        <v>60.287999999999997</v>
      </c>
      <c r="F117" s="4">
        <v>11.589</v>
      </c>
      <c r="G117" s="4">
        <v>15.118</v>
      </c>
      <c r="H117" s="4">
        <v>12.862</v>
      </c>
      <c r="I117" s="4">
        <v>8.6989999999999998</v>
      </c>
      <c r="J117" s="4">
        <v>7.5090000000000003</v>
      </c>
      <c r="K117" s="21">
        <v>3.0640000000000001</v>
      </c>
      <c r="L117" s="4">
        <v>3.7749999999999999</v>
      </c>
      <c r="M117" s="4">
        <v>9.0190000000000001</v>
      </c>
      <c r="N117" s="4">
        <v>3.363</v>
      </c>
      <c r="O117" s="131"/>
    </row>
    <row r="118" spans="2:15">
      <c r="B118">
        <v>2</v>
      </c>
      <c r="C118" s="4">
        <v>15.646000000000001</v>
      </c>
      <c r="D118" s="4">
        <v>19.495999999999999</v>
      </c>
      <c r="E118" s="4">
        <v>59.850999999999999</v>
      </c>
      <c r="F118" s="4">
        <v>11.541</v>
      </c>
      <c r="G118" s="4">
        <v>15.101000000000001</v>
      </c>
      <c r="H118" s="4">
        <v>12.817</v>
      </c>
      <c r="I118" s="4">
        <v>8.8469999999999995</v>
      </c>
      <c r="J118" s="4">
        <v>7.5739999999999998</v>
      </c>
      <c r="K118" s="21">
        <v>3.028</v>
      </c>
      <c r="L118" s="4">
        <v>3.6880000000000002</v>
      </c>
      <c r="M118" s="23">
        <v>8.7959999999999994</v>
      </c>
      <c r="N118" s="4">
        <v>3.3769999999999998</v>
      </c>
      <c r="O118" s="131"/>
    </row>
    <row r="119" spans="2:15">
      <c r="B119">
        <v>3</v>
      </c>
      <c r="C119" s="4">
        <v>27.117000000000001</v>
      </c>
      <c r="D119" s="4">
        <v>27.792999999999999</v>
      </c>
      <c r="E119" s="4">
        <v>51.311</v>
      </c>
      <c r="F119" s="4">
        <v>15.760999999999999</v>
      </c>
      <c r="G119" s="4">
        <v>23.779</v>
      </c>
      <c r="H119" s="4">
        <v>24.396999999999998</v>
      </c>
      <c r="I119" s="4">
        <v>5.5090000000000003</v>
      </c>
      <c r="J119" s="4">
        <v>14.699</v>
      </c>
      <c r="K119" s="21">
        <v>1.83</v>
      </c>
      <c r="L119" s="4">
        <v>3.2810000000000001</v>
      </c>
      <c r="M119" s="24">
        <v>7.2910000000000004</v>
      </c>
      <c r="N119" s="4">
        <v>4.0439999999999996</v>
      </c>
      <c r="O119" s="131"/>
    </row>
    <row r="120" spans="2:15">
      <c r="B120">
        <v>3</v>
      </c>
      <c r="C120" s="4">
        <v>27.344999999999999</v>
      </c>
      <c r="D120" s="4">
        <v>27.93</v>
      </c>
      <c r="E120" s="4">
        <v>52.805999999999997</v>
      </c>
      <c r="F120" s="4">
        <v>15.602</v>
      </c>
      <c r="G120" s="4">
        <v>23.899000000000001</v>
      </c>
      <c r="H120" s="4">
        <v>24.24</v>
      </c>
      <c r="I120" s="4">
        <v>5.5190000000000001</v>
      </c>
      <c r="J120" s="4">
        <v>15.106999999999999</v>
      </c>
      <c r="K120" s="21">
        <v>1.8260000000000001</v>
      </c>
      <c r="L120" s="4">
        <v>3.2909999999999999</v>
      </c>
      <c r="M120" s="4">
        <v>7.2140000000000004</v>
      </c>
      <c r="N120" s="4">
        <v>3.9609999999999999</v>
      </c>
      <c r="O120" s="131"/>
    </row>
    <row r="121" spans="2:15">
      <c r="B121">
        <v>3</v>
      </c>
      <c r="C121" s="4">
        <v>26.786000000000001</v>
      </c>
      <c r="D121" s="4">
        <v>27.648</v>
      </c>
      <c r="E121" s="4">
        <v>52.100999999999999</v>
      </c>
      <c r="F121" s="4">
        <v>15.646000000000001</v>
      </c>
      <c r="G121" s="4">
        <v>23.863</v>
      </c>
      <c r="H121" s="4">
        <v>24.454999999999998</v>
      </c>
      <c r="I121" s="4">
        <v>5.6210000000000004</v>
      </c>
      <c r="J121" s="4">
        <v>14.827</v>
      </c>
      <c r="K121" s="21">
        <v>1.8260000000000001</v>
      </c>
      <c r="L121" s="4">
        <v>3.246</v>
      </c>
      <c r="M121" s="23">
        <v>7.21</v>
      </c>
      <c r="N121" s="4">
        <v>4.0419999999999998</v>
      </c>
      <c r="O121" s="131"/>
    </row>
    <row r="122" spans="2:15">
      <c r="B122">
        <v>4</v>
      </c>
      <c r="C122" s="4">
        <v>129.16</v>
      </c>
      <c r="D122" s="4">
        <v>29.908000000000001</v>
      </c>
      <c r="E122" s="4">
        <v>48.167999999999999</v>
      </c>
      <c r="F122" s="4">
        <v>17.888000000000002</v>
      </c>
      <c r="G122" s="4">
        <v>23.411000000000001</v>
      </c>
      <c r="H122" s="4">
        <v>23.052</v>
      </c>
      <c r="I122" s="4">
        <v>10.856999999999999</v>
      </c>
      <c r="J122" s="4">
        <v>16.579000000000001</v>
      </c>
      <c r="K122" s="21">
        <v>1.9670000000000001</v>
      </c>
      <c r="L122" s="4">
        <v>3.2360000000000002</v>
      </c>
      <c r="M122" s="7">
        <v>11.784000000000001</v>
      </c>
      <c r="N122" s="4">
        <v>4.593</v>
      </c>
      <c r="O122" s="131"/>
    </row>
    <row r="123" spans="2:15">
      <c r="B123">
        <v>4</v>
      </c>
      <c r="C123" s="4">
        <v>129.64599999999999</v>
      </c>
      <c r="D123" s="4">
        <v>29.666</v>
      </c>
      <c r="E123" s="4">
        <v>49.106999999999999</v>
      </c>
      <c r="F123" s="4">
        <v>17.652000000000001</v>
      </c>
      <c r="G123" s="4">
        <v>22.997</v>
      </c>
      <c r="H123" s="4">
        <v>23.376000000000001</v>
      </c>
      <c r="I123" s="4">
        <v>10.702</v>
      </c>
      <c r="J123" s="4">
        <v>16.606999999999999</v>
      </c>
      <c r="K123" s="21">
        <v>1.925</v>
      </c>
      <c r="L123" s="4">
        <v>3.278</v>
      </c>
      <c r="M123" s="7">
        <v>11.936999999999999</v>
      </c>
      <c r="N123" s="4">
        <v>4.5599999999999996</v>
      </c>
      <c r="O123" s="131"/>
    </row>
    <row r="124" spans="2:15">
      <c r="B124">
        <v>4</v>
      </c>
      <c r="C124" s="4">
        <v>129.92400000000001</v>
      </c>
      <c r="D124" s="4">
        <v>29.856999999999999</v>
      </c>
      <c r="E124" s="4">
        <v>49.402000000000001</v>
      </c>
      <c r="F124" s="4">
        <v>17.745999999999999</v>
      </c>
      <c r="G124" s="4">
        <v>22.989000000000001</v>
      </c>
      <c r="H124" s="4">
        <v>22.975999999999999</v>
      </c>
      <c r="I124" s="4">
        <v>10.731</v>
      </c>
      <c r="J124" s="4">
        <v>16.739000000000001</v>
      </c>
      <c r="K124" s="21">
        <v>1.9219999999999999</v>
      </c>
      <c r="L124" s="4">
        <v>3.26</v>
      </c>
      <c r="M124" s="7">
        <v>11.651</v>
      </c>
      <c r="N124" s="4">
        <v>4.5119999999999996</v>
      </c>
      <c r="O124" s="131"/>
    </row>
    <row r="125" spans="2:15">
      <c r="B125">
        <v>5</v>
      </c>
      <c r="C125" s="31">
        <v>0.98</v>
      </c>
      <c r="D125" s="4">
        <v>155.28</v>
      </c>
      <c r="E125" s="4">
        <v>27.716999999999999</v>
      </c>
      <c r="F125" s="4">
        <v>18.62</v>
      </c>
      <c r="G125" s="4">
        <v>57.649000000000001</v>
      </c>
      <c r="H125" s="4">
        <v>62.078000000000003</v>
      </c>
      <c r="I125" s="4">
        <v>12.212</v>
      </c>
      <c r="J125" s="4">
        <v>17.498000000000001</v>
      </c>
      <c r="K125" s="21">
        <v>4.0990000000000002</v>
      </c>
      <c r="L125" s="4">
        <v>2.7949999999999999</v>
      </c>
      <c r="M125" s="4">
        <v>11.731</v>
      </c>
      <c r="N125" s="4">
        <v>4.7489999999999997</v>
      </c>
      <c r="O125" s="131"/>
    </row>
    <row r="126" spans="2:15">
      <c r="B126">
        <v>5</v>
      </c>
      <c r="C126" s="4">
        <v>173.02199999999999</v>
      </c>
      <c r="D126" s="4">
        <v>161.584</v>
      </c>
      <c r="E126" s="4">
        <v>27.452000000000002</v>
      </c>
      <c r="F126" s="4">
        <v>18.468</v>
      </c>
      <c r="G126" s="4">
        <v>56.927</v>
      </c>
      <c r="H126" s="4">
        <v>62.512</v>
      </c>
      <c r="I126" s="4">
        <v>11.952999999999999</v>
      </c>
      <c r="J126" s="4">
        <v>17.323</v>
      </c>
      <c r="K126" s="21">
        <v>4.0209999999999999</v>
      </c>
      <c r="L126" s="4">
        <v>2.7890000000000001</v>
      </c>
      <c r="M126" s="4">
        <v>11.734999999999999</v>
      </c>
      <c r="N126" s="4">
        <v>4.8339999999999996</v>
      </c>
      <c r="O126" s="131"/>
    </row>
    <row r="127" spans="2:15">
      <c r="B127">
        <v>5</v>
      </c>
      <c r="C127" s="4">
        <v>171.8</v>
      </c>
      <c r="D127" s="4">
        <v>156.547</v>
      </c>
      <c r="E127" s="4">
        <v>27.286999999999999</v>
      </c>
      <c r="F127" s="4">
        <v>18.423999999999999</v>
      </c>
      <c r="G127" s="4">
        <v>56.566000000000003</v>
      </c>
      <c r="H127" s="4">
        <v>61.808999999999997</v>
      </c>
      <c r="I127" s="4">
        <v>12.157</v>
      </c>
      <c r="J127" s="4">
        <v>17.113</v>
      </c>
      <c r="K127" s="21">
        <v>4.1239999999999997</v>
      </c>
      <c r="L127" s="4">
        <v>2.76</v>
      </c>
      <c r="M127" s="4">
        <v>11.706</v>
      </c>
      <c r="N127" s="4">
        <v>4.7679999999999998</v>
      </c>
      <c r="O127" s="131"/>
    </row>
    <row r="128" spans="2:15">
      <c r="B128">
        <v>6</v>
      </c>
      <c r="C128" s="4">
        <v>171.68899999999999</v>
      </c>
      <c r="D128" s="4">
        <v>158.709</v>
      </c>
      <c r="E128" s="4">
        <v>41.683</v>
      </c>
      <c r="F128" s="4">
        <v>11.74</v>
      </c>
      <c r="G128" s="4">
        <v>59.097000000000001</v>
      </c>
      <c r="H128" s="4">
        <v>65.021000000000001</v>
      </c>
      <c r="I128" s="4">
        <v>13.47</v>
      </c>
      <c r="J128" s="4">
        <v>11.504</v>
      </c>
      <c r="K128" s="21">
        <v>4.3259999999999996</v>
      </c>
      <c r="L128" s="4">
        <v>2.4529999999999998</v>
      </c>
      <c r="M128" s="4">
        <v>13.808999999999999</v>
      </c>
      <c r="N128" s="4">
        <v>3.3460000000000001</v>
      </c>
      <c r="O128" s="131"/>
    </row>
    <row r="129" spans="2:15">
      <c r="B129">
        <v>6</v>
      </c>
      <c r="C129" s="4">
        <v>172.26</v>
      </c>
      <c r="D129" s="4">
        <v>161.06</v>
      </c>
      <c r="E129" s="4">
        <v>40.701000000000001</v>
      </c>
      <c r="F129" s="4">
        <v>11.618</v>
      </c>
      <c r="G129" s="4">
        <v>57.851999999999997</v>
      </c>
      <c r="H129" s="4">
        <v>64.774000000000001</v>
      </c>
      <c r="I129" s="4">
        <v>13.036</v>
      </c>
      <c r="J129" s="4">
        <v>11.46</v>
      </c>
      <c r="K129" s="21">
        <v>4.1379999999999999</v>
      </c>
      <c r="L129" s="4">
        <v>2.4380000000000002</v>
      </c>
      <c r="M129" s="4">
        <v>13.702</v>
      </c>
      <c r="N129" s="4">
        <v>3.3370000000000002</v>
      </c>
      <c r="O129" s="131"/>
    </row>
    <row r="130" spans="2:15">
      <c r="B130">
        <v>6</v>
      </c>
      <c r="C130" s="4">
        <v>170.70599999999999</v>
      </c>
      <c r="D130" s="4">
        <v>160.26300000000001</v>
      </c>
      <c r="E130" s="4">
        <v>41.03</v>
      </c>
      <c r="F130" s="4">
        <v>11.603999999999999</v>
      </c>
      <c r="G130" s="4">
        <v>58.055</v>
      </c>
      <c r="H130" s="4">
        <v>65.004999999999995</v>
      </c>
      <c r="I130" s="4">
        <v>12.987</v>
      </c>
      <c r="J130" s="4">
        <v>11.46</v>
      </c>
      <c r="K130" s="21">
        <v>4.1479999999999997</v>
      </c>
      <c r="L130" s="4">
        <v>2.4359999999999999</v>
      </c>
      <c r="M130" s="4">
        <v>13.324999999999999</v>
      </c>
      <c r="N130" s="4">
        <v>3.3559999999999999</v>
      </c>
      <c r="O130" s="131"/>
    </row>
    <row r="131" spans="2:15">
      <c r="B131">
        <v>7</v>
      </c>
      <c r="C131" s="4">
        <v>50.235999999999997</v>
      </c>
      <c r="D131" s="4">
        <v>135.52099999999999</v>
      </c>
      <c r="E131" s="4">
        <v>78.942999999999998</v>
      </c>
      <c r="F131" s="4">
        <v>13.246</v>
      </c>
      <c r="G131" s="4">
        <v>58.677999999999997</v>
      </c>
      <c r="H131" s="4">
        <v>63.771000000000001</v>
      </c>
      <c r="I131" s="4">
        <v>12.786</v>
      </c>
      <c r="J131" s="4">
        <v>12.167999999999999</v>
      </c>
      <c r="K131" s="21">
        <v>10.727</v>
      </c>
      <c r="L131" s="4">
        <v>2.4470000000000001</v>
      </c>
      <c r="M131" s="4">
        <v>11.502000000000001</v>
      </c>
      <c r="N131" s="4">
        <v>3.327</v>
      </c>
      <c r="O131" s="131"/>
    </row>
    <row r="132" spans="2:15">
      <c r="B132">
        <v>7</v>
      </c>
      <c r="C132" s="4">
        <v>50.351999999999997</v>
      </c>
      <c r="D132" s="4">
        <v>135.96</v>
      </c>
      <c r="E132" s="4">
        <v>79.787000000000006</v>
      </c>
      <c r="F132" s="4">
        <v>13.27</v>
      </c>
      <c r="G132" s="4">
        <v>59.112000000000002</v>
      </c>
      <c r="H132" s="4">
        <v>62.06</v>
      </c>
      <c r="I132" s="4">
        <v>12.651999999999999</v>
      </c>
      <c r="J132" s="4">
        <v>12.198</v>
      </c>
      <c r="K132" s="21">
        <v>10.576000000000001</v>
      </c>
      <c r="L132" s="4">
        <v>2.456</v>
      </c>
      <c r="M132" s="4">
        <v>11.46</v>
      </c>
      <c r="N132" s="4">
        <v>3.3119999999999998</v>
      </c>
      <c r="O132" s="131"/>
    </row>
    <row r="133" spans="2:15">
      <c r="B133">
        <v>7</v>
      </c>
      <c r="C133" s="4">
        <v>49.451000000000001</v>
      </c>
      <c r="D133" s="4">
        <v>138.083</v>
      </c>
      <c r="E133" s="4">
        <v>79.602999999999994</v>
      </c>
      <c r="F133" s="4">
        <v>13.287000000000001</v>
      </c>
      <c r="G133" s="4">
        <v>57.15</v>
      </c>
      <c r="H133" s="4">
        <v>60.832000000000001</v>
      </c>
      <c r="I133" s="4">
        <v>12.785</v>
      </c>
      <c r="J133" s="4">
        <v>12.141999999999999</v>
      </c>
      <c r="K133" s="21">
        <v>10.516999999999999</v>
      </c>
      <c r="L133" s="4">
        <v>2.46</v>
      </c>
      <c r="M133" s="4">
        <v>11.471</v>
      </c>
      <c r="N133" s="4">
        <v>3.31</v>
      </c>
      <c r="O133" s="131"/>
    </row>
    <row r="134" spans="2:15">
      <c r="B134">
        <v>8</v>
      </c>
      <c r="C134" s="6">
        <v>139.733</v>
      </c>
      <c r="D134" s="4">
        <v>127.59</v>
      </c>
      <c r="E134" s="4">
        <v>97.176000000000002</v>
      </c>
      <c r="F134" s="43"/>
      <c r="G134" s="4">
        <v>51.841999999999999</v>
      </c>
      <c r="H134" s="4">
        <v>52.088999999999999</v>
      </c>
      <c r="I134" s="4">
        <v>10.831</v>
      </c>
      <c r="J134" s="33"/>
      <c r="K134" s="21">
        <v>4.7590000000000003</v>
      </c>
      <c r="L134" s="4">
        <v>4.9539999999999997</v>
      </c>
      <c r="M134" s="4">
        <v>11.112</v>
      </c>
      <c r="N134" s="33"/>
      <c r="O134" s="131"/>
    </row>
    <row r="135" spans="2:15">
      <c r="B135">
        <v>8</v>
      </c>
      <c r="C135" s="6">
        <v>142.113</v>
      </c>
      <c r="D135" s="4">
        <v>131.10900000000001</v>
      </c>
      <c r="E135" s="4">
        <v>96.320999999999998</v>
      </c>
      <c r="F135" s="43"/>
      <c r="G135" s="4">
        <v>56.277000000000001</v>
      </c>
      <c r="H135" s="4">
        <v>51.616999999999997</v>
      </c>
      <c r="I135" s="4">
        <v>11.17</v>
      </c>
      <c r="J135" s="33"/>
      <c r="K135" s="21">
        <v>4.8730000000000002</v>
      </c>
      <c r="L135" s="4">
        <v>5.0309999999999997</v>
      </c>
      <c r="M135" s="4">
        <v>11.035</v>
      </c>
      <c r="N135" s="33"/>
      <c r="O135" s="131"/>
    </row>
    <row r="136" spans="2:15">
      <c r="B136">
        <v>8</v>
      </c>
      <c r="C136" s="6">
        <v>142.86799999999999</v>
      </c>
      <c r="D136" s="4">
        <v>130.26499999999999</v>
      </c>
      <c r="E136" s="4">
        <v>94.796999999999997</v>
      </c>
      <c r="F136" s="43"/>
      <c r="G136" s="4">
        <v>54.811</v>
      </c>
      <c r="H136" s="4">
        <v>50.57</v>
      </c>
      <c r="I136" s="4">
        <v>10.906000000000001</v>
      </c>
      <c r="J136" s="43"/>
      <c r="K136" s="21">
        <v>4.7720000000000002</v>
      </c>
      <c r="L136" s="4">
        <v>5.0880000000000001</v>
      </c>
      <c r="M136" s="4">
        <v>11.036</v>
      </c>
      <c r="N136" s="33"/>
      <c r="O136" s="131"/>
    </row>
    <row r="137" spans="2:15">
      <c r="B137">
        <v>12</v>
      </c>
      <c r="C137" s="6">
        <v>126.843</v>
      </c>
      <c r="D137" s="4">
        <v>117.358</v>
      </c>
      <c r="E137" s="4">
        <v>108.479</v>
      </c>
      <c r="F137" s="4">
        <v>16.545000000000002</v>
      </c>
      <c r="G137" s="4">
        <v>54.03</v>
      </c>
      <c r="H137" s="4">
        <v>50.649000000000001</v>
      </c>
      <c r="I137" s="4">
        <v>1.522</v>
      </c>
      <c r="J137" s="4">
        <v>14.381</v>
      </c>
      <c r="K137" s="21">
        <v>6.4560000000000004</v>
      </c>
      <c r="L137" s="4">
        <v>3.2789999999999999</v>
      </c>
      <c r="M137" s="4">
        <v>5.851</v>
      </c>
      <c r="N137" s="4">
        <v>3.9380000000000002</v>
      </c>
      <c r="O137" s="131"/>
    </row>
    <row r="138" spans="2:15">
      <c r="B138">
        <v>12</v>
      </c>
      <c r="C138" s="6">
        <v>128.01599999999999</v>
      </c>
      <c r="D138" s="4">
        <v>116.515</v>
      </c>
      <c r="E138" s="4">
        <v>107.38800000000001</v>
      </c>
      <c r="F138" s="4">
        <v>16.477</v>
      </c>
      <c r="G138" s="4">
        <v>54.212000000000003</v>
      </c>
      <c r="H138" s="4">
        <v>50.771999999999998</v>
      </c>
      <c r="I138" s="4">
        <v>1.516</v>
      </c>
      <c r="J138" s="4">
        <v>14.615</v>
      </c>
      <c r="K138" s="21">
        <v>6.3840000000000003</v>
      </c>
      <c r="L138" s="4">
        <v>3.3</v>
      </c>
      <c r="M138" s="4">
        <v>5.843</v>
      </c>
      <c r="N138" s="4">
        <v>3.8919999999999999</v>
      </c>
      <c r="O138" s="131"/>
    </row>
    <row r="139" spans="2:15">
      <c r="B139">
        <v>12</v>
      </c>
      <c r="C139" s="6">
        <v>128.29300000000001</v>
      </c>
      <c r="D139" s="4">
        <v>117.093</v>
      </c>
      <c r="E139" s="4">
        <v>108.946</v>
      </c>
      <c r="F139" s="4">
        <v>16.428999999999998</v>
      </c>
      <c r="G139" s="4">
        <v>53.777000000000001</v>
      </c>
      <c r="H139" s="4">
        <v>50.210999999999999</v>
      </c>
      <c r="I139" s="4">
        <v>1.494</v>
      </c>
      <c r="J139" s="4">
        <v>14.387</v>
      </c>
      <c r="K139" s="21">
        <v>8.5210000000000008</v>
      </c>
      <c r="L139" s="4">
        <v>3.2970000000000002</v>
      </c>
      <c r="M139" s="4">
        <v>5.8739999999999997</v>
      </c>
      <c r="N139" s="4">
        <v>3.891</v>
      </c>
      <c r="O139" s="131"/>
    </row>
    <row r="140" spans="2:15">
      <c r="B140">
        <v>18</v>
      </c>
      <c r="C140" s="6">
        <v>111.69499999999999</v>
      </c>
      <c r="D140" s="4">
        <v>114.063</v>
      </c>
      <c r="E140" s="4">
        <v>130.35499999999999</v>
      </c>
      <c r="F140" s="43"/>
      <c r="G140" s="4">
        <v>129.08500000000001</v>
      </c>
      <c r="H140" s="4">
        <v>33.399000000000001</v>
      </c>
      <c r="I140" s="4">
        <v>1.5109999999999999</v>
      </c>
      <c r="J140" s="43"/>
      <c r="K140" s="21">
        <v>15.06</v>
      </c>
      <c r="L140" s="4">
        <v>3.669</v>
      </c>
      <c r="M140" s="4">
        <v>6.0679999999999996</v>
      </c>
      <c r="N140" s="33"/>
      <c r="O140" s="131"/>
    </row>
    <row r="141" spans="2:15">
      <c r="B141">
        <v>18</v>
      </c>
      <c r="C141" s="6">
        <v>113.032</v>
      </c>
      <c r="D141" s="4">
        <v>109.846</v>
      </c>
      <c r="E141" s="4">
        <v>128.84299999999999</v>
      </c>
      <c r="F141" s="43"/>
      <c r="G141" s="4">
        <v>130.298</v>
      </c>
      <c r="H141" s="4">
        <v>33.341999999999999</v>
      </c>
      <c r="I141" s="4">
        <v>1.4910000000000001</v>
      </c>
      <c r="J141" s="43"/>
      <c r="K141" s="21">
        <v>14.907999999999999</v>
      </c>
      <c r="L141" s="4">
        <v>3.6949999999999998</v>
      </c>
      <c r="M141" s="4">
        <v>6.0789999999999997</v>
      </c>
      <c r="N141" s="33"/>
      <c r="O141" s="131"/>
    </row>
    <row r="142" spans="2:15">
      <c r="B142">
        <v>18</v>
      </c>
      <c r="C142" s="6">
        <v>113.581</v>
      </c>
      <c r="D142" s="4">
        <v>109.973</v>
      </c>
      <c r="E142" s="4">
        <v>127.96</v>
      </c>
      <c r="F142" s="43"/>
      <c r="G142" s="4">
        <v>129.77500000000001</v>
      </c>
      <c r="H142" s="4">
        <v>33.107999999999997</v>
      </c>
      <c r="I142" s="4">
        <v>1.4910000000000001</v>
      </c>
      <c r="J142" s="43"/>
      <c r="K142" s="21">
        <v>14.773999999999999</v>
      </c>
      <c r="L142" s="4">
        <v>3.673</v>
      </c>
      <c r="M142" s="4">
        <v>6.048</v>
      </c>
      <c r="N142" s="33"/>
      <c r="O142" s="131"/>
    </row>
    <row r="143" spans="2:15">
      <c r="B143">
        <v>24</v>
      </c>
      <c r="C143" s="6">
        <v>109.41</v>
      </c>
      <c r="D143" s="4">
        <v>106.38</v>
      </c>
      <c r="E143" s="4">
        <v>163.96899999999999</v>
      </c>
      <c r="F143" s="4">
        <v>106.29900000000001</v>
      </c>
      <c r="G143" s="4">
        <v>38.280999999999999</v>
      </c>
      <c r="H143" s="4">
        <v>32.707000000000001</v>
      </c>
      <c r="I143" s="4">
        <v>1.518</v>
      </c>
      <c r="J143" s="4">
        <v>38.155999999999999</v>
      </c>
      <c r="K143" s="21">
        <v>13.77</v>
      </c>
      <c r="L143" s="4">
        <v>3.528</v>
      </c>
      <c r="M143" s="4">
        <v>5.5890000000000004</v>
      </c>
      <c r="N143" s="4">
        <v>23.95</v>
      </c>
      <c r="O143" s="131"/>
    </row>
    <row r="144" spans="2:15">
      <c r="B144">
        <v>24</v>
      </c>
      <c r="C144" s="6">
        <v>112.414</v>
      </c>
      <c r="D144" s="4">
        <v>107.50700000000001</v>
      </c>
      <c r="E144" s="4">
        <v>162.25899999999999</v>
      </c>
      <c r="F144" s="4">
        <v>106.687</v>
      </c>
      <c r="G144" s="4">
        <v>38.295999999999999</v>
      </c>
      <c r="H144" s="4">
        <v>32.616</v>
      </c>
      <c r="I144" s="4">
        <v>1.508</v>
      </c>
      <c r="J144" s="4">
        <v>37.807000000000002</v>
      </c>
      <c r="K144" s="21">
        <v>11.287000000000001</v>
      </c>
      <c r="L144" s="4">
        <v>3.5510000000000002</v>
      </c>
      <c r="M144" s="4">
        <v>5.6040000000000001</v>
      </c>
      <c r="N144" s="4">
        <v>24.364000000000001</v>
      </c>
      <c r="O144" s="131"/>
    </row>
    <row r="145" spans="2:15">
      <c r="B145">
        <v>24</v>
      </c>
      <c r="C145" s="6">
        <v>112.093</v>
      </c>
      <c r="D145" s="4">
        <v>106.626</v>
      </c>
      <c r="E145" s="4">
        <v>160.74600000000001</v>
      </c>
      <c r="F145" s="4">
        <v>107.161</v>
      </c>
      <c r="G145" s="4">
        <v>38.112000000000002</v>
      </c>
      <c r="H145" s="4">
        <v>32.701999999999998</v>
      </c>
      <c r="I145" s="4">
        <v>1.5009999999999999</v>
      </c>
      <c r="J145" s="4">
        <v>36.213999999999999</v>
      </c>
      <c r="K145" s="21">
        <v>11.933</v>
      </c>
      <c r="L145" s="4">
        <v>3.532</v>
      </c>
      <c r="M145" s="4">
        <v>5.6159999999999997</v>
      </c>
      <c r="N145" s="4">
        <v>24.018999999999998</v>
      </c>
      <c r="O145" s="131"/>
    </row>
    <row r="146" spans="2:15">
      <c r="B146">
        <v>48</v>
      </c>
      <c r="C146" s="4">
        <v>3.629</v>
      </c>
      <c r="D146" s="4">
        <v>129.08500000000001</v>
      </c>
      <c r="E146" s="43"/>
      <c r="F146" s="44">
        <v>78.126000000000005</v>
      </c>
      <c r="G146" s="4">
        <v>15.938000000000001</v>
      </c>
      <c r="H146" s="4">
        <v>14.404999999999999</v>
      </c>
      <c r="I146" s="43"/>
      <c r="J146" s="4">
        <v>23.202000000000002</v>
      </c>
      <c r="K146" s="21">
        <v>2.8090000000000002</v>
      </c>
      <c r="L146" s="59"/>
      <c r="M146" s="43"/>
      <c r="N146" s="4">
        <v>12.625</v>
      </c>
      <c r="O146" s="131"/>
    </row>
    <row r="147" spans="2:15">
      <c r="B147">
        <v>48</v>
      </c>
      <c r="C147" s="4">
        <v>3.6070000000000002</v>
      </c>
      <c r="D147" s="4">
        <v>130.298</v>
      </c>
      <c r="E147" s="43"/>
      <c r="F147" s="44">
        <v>78.552999999999997</v>
      </c>
      <c r="G147" s="4">
        <v>16.027999999999999</v>
      </c>
      <c r="H147" s="4">
        <v>14.509</v>
      </c>
      <c r="I147" s="43"/>
      <c r="J147" s="4">
        <v>22.588999999999999</v>
      </c>
      <c r="K147" s="21">
        <v>2.7930000000000001</v>
      </c>
      <c r="L147" s="59"/>
      <c r="M147" s="43"/>
      <c r="N147" s="4">
        <v>12.361000000000001</v>
      </c>
      <c r="O147" s="131"/>
    </row>
    <row r="148" spans="2:15">
      <c r="B148">
        <v>48</v>
      </c>
      <c r="C148" s="4">
        <v>3.5150000000000001</v>
      </c>
      <c r="D148" s="4">
        <v>129.77500000000001</v>
      </c>
      <c r="E148" s="43"/>
      <c r="F148" s="44">
        <v>78.022000000000006</v>
      </c>
      <c r="G148" s="4">
        <v>16.041</v>
      </c>
      <c r="H148" s="4">
        <v>14.372</v>
      </c>
      <c r="I148" s="43"/>
      <c r="J148" s="4">
        <v>22.544</v>
      </c>
      <c r="K148" s="21">
        <v>2.8119999999999998</v>
      </c>
      <c r="L148" s="59"/>
      <c r="M148" s="43"/>
      <c r="N148" s="4">
        <v>12.263999999999999</v>
      </c>
      <c r="O148" s="131"/>
    </row>
  </sheetData>
  <mergeCells count="15">
    <mergeCell ref="C1:E2"/>
    <mergeCell ref="BC1:BD1"/>
    <mergeCell ref="BD30:BE30"/>
    <mergeCell ref="R3:U3"/>
    <mergeCell ref="V3:Y3"/>
    <mergeCell ref="Z3:AC3"/>
    <mergeCell ref="Q30:T30"/>
    <mergeCell ref="U30:X30"/>
    <mergeCell ref="Y30:AB30"/>
    <mergeCell ref="C77:F77"/>
    <mergeCell ref="G77:J77"/>
    <mergeCell ref="K77:N77"/>
    <mergeCell ref="C3:F3"/>
    <mergeCell ref="G3:J3"/>
    <mergeCell ref="K3:N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096A8-773D-404C-B633-9E975A6B55D7}">
  <dimension ref="A1:AK130"/>
  <sheetViews>
    <sheetView topLeftCell="A34" zoomScaleNormal="100" workbookViewId="0">
      <selection activeCell="B18" sqref="B18"/>
    </sheetView>
  </sheetViews>
  <sheetFormatPr baseColWidth="10" defaultRowHeight="15"/>
  <cols>
    <col min="2" max="2" width="23" customWidth="1"/>
    <col min="3" max="3" width="20.6640625" customWidth="1"/>
    <col min="4" max="4" width="21.5" customWidth="1"/>
    <col min="5" max="5" width="21" customWidth="1"/>
    <col min="6" max="6" width="19.83203125" customWidth="1"/>
    <col min="7" max="7" width="17.5" customWidth="1"/>
    <col min="8" max="8" width="18.5" customWidth="1"/>
    <col min="9" max="9" width="15.33203125" customWidth="1"/>
    <col min="10" max="10" width="16.83203125" customWidth="1"/>
  </cols>
  <sheetData>
    <row r="1" spans="2:33">
      <c r="B1" t="s">
        <v>211</v>
      </c>
    </row>
    <row r="2" spans="2:33" ht="15" customHeight="1">
      <c r="C2" s="127" t="s">
        <v>212</v>
      </c>
      <c r="D2" s="112" t="s">
        <v>213</v>
      </c>
      <c r="E2" s="112" t="s">
        <v>214</v>
      </c>
      <c r="F2" s="112" t="s">
        <v>215</v>
      </c>
      <c r="G2" s="113" t="s">
        <v>216</v>
      </c>
      <c r="H2" s="113" t="s">
        <v>217</v>
      </c>
      <c r="I2" s="113" t="s">
        <v>218</v>
      </c>
      <c r="J2" s="113" t="s">
        <v>219</v>
      </c>
      <c r="AG2" s="119"/>
    </row>
    <row r="3" spans="2:33" ht="16">
      <c r="B3">
        <v>1</v>
      </c>
      <c r="C3" s="111">
        <v>35.14</v>
      </c>
      <c r="D3">
        <v>507.2</v>
      </c>
      <c r="E3">
        <v>1562</v>
      </c>
      <c r="F3" s="111">
        <v>2213</v>
      </c>
      <c r="G3">
        <v>15.22</v>
      </c>
      <c r="H3">
        <v>65.62</v>
      </c>
      <c r="I3">
        <v>213.4</v>
      </c>
      <c r="J3" s="111">
        <v>395</v>
      </c>
    </row>
    <row r="4" spans="2:33" ht="16">
      <c r="B4">
        <v>2</v>
      </c>
      <c r="C4" s="111">
        <v>27.32</v>
      </c>
      <c r="D4">
        <v>500.2</v>
      </c>
      <c r="E4">
        <v>949.5</v>
      </c>
      <c r="F4" s="111">
        <v>1515</v>
      </c>
      <c r="G4">
        <v>55.63</v>
      </c>
      <c r="H4">
        <v>89.95</v>
      </c>
      <c r="I4">
        <v>132.5</v>
      </c>
      <c r="J4">
        <v>132.5</v>
      </c>
    </row>
    <row r="5" spans="2:33" ht="16">
      <c r="B5">
        <v>3</v>
      </c>
      <c r="C5" s="111">
        <v>212</v>
      </c>
      <c r="D5">
        <v>301.10000000000002</v>
      </c>
      <c r="E5">
        <v>319.2</v>
      </c>
      <c r="F5" s="111">
        <v>319.2</v>
      </c>
      <c r="G5">
        <v>53.83</v>
      </c>
      <c r="H5">
        <v>153.5</v>
      </c>
      <c r="I5">
        <v>224.3</v>
      </c>
      <c r="J5" s="111">
        <v>224.3</v>
      </c>
    </row>
    <row r="6" spans="2:33" ht="16">
      <c r="B6">
        <v>4</v>
      </c>
      <c r="C6" s="111">
        <v>520.4</v>
      </c>
      <c r="D6">
        <v>657.1</v>
      </c>
      <c r="E6">
        <v>968.2</v>
      </c>
      <c r="F6" s="111">
        <v>1690</v>
      </c>
      <c r="G6">
        <v>20.309999999999999</v>
      </c>
      <c r="H6">
        <v>58.44</v>
      </c>
      <c r="I6">
        <v>226.6</v>
      </c>
      <c r="J6" s="111">
        <v>664.9</v>
      </c>
    </row>
    <row r="8" spans="2:33">
      <c r="C8" s="136"/>
      <c r="D8" s="136"/>
      <c r="E8" s="136"/>
      <c r="F8" s="136"/>
    </row>
    <row r="9" spans="2:33" ht="16">
      <c r="C9" s="125" t="s">
        <v>236</v>
      </c>
      <c r="D9" s="126" t="s">
        <v>229</v>
      </c>
      <c r="E9" s="126" t="s">
        <v>230</v>
      </c>
      <c r="F9" s="125" t="s">
        <v>231</v>
      </c>
      <c r="G9" s="126" t="s">
        <v>236</v>
      </c>
      <c r="H9" s="126" t="s">
        <v>229</v>
      </c>
      <c r="I9" s="126" t="s">
        <v>230</v>
      </c>
      <c r="J9" s="125" t="s">
        <v>231</v>
      </c>
    </row>
    <row r="10" spans="2:33">
      <c r="B10" t="s">
        <v>220</v>
      </c>
      <c r="C10">
        <f>AVERAGE(C3:C6)</f>
        <v>198.71499999999997</v>
      </c>
      <c r="D10">
        <f t="shared" ref="D10:J10" si="0">AVERAGE(D3:D6)</f>
        <v>491.4</v>
      </c>
      <c r="E10">
        <f t="shared" si="0"/>
        <v>949.72499999999991</v>
      </c>
      <c r="F10">
        <f t="shared" si="0"/>
        <v>1434.3</v>
      </c>
      <c r="G10">
        <f t="shared" si="0"/>
        <v>36.247500000000002</v>
      </c>
      <c r="H10">
        <f t="shared" si="0"/>
        <v>91.877499999999998</v>
      </c>
      <c r="I10">
        <f>AVERAGE(I3:I6)</f>
        <v>199.20000000000002</v>
      </c>
      <c r="J10">
        <f t="shared" si="0"/>
        <v>354.17499999999995</v>
      </c>
    </row>
    <row r="11" spans="2:33">
      <c r="B11" t="s">
        <v>185</v>
      </c>
      <c r="C11">
        <f>STDEV(C3:C6)</f>
        <v>230.78905021685929</v>
      </c>
      <c r="D11">
        <f t="shared" ref="D11:J11" si="1">STDEV(D3:D6)</f>
        <v>146.05667849616938</v>
      </c>
      <c r="E11">
        <f t="shared" si="1"/>
        <v>507.53779087538584</v>
      </c>
      <c r="F11">
        <f t="shared" si="1"/>
        <v>800.35756176015923</v>
      </c>
      <c r="G11">
        <f t="shared" si="1"/>
        <v>21.455265670692583</v>
      </c>
      <c r="H11">
        <f>STDEV(H3:H6)</f>
        <v>43.237986674528095</v>
      </c>
      <c r="I11">
        <f t="shared" si="1"/>
        <v>44.837856029624447</v>
      </c>
      <c r="J11">
        <f t="shared" si="1"/>
        <v>233.96867845931868</v>
      </c>
    </row>
    <row r="14" spans="2:33">
      <c r="B14" t="s">
        <v>221</v>
      </c>
      <c r="C14" t="s">
        <v>236</v>
      </c>
      <c r="D14" t="s">
        <v>229</v>
      </c>
      <c r="E14" t="s">
        <v>230</v>
      </c>
      <c r="F14" t="s">
        <v>231</v>
      </c>
    </row>
    <row r="15" spans="2:33">
      <c r="B15" t="s">
        <v>239</v>
      </c>
      <c r="C15">
        <f>TTEST(C3:C6,G3:G6,2,2)</f>
        <v>0.21050527051571322</v>
      </c>
      <c r="D15">
        <f>TTEST(D3:D6,H3:H6,2,2)</f>
        <v>1.9276685797836447E-3</v>
      </c>
      <c r="E15">
        <f>TTEST(E3:E6,I3:I6,2,2)</f>
        <v>2.5744945934464813E-2</v>
      </c>
      <c r="F15">
        <f>TTEST(F3:F6,J3:J6,2,2)</f>
        <v>4.1174328506173787E-2</v>
      </c>
    </row>
    <row r="18" spans="2:14">
      <c r="B18" t="s">
        <v>222</v>
      </c>
    </row>
    <row r="19" spans="2:14" ht="16">
      <c r="C19" s="127" t="s">
        <v>212</v>
      </c>
      <c r="D19" s="112" t="s">
        <v>213</v>
      </c>
      <c r="E19" s="112" t="s">
        <v>214</v>
      </c>
      <c r="F19" s="112" t="s">
        <v>215</v>
      </c>
      <c r="G19" s="128" t="s">
        <v>216</v>
      </c>
      <c r="H19" s="113" t="s">
        <v>217</v>
      </c>
      <c r="I19" s="113" t="s">
        <v>218</v>
      </c>
      <c r="J19" s="113" t="s">
        <v>219</v>
      </c>
      <c r="K19" s="114" t="s">
        <v>223</v>
      </c>
      <c r="L19" s="114" t="s">
        <v>224</v>
      </c>
      <c r="M19" s="114" t="s">
        <v>225</v>
      </c>
      <c r="N19" s="114" t="s">
        <v>226</v>
      </c>
    </row>
    <row r="20" spans="2:14">
      <c r="B20">
        <v>1</v>
      </c>
      <c r="C20">
        <v>164.7</v>
      </c>
      <c r="D20">
        <v>1542</v>
      </c>
      <c r="E20">
        <v>3272</v>
      </c>
      <c r="F20">
        <v>5971</v>
      </c>
      <c r="G20">
        <v>4.7450000000000001</v>
      </c>
      <c r="H20">
        <v>14.54</v>
      </c>
      <c r="I20">
        <v>26.3</v>
      </c>
      <c r="J20">
        <v>49.82</v>
      </c>
      <c r="K20">
        <v>1470</v>
      </c>
      <c r="L20">
        <v>1480</v>
      </c>
      <c r="M20">
        <v>1492</v>
      </c>
      <c r="N20">
        <v>1515</v>
      </c>
    </row>
    <row r="21" spans="2:14">
      <c r="B21">
        <v>2</v>
      </c>
      <c r="C21">
        <v>22.71</v>
      </c>
      <c r="D21">
        <v>1904</v>
      </c>
      <c r="E21">
        <v>3830</v>
      </c>
      <c r="F21">
        <v>7038</v>
      </c>
      <c r="G21">
        <v>21.62</v>
      </c>
      <c r="H21">
        <v>86.53</v>
      </c>
      <c r="I21">
        <v>113.1</v>
      </c>
      <c r="J21">
        <v>113.1</v>
      </c>
      <c r="K21">
        <v>1237</v>
      </c>
      <c r="L21">
        <v>1247</v>
      </c>
      <c r="M21">
        <v>1259</v>
      </c>
      <c r="N21">
        <v>1282</v>
      </c>
    </row>
    <row r="22" spans="2:14">
      <c r="B22">
        <v>3</v>
      </c>
      <c r="C22">
        <v>314.5</v>
      </c>
      <c r="D22">
        <v>742.8</v>
      </c>
      <c r="E22">
        <v>1164</v>
      </c>
      <c r="F22">
        <v>1164</v>
      </c>
      <c r="G22">
        <v>33.880000000000003</v>
      </c>
      <c r="H22">
        <v>70.040000000000006</v>
      </c>
      <c r="I22">
        <v>85.91</v>
      </c>
      <c r="J22">
        <v>85.91</v>
      </c>
      <c r="K22">
        <v>15.83</v>
      </c>
      <c r="L22">
        <v>25.63</v>
      </c>
      <c r="M22">
        <v>31.51</v>
      </c>
      <c r="N22">
        <v>60.91</v>
      </c>
    </row>
    <row r="23" spans="2:14">
      <c r="B23">
        <v>4</v>
      </c>
      <c r="C23">
        <v>788.6</v>
      </c>
      <c r="D23">
        <v>1716</v>
      </c>
      <c r="E23">
        <v>6222</v>
      </c>
      <c r="F23">
        <v>20986</v>
      </c>
      <c r="G23">
        <v>25.07</v>
      </c>
      <c r="H23">
        <v>44.91</v>
      </c>
      <c r="I23">
        <v>196.7</v>
      </c>
      <c r="J23">
        <v>589.9</v>
      </c>
    </row>
    <row r="25" spans="2:14">
      <c r="B25" t="s">
        <v>220</v>
      </c>
      <c r="C25">
        <f>AVERAGE(C20:C23)</f>
        <v>322.6275</v>
      </c>
      <c r="D25">
        <f t="shared" ref="D25:N25" si="2">AVERAGE(D20:D23)</f>
        <v>1476.2</v>
      </c>
      <c r="E25">
        <f t="shared" si="2"/>
        <v>3622</v>
      </c>
      <c r="F25">
        <f t="shared" si="2"/>
        <v>8789.75</v>
      </c>
      <c r="G25">
        <f t="shared" si="2"/>
        <v>21.328749999999999</v>
      </c>
      <c r="H25">
        <f t="shared" si="2"/>
        <v>54.005000000000003</v>
      </c>
      <c r="I25">
        <f t="shared" si="2"/>
        <v>105.5025</v>
      </c>
      <c r="J25">
        <f t="shared" si="2"/>
        <v>209.6825</v>
      </c>
      <c r="K25">
        <f t="shared" si="2"/>
        <v>907.61</v>
      </c>
      <c r="L25">
        <f t="shared" si="2"/>
        <v>917.54333333333341</v>
      </c>
      <c r="M25">
        <f t="shared" si="2"/>
        <v>927.50333333333344</v>
      </c>
      <c r="N25">
        <f t="shared" si="2"/>
        <v>952.63666666666666</v>
      </c>
    </row>
    <row r="26" spans="2:14">
      <c r="B26" t="s">
        <v>185</v>
      </c>
      <c r="C26">
        <f>STDEV(C20:C23)</f>
        <v>332.71009857181474</v>
      </c>
      <c r="D26">
        <f t="shared" ref="D26:N26" si="3">STDEV(D20:D23)</f>
        <v>510.79091612909485</v>
      </c>
      <c r="E26">
        <f t="shared" si="3"/>
        <v>2079.0645332296285</v>
      </c>
      <c r="F26">
        <f t="shared" si="3"/>
        <v>8522.8038569084365</v>
      </c>
      <c r="G26">
        <f t="shared" si="3"/>
        <v>12.201590316430073</v>
      </c>
      <c r="H26">
        <f t="shared" si="3"/>
        <v>31.385782874841077</v>
      </c>
      <c r="I26">
        <f t="shared" si="3"/>
        <v>70.785139860001678</v>
      </c>
      <c r="J26">
        <f t="shared" si="3"/>
        <v>254.8000374640213</v>
      </c>
      <c r="K26">
        <f t="shared" si="3"/>
        <v>781.04156502711169</v>
      </c>
      <c r="L26">
        <f t="shared" si="3"/>
        <v>781.15574351939142</v>
      </c>
      <c r="M26">
        <f t="shared" si="3"/>
        <v>784.64978814330493</v>
      </c>
      <c r="N26">
        <f t="shared" si="3"/>
        <v>780.99589373653782</v>
      </c>
    </row>
    <row r="28" spans="2:14">
      <c r="B28" t="s">
        <v>221</v>
      </c>
      <c r="C28" t="s">
        <v>236</v>
      </c>
      <c r="D28" t="s">
        <v>229</v>
      </c>
      <c r="E28" t="s">
        <v>230</v>
      </c>
      <c r="F28" t="s">
        <v>231</v>
      </c>
    </row>
    <row r="29" spans="2:14">
      <c r="B29" t="s">
        <v>239</v>
      </c>
      <c r="C29">
        <f>TTEST(C20:C23,G20:G23,2,2)</f>
        <v>0.12028130180538071</v>
      </c>
      <c r="D29">
        <f t="shared" ref="D29:F29" si="4">TTEST(D20:D23,H20:H23,2,2)</f>
        <v>1.4352749570871845E-3</v>
      </c>
      <c r="E29">
        <f t="shared" si="4"/>
        <v>1.4842949079017053E-2</v>
      </c>
      <c r="F29">
        <f t="shared" si="4"/>
        <v>9.0834488354255588E-2</v>
      </c>
    </row>
    <row r="30" spans="2:14">
      <c r="B30" t="s">
        <v>238</v>
      </c>
      <c r="C30">
        <f>TTEST(C20:C23,K20:K23,2,2)</f>
        <v>0.22763841067114995</v>
      </c>
      <c r="D30">
        <f t="shared" ref="D30:F30" si="5">TTEST(D20:D23,L20:L23,2,2)</f>
        <v>0.30005309585013057</v>
      </c>
      <c r="E30">
        <f t="shared" si="5"/>
        <v>9.0494435123950612E-2</v>
      </c>
      <c r="F30">
        <f t="shared" si="5"/>
        <v>0.18183562331475298</v>
      </c>
    </row>
    <row r="31" spans="2:14">
      <c r="B31" t="s">
        <v>240</v>
      </c>
      <c r="C31">
        <f>TTEST(G20:G23,K20:K23,2,2)</f>
        <v>6.5665249088542668E-2</v>
      </c>
      <c r="D31">
        <f t="shared" ref="D31:F31" si="6">TTEST(H20:H23,L20:L23,2,2)</f>
        <v>7.1024820499252406E-2</v>
      </c>
      <c r="E31">
        <f t="shared" si="6"/>
        <v>8.3648114334067755E-2</v>
      </c>
      <c r="F31">
        <f t="shared" si="6"/>
        <v>0.12696793852116559</v>
      </c>
    </row>
    <row r="33" spans="1:22" ht="16" thickBot="1"/>
    <row r="34" spans="1:22" ht="17" thickBot="1">
      <c r="B34" s="115"/>
      <c r="C34" s="169" t="s">
        <v>227</v>
      </c>
      <c r="D34" s="169"/>
      <c r="E34" s="169"/>
      <c r="F34" s="169"/>
      <c r="G34" s="169"/>
      <c r="H34" s="169"/>
      <c r="I34" s="169"/>
      <c r="J34" s="173"/>
      <c r="K34" s="174" t="s">
        <v>228</v>
      </c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73"/>
    </row>
    <row r="35" spans="1:22" ht="16">
      <c r="B35" s="111"/>
      <c r="C35" s="170" t="s">
        <v>236</v>
      </c>
      <c r="D35" s="170"/>
      <c r="E35" s="170" t="s">
        <v>229</v>
      </c>
      <c r="F35" s="170"/>
      <c r="G35" s="170" t="s">
        <v>230</v>
      </c>
      <c r="H35" s="170"/>
      <c r="I35" s="136" t="s">
        <v>231</v>
      </c>
      <c r="J35" s="136"/>
      <c r="K35" s="170" t="s">
        <v>236</v>
      </c>
      <c r="L35" s="170"/>
      <c r="M35" s="170"/>
      <c r="N35" s="170" t="s">
        <v>229</v>
      </c>
      <c r="O35" s="170"/>
      <c r="P35" s="170"/>
      <c r="Q35" s="170" t="s">
        <v>230</v>
      </c>
      <c r="R35" s="170"/>
      <c r="S35" s="170"/>
      <c r="T35" s="136" t="s">
        <v>231</v>
      </c>
      <c r="U35" s="136"/>
      <c r="V35" s="136"/>
    </row>
    <row r="36" spans="1:22" ht="16">
      <c r="B36" s="111"/>
      <c r="C36" t="s">
        <v>232</v>
      </c>
      <c r="D36" t="s">
        <v>233</v>
      </c>
      <c r="E36" t="s">
        <v>232</v>
      </c>
      <c r="F36" t="s">
        <v>233</v>
      </c>
      <c r="G36" t="s">
        <v>232</v>
      </c>
      <c r="H36" t="s">
        <v>233</v>
      </c>
      <c r="I36" t="s">
        <v>232</v>
      </c>
      <c r="J36" t="s">
        <v>233</v>
      </c>
      <c r="K36" t="s">
        <v>232</v>
      </c>
      <c r="L36" t="s">
        <v>233</v>
      </c>
      <c r="M36" t="s">
        <v>197</v>
      </c>
      <c r="N36" t="s">
        <v>232</v>
      </c>
      <c r="O36" t="s">
        <v>233</v>
      </c>
      <c r="P36" t="s">
        <v>197</v>
      </c>
      <c r="Q36" t="s">
        <v>232</v>
      </c>
      <c r="R36" t="s">
        <v>233</v>
      </c>
      <c r="S36" t="s">
        <v>197</v>
      </c>
      <c r="T36" t="s">
        <v>232</v>
      </c>
      <c r="U36" t="s">
        <v>233</v>
      </c>
      <c r="V36" t="s">
        <v>197</v>
      </c>
    </row>
    <row r="37" spans="1:22" ht="16">
      <c r="B37" s="111" t="s">
        <v>234</v>
      </c>
      <c r="C37" s="111">
        <f>C10</f>
        <v>198.71499999999997</v>
      </c>
      <c r="D37" s="111">
        <f>G10</f>
        <v>36.247500000000002</v>
      </c>
      <c r="E37" s="111">
        <f>D10</f>
        <v>491.4</v>
      </c>
      <c r="F37" s="111">
        <f>H10</f>
        <v>91.877499999999998</v>
      </c>
      <c r="G37" s="111">
        <f>E10</f>
        <v>949.72499999999991</v>
      </c>
      <c r="H37" s="111">
        <f>I10</f>
        <v>199.20000000000002</v>
      </c>
      <c r="I37" s="111">
        <f>F10</f>
        <v>1434.3</v>
      </c>
      <c r="J37" s="111">
        <f>J10</f>
        <v>354.17499999999995</v>
      </c>
      <c r="K37" s="111">
        <f>C25</f>
        <v>322.6275</v>
      </c>
      <c r="L37" s="111">
        <f>G25</f>
        <v>21.328749999999999</v>
      </c>
      <c r="M37" s="111">
        <f>K25</f>
        <v>907.61</v>
      </c>
      <c r="N37" s="111">
        <f>D25</f>
        <v>1476.2</v>
      </c>
      <c r="O37" s="111">
        <f>H25</f>
        <v>54.005000000000003</v>
      </c>
      <c r="P37" s="111">
        <f>L25</f>
        <v>917.54333333333341</v>
      </c>
      <c r="Q37" s="111">
        <f>E25</f>
        <v>3622</v>
      </c>
      <c r="R37" s="111">
        <f>I25</f>
        <v>105.5025</v>
      </c>
      <c r="S37" s="111">
        <f>M25</f>
        <v>927.50333333333344</v>
      </c>
      <c r="T37" s="111">
        <f>F25</f>
        <v>8789.75</v>
      </c>
      <c r="U37" s="111">
        <f>J25</f>
        <v>209.6825</v>
      </c>
      <c r="V37" s="111">
        <f>N25</f>
        <v>952.63666666666666</v>
      </c>
    </row>
    <row r="38" spans="1:22" ht="16">
      <c r="B38" t="s">
        <v>235</v>
      </c>
      <c r="C38" s="111">
        <f>C11/SQRT(4)</f>
        <v>115.39452510842965</v>
      </c>
      <c r="D38" s="111">
        <f>G11/SQRT(4)</f>
        <v>10.727632835346292</v>
      </c>
      <c r="E38" s="111">
        <f>D11/SQRT(4)</f>
        <v>73.028339248084691</v>
      </c>
      <c r="F38" s="111">
        <f>H11/SQRT(4)</f>
        <v>21.618993337264047</v>
      </c>
      <c r="G38" s="111">
        <f>E11/SQRT(4)</f>
        <v>253.76889543769292</v>
      </c>
      <c r="H38" s="111">
        <f>I11/SQRT(4)</f>
        <v>22.418928014812224</v>
      </c>
      <c r="I38" s="111">
        <f>F11/SQRT(4)</f>
        <v>400.17878088007961</v>
      </c>
      <c r="J38" s="111">
        <f>J11/SQRT(4)</f>
        <v>116.98433922965934</v>
      </c>
      <c r="K38" s="111">
        <f>C26/SQRT(4)</f>
        <v>166.35504928590737</v>
      </c>
      <c r="L38" s="111">
        <f>G26/SQRT(4)</f>
        <v>6.1007951582150364</v>
      </c>
      <c r="M38" s="111">
        <f>K26/SQRT(3)</f>
        <v>450.93455781668956</v>
      </c>
      <c r="N38" s="111">
        <f>D26/SQRT(4)</f>
        <v>255.39545806454743</v>
      </c>
      <c r="O38" s="111">
        <f>H26/SQRT(4)</f>
        <v>15.692891437420538</v>
      </c>
      <c r="P38" s="111">
        <f>L26/SQRT(3)</f>
        <v>451.00047879994293</v>
      </c>
      <c r="Q38" s="111">
        <f>E26/SQRT(4)</f>
        <v>1039.5322666148143</v>
      </c>
      <c r="R38" s="111">
        <f>I26/SQRT(4)</f>
        <v>35.392569930000839</v>
      </c>
      <c r="S38" s="111">
        <f>M26/SQRT(3)</f>
        <v>453.01776640411998</v>
      </c>
      <c r="T38" s="111">
        <f>F26/SQRT(4)</f>
        <v>4261.4019284542183</v>
      </c>
      <c r="U38" s="111">
        <f>J26/SQRT(4)</f>
        <v>127.40001873201065</v>
      </c>
      <c r="V38" s="111">
        <f>N26/SQRT(3)</f>
        <v>450.9081894847825</v>
      </c>
    </row>
    <row r="41" spans="1:22">
      <c r="A41" s="78" t="s">
        <v>237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</row>
    <row r="42" spans="1:22" ht="16">
      <c r="C42" s="112" t="s">
        <v>212</v>
      </c>
      <c r="D42" s="112" t="s">
        <v>213</v>
      </c>
      <c r="E42" s="112" t="s">
        <v>214</v>
      </c>
      <c r="F42" s="112" t="s">
        <v>215</v>
      </c>
      <c r="G42" s="113" t="s">
        <v>216</v>
      </c>
      <c r="H42" s="113" t="s">
        <v>217</v>
      </c>
      <c r="I42" s="113" t="s">
        <v>218</v>
      </c>
      <c r="J42" s="113" t="s">
        <v>219</v>
      </c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</row>
    <row r="43" spans="1:22" ht="16">
      <c r="B43">
        <v>1</v>
      </c>
      <c r="C43" s="111">
        <f>LOG10(35.14)</f>
        <v>1.5458017571592761</v>
      </c>
      <c r="D43">
        <f>LOG10(507.2)</f>
        <v>2.7051792448736762</v>
      </c>
      <c r="E43">
        <f>LOG10(1562)</f>
        <v>3.1936810295412816</v>
      </c>
      <c r="F43" s="111">
        <f>LOG10(2213)</f>
        <v>3.344981413927258</v>
      </c>
      <c r="G43">
        <f>LOG10(15.22)</f>
        <v>1.182414652434554</v>
      </c>
      <c r="H43">
        <f>LOG10(65.62)</f>
        <v>1.817036226050029</v>
      </c>
      <c r="I43">
        <f>LOG10(213.4)</f>
        <v>2.3291944150884509</v>
      </c>
      <c r="J43" s="111">
        <f>LOG10(395)</f>
        <v>2.5965970956264601</v>
      </c>
      <c r="K43" s="171"/>
      <c r="L43" s="171"/>
      <c r="M43" s="171"/>
      <c r="N43" s="171"/>
      <c r="O43" s="171"/>
      <c r="P43" s="171"/>
      <c r="Q43" s="171"/>
      <c r="R43" s="171"/>
      <c r="S43" s="171"/>
      <c r="T43" s="172"/>
      <c r="U43" s="172"/>
      <c r="V43" s="172"/>
    </row>
    <row r="44" spans="1:22" ht="16">
      <c r="B44">
        <v>2</v>
      </c>
      <c r="C44" s="111">
        <f>LOG10(27.32)</f>
        <v>1.436480695009495</v>
      </c>
      <c r="D44">
        <f>LOG10(500.2)</f>
        <v>2.6991436873944838</v>
      </c>
      <c r="E44">
        <f>LOG10(949.5)</f>
        <v>2.9774949690730361</v>
      </c>
      <c r="F44" s="111">
        <f>LOG10(1515)</f>
        <v>3.180412632838324</v>
      </c>
      <c r="G44">
        <f>LOG10(55.63)</f>
        <v>1.7453090599408281</v>
      </c>
      <c r="H44">
        <f>LOG10(89.95)</f>
        <v>1.9540011676815703</v>
      </c>
      <c r="I44">
        <f>LOG10(132.5)</f>
        <v>2.1222158782728267</v>
      </c>
      <c r="J44">
        <f>LOG10(132.5)</f>
        <v>2.1222158782728267</v>
      </c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ht="16">
      <c r="B45">
        <v>3</v>
      </c>
      <c r="C45" s="111">
        <f>LOG10(212)</f>
        <v>2.3263358609287512</v>
      </c>
      <c r="D45">
        <f>LOG10(301.1)</f>
        <v>2.4787107555127594</v>
      </c>
      <c r="E45">
        <f>LOG10(319.2)</f>
        <v>2.5040628826786917</v>
      </c>
      <c r="F45" s="111">
        <f>LOG10(319.2)</f>
        <v>2.5040628826786917</v>
      </c>
      <c r="G45">
        <f>LOG10(53.83)</f>
        <v>1.7310243798156879</v>
      </c>
      <c r="H45">
        <f>LOG10(153.5)</f>
        <v>2.1861083798132053</v>
      </c>
      <c r="I45">
        <f>LOG10(224.3)</f>
        <v>2.3508292735829679</v>
      </c>
      <c r="J45" s="111">
        <f>LOG10(224.3)</f>
        <v>2.3508292735829679</v>
      </c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</row>
    <row r="46" spans="1:22" ht="16">
      <c r="B46">
        <v>4</v>
      </c>
      <c r="C46" s="111">
        <f>LOG10(520.4)</f>
        <v>2.7163372878895484</v>
      </c>
      <c r="D46">
        <f>LOG10(657.1)</f>
        <v>2.8176314671905152</v>
      </c>
      <c r="E46">
        <f>LOG10(968.2)</f>
        <v>2.9859650783048708</v>
      </c>
      <c r="F46" s="111">
        <f>LOG10(1690)</f>
        <v>3.2278867046136734</v>
      </c>
      <c r="G46">
        <f>LOG10(20.31)</f>
        <v>1.3077099234048066</v>
      </c>
      <c r="H46">
        <f>LOG10(58.44)</f>
        <v>1.7667102072622591</v>
      </c>
      <c r="I46">
        <f>LOG10(226.6)</f>
        <v>2.3552599055273786</v>
      </c>
      <c r="J46" s="111">
        <f>LOG10(664.9)</f>
        <v>2.8227563329513905</v>
      </c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</row>
    <row r="49" spans="2:14" ht="16">
      <c r="C49" s="125" t="s">
        <v>236</v>
      </c>
      <c r="D49" s="126" t="s">
        <v>229</v>
      </c>
      <c r="E49" s="126" t="s">
        <v>230</v>
      </c>
      <c r="F49" s="125" t="s">
        <v>231</v>
      </c>
      <c r="G49" s="126" t="s">
        <v>236</v>
      </c>
      <c r="H49" s="126" t="s">
        <v>229</v>
      </c>
      <c r="I49" s="126" t="s">
        <v>230</v>
      </c>
      <c r="J49" s="125" t="s">
        <v>231</v>
      </c>
    </row>
    <row r="50" spans="2:14">
      <c r="B50" t="s">
        <v>220</v>
      </c>
      <c r="C50">
        <f>AVERAGE(C43:C46)</f>
        <v>2.0062389002467675</v>
      </c>
      <c r="D50">
        <f t="shared" ref="D50:H50" si="7">AVERAGE(D43:D46)</f>
        <v>2.6751662887428589</v>
      </c>
      <c r="E50">
        <f t="shared" si="7"/>
        <v>2.9153009898994702</v>
      </c>
      <c r="F50">
        <f t="shared" si="7"/>
        <v>3.064335908514487</v>
      </c>
      <c r="G50">
        <f t="shared" si="7"/>
        <v>1.4916145038989692</v>
      </c>
      <c r="H50">
        <f t="shared" si="7"/>
        <v>1.9309639952017656</v>
      </c>
      <c r="I50">
        <f>AVERAGE(I43:I46)</f>
        <v>2.289374868117906</v>
      </c>
      <c r="J50">
        <f t="shared" ref="J50" si="8">AVERAGE(J43:J46)</f>
        <v>2.4730996451084111</v>
      </c>
    </row>
    <row r="51" spans="2:14">
      <c r="B51" t="s">
        <v>185</v>
      </c>
      <c r="C51">
        <f>STDEV(C43:C46)</f>
        <v>0.61734068377746731</v>
      </c>
      <c r="D51">
        <f t="shared" ref="D51:G51" si="9">STDEV(D43:D46)</f>
        <v>0.141852971756739</v>
      </c>
      <c r="E51">
        <f t="shared" si="9"/>
        <v>0.29181828348997901</v>
      </c>
      <c r="F51">
        <f t="shared" si="9"/>
        <v>0.379864200305852</v>
      </c>
      <c r="G51">
        <f t="shared" si="9"/>
        <v>0.28931151568513197</v>
      </c>
      <c r="H51">
        <f>STDEV(H43:H46)</f>
        <v>0.18760615817094264</v>
      </c>
      <c r="I51">
        <f t="shared" ref="I51:J51" si="10">STDEV(I43:I46)</f>
        <v>0.11201965052685862</v>
      </c>
      <c r="J51">
        <f t="shared" si="10"/>
        <v>0.30308463131578878</v>
      </c>
    </row>
    <row r="54" spans="2:14">
      <c r="B54" t="s">
        <v>221</v>
      </c>
      <c r="C54" t="s">
        <v>236</v>
      </c>
      <c r="D54" t="s">
        <v>229</v>
      </c>
      <c r="E54" t="s">
        <v>230</v>
      </c>
      <c r="F54" t="s">
        <v>231</v>
      </c>
    </row>
    <row r="55" spans="2:14">
      <c r="B55" t="s">
        <v>239</v>
      </c>
      <c r="C55">
        <f>TTEST(C43:C46,G43:G46,2,2)</f>
        <v>0.18186713123013123</v>
      </c>
      <c r="D55" s="120">
        <f>TTEST(D43:D46,H43:H46,2,2)</f>
        <v>7.2802767199892614E-4</v>
      </c>
      <c r="E55" s="120">
        <f>TTEST(E43:E46,I43:I46,2,2)</f>
        <v>7.0793605078240977E-3</v>
      </c>
      <c r="F55">
        <f>TTEST(F43:F46,J43:J46,2,2)</f>
        <v>5.0935380323593397E-2</v>
      </c>
    </row>
    <row r="58" spans="2:14">
      <c r="B58" t="s">
        <v>222</v>
      </c>
    </row>
    <row r="59" spans="2:14" ht="16">
      <c r="C59" s="127" t="s">
        <v>212</v>
      </c>
      <c r="D59" s="112" t="s">
        <v>213</v>
      </c>
      <c r="E59" s="112" t="s">
        <v>214</v>
      </c>
      <c r="F59" s="112" t="s">
        <v>215</v>
      </c>
      <c r="G59" s="128" t="s">
        <v>216</v>
      </c>
      <c r="H59" s="113" t="s">
        <v>217</v>
      </c>
      <c r="I59" s="113" t="s">
        <v>218</v>
      </c>
      <c r="J59" s="113" t="s">
        <v>219</v>
      </c>
      <c r="K59" s="114" t="s">
        <v>223</v>
      </c>
      <c r="L59" s="114" t="s">
        <v>224</v>
      </c>
      <c r="M59" s="114" t="s">
        <v>225</v>
      </c>
      <c r="N59" s="114" t="s">
        <v>226</v>
      </c>
    </row>
    <row r="60" spans="2:14">
      <c r="B60">
        <v>1</v>
      </c>
      <c r="C60">
        <f>LOG10(164.7)</f>
        <v>2.2166935991697545</v>
      </c>
      <c r="D60">
        <f>LOG10(1542)</f>
        <v>3.188084373714938</v>
      </c>
      <c r="E60">
        <f>LOG10(3272)</f>
        <v>3.5148132949992852</v>
      </c>
      <c r="F60">
        <f>LOG10(5971)</f>
        <v>3.7760470711817797</v>
      </c>
      <c r="G60">
        <f>LOG10(4.745)</f>
        <v>0.67623621676331147</v>
      </c>
      <c r="H60">
        <f>LOG10(14.54)</f>
        <v>1.162564406523019</v>
      </c>
      <c r="I60">
        <f>LOG10(26.3)</f>
        <v>1.4199557484897578</v>
      </c>
      <c r="J60">
        <f>LOG10(49.82)</f>
        <v>1.6974037232004877</v>
      </c>
      <c r="K60">
        <f>LOG10(1470)</f>
        <v>3.167317334748176</v>
      </c>
      <c r="L60">
        <f>LOG10(1480)</f>
        <v>3.1702617153949575</v>
      </c>
      <c r="M60">
        <f>LOG10(1492)</f>
        <v>3.1737688231366499</v>
      </c>
      <c r="N60">
        <f>LOG10(1515)</f>
        <v>3.180412632838324</v>
      </c>
    </row>
    <row r="61" spans="2:14">
      <c r="B61">
        <v>2</v>
      </c>
      <c r="C61">
        <f>LOG10(22.71)</f>
        <v>1.3562171342197351</v>
      </c>
      <c r="D61">
        <f>LOG10(1904)</f>
        <v>3.2796669440484556</v>
      </c>
      <c r="E61">
        <f>LOG10(3830)</f>
        <v>3.5831987739686229</v>
      </c>
      <c r="F61">
        <f>LOG10(7038)</f>
        <v>3.8474492624991727</v>
      </c>
      <c r="G61">
        <f>LOG10(21.62)</f>
        <v>1.3348556896172916</v>
      </c>
      <c r="H61">
        <f>LOG10(86.53)</f>
        <v>1.9371667037150326</v>
      </c>
      <c r="I61">
        <f>LOG10(113.1)</f>
        <v>2.0534626049254552</v>
      </c>
      <c r="J61">
        <f>LOG10(113.1)</f>
        <v>2.0534626049254552</v>
      </c>
      <c r="K61">
        <f>LOG10(1237)</f>
        <v>3.0923696996291206</v>
      </c>
      <c r="L61">
        <f>LOG10(1247)</f>
        <v>3.0958664534785427</v>
      </c>
      <c r="M61">
        <f>LOG10(1259)</f>
        <v>3.1000257301078626</v>
      </c>
      <c r="N61">
        <f>LOG10(1282)</f>
        <v>3.1078880251827985</v>
      </c>
    </row>
    <row r="62" spans="2:14">
      <c r="B62">
        <v>3</v>
      </c>
      <c r="C62">
        <f>LOG10(314.5)</f>
        <v>2.4976206497812878</v>
      </c>
      <c r="D62">
        <f>LOG10(742.8)</f>
        <v>2.8708718950677428</v>
      </c>
      <c r="E62">
        <f>LOG10(1164)</f>
        <v>3.0659529803138699</v>
      </c>
      <c r="F62">
        <f>LOG10(1164)</f>
        <v>3.0659529803138699</v>
      </c>
      <c r="G62">
        <f>LOG10(33.88)</f>
        <v>1.5299434016586693</v>
      </c>
      <c r="H62">
        <f>LOG10(70.04)</f>
        <v>1.8453461374114086</v>
      </c>
      <c r="I62">
        <f>LOG10(85.91)</f>
        <v>1.9340437190355253</v>
      </c>
      <c r="J62">
        <f>LOG10(85.91)</f>
        <v>1.9340437190355253</v>
      </c>
      <c r="K62">
        <f>LOG10(15.83)</f>
        <v>1.199480914862356</v>
      </c>
      <c r="L62">
        <f>LOG10(25.63)</f>
        <v>1.408748606184244</v>
      </c>
      <c r="M62">
        <f>LOG10(31.51)</f>
        <v>1.4984484031739997</v>
      </c>
      <c r="N62">
        <f>LOG10(60.91)</f>
        <v>1.7846885995014212</v>
      </c>
    </row>
    <row r="63" spans="2:14">
      <c r="B63">
        <v>4</v>
      </c>
      <c r="C63">
        <f>LOG10(788.6)</f>
        <v>2.8968567727372045</v>
      </c>
      <c r="D63">
        <f>LOG10(1716)</f>
        <v>3.2345172835126865</v>
      </c>
      <c r="E63">
        <f>LOG10(6222)</f>
        <v>3.7939300067726847</v>
      </c>
      <c r="F63">
        <f>LOG10(20986)</f>
        <v>4.3219296685265176</v>
      </c>
      <c r="G63">
        <f>LOG10(25.07)</f>
        <v>1.3991543339582164</v>
      </c>
      <c r="H63">
        <f>LOG10(44.91)</f>
        <v>1.6523430550627147</v>
      </c>
      <c r="I63">
        <f>LOG10(196.7)</f>
        <v>2.2938043599193367</v>
      </c>
      <c r="J63">
        <f>LOG10(589.9)</f>
        <v>2.7707783961691477</v>
      </c>
    </row>
    <row r="65" spans="2:37">
      <c r="B65" t="s">
        <v>220</v>
      </c>
      <c r="C65">
        <f>AVERAGE(C60:C63)</f>
        <v>2.2418470389769958</v>
      </c>
      <c r="D65">
        <f t="shared" ref="D65:N65" si="11">AVERAGE(D60:D63)</f>
        <v>3.1432851240859563</v>
      </c>
      <c r="E65">
        <f t="shared" si="11"/>
        <v>3.4894737640136158</v>
      </c>
      <c r="F65">
        <f t="shared" si="11"/>
        <v>3.7528447456303349</v>
      </c>
      <c r="G65">
        <f t="shared" si="11"/>
        <v>1.2350474104993721</v>
      </c>
      <c r="H65">
        <f t="shared" si="11"/>
        <v>1.6493550756780437</v>
      </c>
      <c r="I65">
        <f t="shared" si="11"/>
        <v>1.9253166080925188</v>
      </c>
      <c r="J65">
        <f t="shared" si="11"/>
        <v>2.1139221108326538</v>
      </c>
      <c r="K65">
        <f t="shared" si="11"/>
        <v>2.4863893164132178</v>
      </c>
      <c r="L65">
        <f t="shared" si="11"/>
        <v>2.5582922583525813</v>
      </c>
      <c r="M65">
        <f t="shared" si="11"/>
        <v>2.5907476521395041</v>
      </c>
      <c r="N65">
        <f t="shared" si="11"/>
        <v>2.6909964191741813</v>
      </c>
    </row>
    <row r="66" spans="2:37">
      <c r="B66" t="s">
        <v>185</v>
      </c>
      <c r="C66">
        <f>STDEV(C60:C63)</f>
        <v>0.6530520436226015</v>
      </c>
      <c r="D66">
        <f t="shared" ref="D66:N66" si="12">STDEV(D60:D63)</f>
        <v>0.18541776959198325</v>
      </c>
      <c r="E66">
        <f t="shared" si="12"/>
        <v>0.30631678988821137</v>
      </c>
      <c r="F66">
        <f t="shared" si="12"/>
        <v>0.51806251529144731</v>
      </c>
      <c r="G66">
        <f t="shared" si="12"/>
        <v>0.38128133565393862</v>
      </c>
      <c r="H66">
        <f t="shared" si="12"/>
        <v>0.34555371657185857</v>
      </c>
      <c r="I66">
        <f t="shared" si="12"/>
        <v>0.3686327805257974</v>
      </c>
      <c r="J66">
        <f t="shared" si="12"/>
        <v>0.46222625574921755</v>
      </c>
      <c r="K66">
        <f t="shared" si="12"/>
        <v>1.1151252003650218</v>
      </c>
      <c r="L66">
        <f t="shared" si="12"/>
        <v>0.9962286986075497</v>
      </c>
      <c r="M66">
        <f t="shared" si="12"/>
        <v>0.94667721421312212</v>
      </c>
      <c r="N66">
        <f t="shared" si="12"/>
        <v>0.78572282178825126</v>
      </c>
    </row>
    <row r="68" spans="2:37">
      <c r="B68" t="s">
        <v>221</v>
      </c>
      <c r="C68" t="s">
        <v>236</v>
      </c>
      <c r="D68" t="s">
        <v>229</v>
      </c>
      <c r="E68" t="s">
        <v>230</v>
      </c>
      <c r="F68" t="s">
        <v>231</v>
      </c>
    </row>
    <row r="69" spans="2:37">
      <c r="B69" t="s">
        <v>239</v>
      </c>
      <c r="C69" s="120">
        <f>TTEST(C60:C63,G60:G63,2,2)</f>
        <v>3.7386319997700819E-2</v>
      </c>
      <c r="D69" s="120">
        <f t="shared" ref="D69" si="13">TTEST(D60:D63,H60:H63,2,2)</f>
        <v>2.6645927272891923E-4</v>
      </c>
      <c r="E69" s="120">
        <f t="shared" ref="E69" si="14">TTEST(E60:E63,I60:I63,2,2)</f>
        <v>6.1740812702194945E-4</v>
      </c>
      <c r="F69" s="120">
        <f t="shared" ref="F69" si="15">TTEST(F60:F63,J60:J63,2,2)</f>
        <v>3.2542026425607514E-3</v>
      </c>
    </row>
    <row r="70" spans="2:37">
      <c r="B70" t="s">
        <v>238</v>
      </c>
      <c r="C70">
        <f>TTEST(C60:C63,K60:K63,2,2)</f>
        <v>0.72730410889541108</v>
      </c>
      <c r="D70">
        <f t="shared" ref="D70" si="16">TTEST(D60:D63,L60:L63,2,2)</f>
        <v>0.28918185855600359</v>
      </c>
      <c r="E70">
        <f t="shared" ref="E70" si="17">TTEST(E60:E63,M60:M63,2,2)</f>
        <v>0.12724198917531404</v>
      </c>
      <c r="F70">
        <f t="shared" ref="F70" si="18">TTEST(F60:F63,N60:N63,2,2)</f>
        <v>8.1457842878564779E-2</v>
      </c>
    </row>
    <row r="71" spans="2:37">
      <c r="B71" t="s">
        <v>240</v>
      </c>
      <c r="C71">
        <f>TTEST(G60:G63,K60:K63,2,2)</f>
        <v>8.5017483364727697E-2</v>
      </c>
      <c r="D71">
        <f t="shared" ref="D71" si="19">TTEST(H60:H63,L60:L63,2,2)</f>
        <v>0.14263195839510295</v>
      </c>
      <c r="E71">
        <f t="shared" ref="E71" si="20">TTEST(I60:I63,M60:M63,2,2)</f>
        <v>0.24607254460852149</v>
      </c>
      <c r="F71">
        <f t="shared" ref="F71" si="21">TTEST(J60:J63,N60:N63,2,2)</f>
        <v>0.27217049097005713</v>
      </c>
    </row>
    <row r="73" spans="2:37" ht="16" thickBot="1"/>
    <row r="74" spans="2:37" ht="17" thickBot="1">
      <c r="B74" s="115"/>
      <c r="C74" s="169" t="s">
        <v>227</v>
      </c>
      <c r="D74" s="169"/>
      <c r="E74" s="169"/>
      <c r="F74" s="169"/>
      <c r="G74" s="169"/>
      <c r="H74" s="169"/>
      <c r="I74" s="169"/>
      <c r="J74" s="169"/>
      <c r="K74" s="169" t="s">
        <v>228</v>
      </c>
      <c r="L74" s="169"/>
      <c r="M74" s="169"/>
      <c r="N74" s="169"/>
      <c r="O74" s="169"/>
      <c r="P74" s="169"/>
      <c r="Q74" s="169"/>
      <c r="R74" s="169"/>
      <c r="S74" s="169"/>
      <c r="T74" s="169"/>
      <c r="U74" s="169"/>
      <c r="V74" s="169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</row>
    <row r="75" spans="2:37" ht="16">
      <c r="B75" s="111"/>
      <c r="C75" s="170" t="s">
        <v>236</v>
      </c>
      <c r="D75" s="170"/>
      <c r="E75" s="170" t="s">
        <v>229</v>
      </c>
      <c r="F75" s="170"/>
      <c r="G75" s="170" t="s">
        <v>230</v>
      </c>
      <c r="H75" s="170"/>
      <c r="I75" s="136" t="s">
        <v>231</v>
      </c>
      <c r="J75" s="136"/>
      <c r="K75" s="170" t="s">
        <v>236</v>
      </c>
      <c r="L75" s="170"/>
      <c r="M75" s="170"/>
      <c r="N75" s="170" t="s">
        <v>229</v>
      </c>
      <c r="O75" s="170"/>
      <c r="P75" s="170"/>
      <c r="Q75" s="170" t="s">
        <v>230</v>
      </c>
      <c r="R75" s="170"/>
      <c r="S75" s="170"/>
      <c r="T75" s="136" t="s">
        <v>231</v>
      </c>
      <c r="U75" s="136"/>
      <c r="V75" s="136"/>
    </row>
    <row r="76" spans="2:37" ht="16">
      <c r="B76" s="111"/>
      <c r="C76" t="s">
        <v>232</v>
      </c>
      <c r="D76" t="s">
        <v>233</v>
      </c>
      <c r="E76" t="s">
        <v>232</v>
      </c>
      <c r="F76" t="s">
        <v>233</v>
      </c>
      <c r="G76" t="s">
        <v>232</v>
      </c>
      <c r="H76" t="s">
        <v>233</v>
      </c>
      <c r="I76" t="s">
        <v>232</v>
      </c>
      <c r="J76" t="s">
        <v>233</v>
      </c>
      <c r="K76" t="s">
        <v>232</v>
      </c>
      <c r="L76" t="s">
        <v>233</v>
      </c>
      <c r="M76" t="s">
        <v>197</v>
      </c>
      <c r="N76" t="s">
        <v>232</v>
      </c>
      <c r="O76" t="s">
        <v>233</v>
      </c>
      <c r="P76" t="s">
        <v>197</v>
      </c>
      <c r="Q76" t="s">
        <v>232</v>
      </c>
      <c r="R76" t="s">
        <v>233</v>
      </c>
      <c r="S76" t="s">
        <v>197</v>
      </c>
      <c r="T76" t="s">
        <v>232</v>
      </c>
      <c r="U76" t="s">
        <v>233</v>
      </c>
      <c r="V76" t="s">
        <v>197</v>
      </c>
    </row>
    <row r="77" spans="2:37" ht="16">
      <c r="B77" s="111" t="s">
        <v>234</v>
      </c>
      <c r="C77" s="111">
        <f>C50</f>
        <v>2.0062389002467675</v>
      </c>
      <c r="D77" s="111">
        <f>G50</f>
        <v>1.4916145038989692</v>
      </c>
      <c r="E77" s="111">
        <f>D50</f>
        <v>2.6751662887428589</v>
      </c>
      <c r="F77" s="111">
        <f>H50</f>
        <v>1.9309639952017656</v>
      </c>
      <c r="G77" s="111">
        <f>E50</f>
        <v>2.9153009898994702</v>
      </c>
      <c r="H77" s="111">
        <f>I50</f>
        <v>2.289374868117906</v>
      </c>
      <c r="I77" s="111">
        <f>F50</f>
        <v>3.064335908514487</v>
      </c>
      <c r="J77" s="111">
        <f>J50</f>
        <v>2.4730996451084111</v>
      </c>
      <c r="K77" s="111">
        <f>C65</f>
        <v>2.2418470389769958</v>
      </c>
      <c r="L77" s="111">
        <f>G65</f>
        <v>1.2350474104993721</v>
      </c>
      <c r="M77" s="111">
        <f>K65</f>
        <v>2.4863893164132178</v>
      </c>
      <c r="N77" s="111">
        <f>D65</f>
        <v>3.1432851240859563</v>
      </c>
      <c r="O77" s="111">
        <f>H65</f>
        <v>1.6493550756780437</v>
      </c>
      <c r="P77" s="111">
        <f>L65</f>
        <v>2.5582922583525813</v>
      </c>
      <c r="Q77" s="111">
        <f>E65</f>
        <v>3.4894737640136158</v>
      </c>
      <c r="R77" s="111">
        <f>I65</f>
        <v>1.9253166080925188</v>
      </c>
      <c r="S77" s="111">
        <f>M65</f>
        <v>2.5907476521395041</v>
      </c>
      <c r="T77" s="111">
        <f>F65</f>
        <v>3.7528447456303349</v>
      </c>
      <c r="U77" s="111">
        <f>J65</f>
        <v>2.1139221108326538</v>
      </c>
      <c r="V77" s="111">
        <f>N65</f>
        <v>2.6909964191741813</v>
      </c>
    </row>
    <row r="78" spans="2:37" ht="16">
      <c r="B78" t="s">
        <v>235</v>
      </c>
      <c r="C78" s="111">
        <f>C51/SQRT(4)</f>
        <v>0.30867034188873366</v>
      </c>
      <c r="D78" s="111">
        <f>G51/SQRT(4)</f>
        <v>0.14465575784256599</v>
      </c>
      <c r="E78" s="111">
        <f>D51/SQRT(4)</f>
        <v>7.09264858783695E-2</v>
      </c>
      <c r="F78" s="111">
        <f>H51/SQRT(4)</f>
        <v>9.3803079085471322E-2</v>
      </c>
      <c r="G78" s="111">
        <f>E51/SQRT(4)</f>
        <v>0.14590914174498951</v>
      </c>
      <c r="H78" s="111">
        <f>I51/SQRT(4)</f>
        <v>5.6009825263429312E-2</v>
      </c>
      <c r="I78" s="111">
        <f>F51/SQRT(4)</f>
        <v>0.189932100152926</v>
      </c>
      <c r="J78" s="111">
        <f>J51/SQRT(4)</f>
        <v>0.15154231565789439</v>
      </c>
      <c r="K78" s="111">
        <f>C66/SQRT(4)</f>
        <v>0.32652602181130075</v>
      </c>
      <c r="L78" s="111">
        <f>G66/SQRT(4)</f>
        <v>0.19064066782696931</v>
      </c>
      <c r="M78" s="111">
        <f>K66/SQRT(3)</f>
        <v>0.64381783461088071</v>
      </c>
      <c r="N78" s="111">
        <f>D66/SQRT(4)</f>
        <v>9.2708884795991625E-2</v>
      </c>
      <c r="O78" s="111">
        <f>H66/SQRT(4)</f>
        <v>0.17277685828592929</v>
      </c>
      <c r="P78" s="111">
        <f>L66/SQRT(3)</f>
        <v>0.57517290731549942</v>
      </c>
      <c r="Q78" s="111">
        <f>E66/SQRT(4)</f>
        <v>0.15315839494410569</v>
      </c>
      <c r="R78" s="111">
        <f>I66/SQRT(4)</f>
        <v>0.1843163902628987</v>
      </c>
      <c r="S78" s="111">
        <f>M66/SQRT(3)</f>
        <v>0.54656434446163105</v>
      </c>
      <c r="T78" s="111">
        <f>F66/SQRT(4)</f>
        <v>0.25903125764572366</v>
      </c>
      <c r="U78" s="111">
        <f>J66/SQRT(4)</f>
        <v>0.23111312787460878</v>
      </c>
      <c r="V78" s="111">
        <f>N66/SQRT(3)</f>
        <v>0.45363728266787923</v>
      </c>
    </row>
    <row r="82" spans="2:15"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</row>
    <row r="83" spans="2:15"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</row>
    <row r="84" spans="2:15"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</row>
    <row r="85" spans="2:15"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</row>
    <row r="86" spans="2:15" ht="16">
      <c r="B86" s="69"/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69"/>
      <c r="O86" s="69"/>
    </row>
    <row r="87" spans="2:15" ht="16">
      <c r="B87" s="69"/>
      <c r="C87" s="129"/>
      <c r="D87" s="129"/>
      <c r="E87" s="129"/>
      <c r="F87" s="129"/>
      <c r="G87" s="129"/>
      <c r="H87" s="129"/>
      <c r="I87" s="129"/>
      <c r="J87" s="129"/>
      <c r="K87" s="129"/>
      <c r="L87" s="129"/>
      <c r="M87" s="129"/>
      <c r="N87" s="69"/>
      <c r="O87" s="69"/>
    </row>
    <row r="88" spans="2:15" ht="16">
      <c r="B88" s="6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69"/>
      <c r="O88" s="69"/>
    </row>
    <row r="89" spans="2:15"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</row>
    <row r="90" spans="2:15"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</row>
    <row r="91" spans="2:15"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</row>
    <row r="92" spans="2:15"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</row>
    <row r="93" spans="2:15"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</row>
    <row r="94" spans="2:15"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</row>
    <row r="95" spans="2:15"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</row>
    <row r="96" spans="2:15"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</row>
    <row r="97" spans="2:29" ht="16">
      <c r="B97" s="129"/>
      <c r="C97" s="129"/>
      <c r="D97" s="129"/>
      <c r="E97" s="129"/>
      <c r="F97" s="129"/>
      <c r="G97" s="129"/>
      <c r="H97" s="129"/>
      <c r="I97" s="129"/>
      <c r="J97" s="69"/>
      <c r="K97" s="69"/>
      <c r="L97" s="69"/>
      <c r="M97" s="69"/>
      <c r="N97" s="69"/>
      <c r="O97" s="69"/>
    </row>
    <row r="98" spans="2:29" ht="16">
      <c r="B98" s="129"/>
      <c r="C98" s="129"/>
      <c r="D98" s="129"/>
      <c r="E98" s="129"/>
      <c r="F98" s="129"/>
      <c r="G98" s="129"/>
      <c r="H98" s="129"/>
      <c r="I98" s="129"/>
      <c r="J98" s="69"/>
      <c r="K98" s="69"/>
      <c r="L98" s="69"/>
      <c r="M98" s="69"/>
      <c r="N98" s="69"/>
      <c r="O98" s="69"/>
    </row>
    <row r="99" spans="2:29" ht="16">
      <c r="B99" s="129"/>
      <c r="C99" s="129"/>
      <c r="D99" s="129"/>
      <c r="E99" s="129"/>
      <c r="F99" s="129"/>
      <c r="G99" s="129"/>
      <c r="H99" s="129"/>
      <c r="I99" s="129"/>
      <c r="J99" s="69"/>
      <c r="K99" s="69"/>
      <c r="L99" s="69"/>
      <c r="M99" s="69"/>
      <c r="N99" s="69"/>
      <c r="O99" s="69"/>
    </row>
    <row r="100" spans="2:29"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</row>
    <row r="101" spans="2:29" ht="16">
      <c r="B101" s="69"/>
      <c r="C101" s="130"/>
      <c r="D101" s="130"/>
      <c r="E101" s="130"/>
      <c r="F101" s="130"/>
      <c r="G101" s="130"/>
      <c r="H101" s="130"/>
      <c r="I101" s="130"/>
      <c r="J101" s="130"/>
      <c r="K101" s="69"/>
      <c r="L101" s="69"/>
      <c r="M101" s="69"/>
      <c r="N101" s="69"/>
      <c r="O101" s="69"/>
      <c r="P101" s="69"/>
      <c r="Q101" s="69"/>
      <c r="R101" s="130"/>
      <c r="S101" s="130"/>
      <c r="T101" s="130"/>
      <c r="U101" s="130"/>
      <c r="V101" s="130"/>
      <c r="W101" s="130"/>
      <c r="X101" s="130"/>
      <c r="Y101" s="130"/>
      <c r="Z101" s="69"/>
      <c r="AA101" s="69"/>
      <c r="AB101" s="69"/>
      <c r="AC101" s="69"/>
    </row>
    <row r="102" spans="2:29" ht="16">
      <c r="B102" s="69"/>
      <c r="C102" s="129"/>
      <c r="D102" s="69"/>
      <c r="E102" s="69"/>
      <c r="F102" s="129"/>
      <c r="G102" s="69"/>
      <c r="H102" s="69"/>
      <c r="I102" s="69"/>
      <c r="J102" s="129"/>
      <c r="K102" s="69"/>
      <c r="L102" s="69"/>
      <c r="M102" s="69"/>
      <c r="N102" s="69"/>
      <c r="O102" s="69"/>
      <c r="P102" s="69"/>
      <c r="Q102" s="69"/>
      <c r="R102" s="129"/>
      <c r="S102" s="129"/>
      <c r="T102" s="129"/>
      <c r="U102" s="129"/>
      <c r="V102" s="129"/>
      <c r="W102" s="129"/>
      <c r="X102" s="129"/>
      <c r="Y102" s="129"/>
      <c r="Z102" s="69"/>
      <c r="AA102" s="69"/>
      <c r="AB102" s="69"/>
      <c r="AC102" s="69"/>
    </row>
    <row r="103" spans="2:29" ht="16">
      <c r="B103" s="69"/>
      <c r="C103" s="129"/>
      <c r="D103" s="69"/>
      <c r="E103" s="69"/>
      <c r="F103" s="12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129"/>
      <c r="S103" s="129"/>
      <c r="T103" s="129"/>
      <c r="U103" s="129"/>
      <c r="V103" s="129"/>
      <c r="W103" s="129"/>
      <c r="X103" s="129"/>
      <c r="Y103" s="69"/>
      <c r="Z103" s="69"/>
      <c r="AA103" s="69"/>
      <c r="AB103" s="69"/>
      <c r="AC103" s="69"/>
    </row>
    <row r="104" spans="2:29" ht="16">
      <c r="B104" s="69"/>
      <c r="C104" s="129"/>
      <c r="D104" s="69"/>
      <c r="E104" s="69"/>
      <c r="F104" s="129"/>
      <c r="G104" s="69"/>
      <c r="H104" s="69"/>
      <c r="I104" s="69"/>
      <c r="J104" s="129"/>
      <c r="K104" s="69"/>
      <c r="L104" s="69"/>
      <c r="M104" s="69"/>
      <c r="N104" s="69"/>
      <c r="O104" s="69"/>
      <c r="P104" s="69"/>
      <c r="Q104" s="69"/>
      <c r="R104" s="129"/>
      <c r="S104" s="129"/>
      <c r="T104" s="129"/>
      <c r="U104" s="129"/>
      <c r="V104" s="129"/>
      <c r="W104" s="129"/>
      <c r="X104" s="129"/>
      <c r="Y104" s="129"/>
      <c r="Z104" s="69"/>
      <c r="AA104" s="69"/>
      <c r="AB104" s="69"/>
      <c r="AC104" s="69"/>
    </row>
    <row r="105" spans="2:29" ht="16">
      <c r="B105" s="69"/>
      <c r="C105" s="129"/>
      <c r="D105" s="69"/>
      <c r="E105" s="69"/>
      <c r="F105" s="129"/>
      <c r="G105" s="69"/>
      <c r="H105" s="69"/>
      <c r="I105" s="69"/>
      <c r="J105" s="129"/>
      <c r="K105" s="69"/>
      <c r="L105" s="69"/>
      <c r="M105" s="69"/>
      <c r="N105" s="69"/>
      <c r="O105" s="69"/>
      <c r="P105" s="69"/>
      <c r="Q105" s="69"/>
      <c r="R105" s="129"/>
      <c r="S105" s="129"/>
      <c r="T105" s="129"/>
      <c r="U105" s="129"/>
      <c r="V105" s="129"/>
      <c r="W105" s="129"/>
      <c r="X105" s="129"/>
      <c r="Y105" s="129"/>
      <c r="Z105" s="69"/>
      <c r="AA105" s="69"/>
      <c r="AB105" s="69"/>
      <c r="AC105" s="69"/>
    </row>
    <row r="106" spans="2:29"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</row>
    <row r="107" spans="2:29">
      <c r="B107" s="69"/>
      <c r="C107" s="164"/>
      <c r="D107" s="164"/>
      <c r="E107" s="164"/>
      <c r="F107" s="164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164"/>
      <c r="S107" s="164"/>
      <c r="T107" s="164"/>
      <c r="U107" s="164"/>
      <c r="V107" s="69"/>
      <c r="W107" s="69"/>
      <c r="X107" s="69"/>
      <c r="Y107" s="69"/>
      <c r="Z107" s="69"/>
      <c r="AA107" s="69"/>
      <c r="AB107" s="69"/>
      <c r="AC107" s="69"/>
    </row>
    <row r="108" spans="2:29" ht="16">
      <c r="B108" s="69"/>
      <c r="C108" s="129"/>
      <c r="D108" s="69"/>
      <c r="E108" s="69"/>
      <c r="F108" s="129"/>
      <c r="G108" s="69"/>
      <c r="H108" s="69"/>
      <c r="I108" s="69"/>
      <c r="J108" s="129"/>
      <c r="K108" s="69"/>
      <c r="L108" s="69"/>
      <c r="M108" s="69"/>
      <c r="N108" s="69"/>
      <c r="O108" s="69"/>
      <c r="P108" s="69"/>
      <c r="Q108" s="69"/>
      <c r="R108" s="129"/>
      <c r="S108" s="69"/>
      <c r="T108" s="69"/>
      <c r="U108" s="129"/>
      <c r="V108" s="69"/>
      <c r="W108" s="69"/>
      <c r="X108" s="69"/>
      <c r="Y108" s="129"/>
      <c r="Z108" s="69"/>
      <c r="AA108" s="69"/>
      <c r="AB108" s="69"/>
      <c r="AC108" s="69"/>
    </row>
    <row r="109" spans="2:29"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</row>
    <row r="110" spans="2:29"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</row>
    <row r="111" spans="2:29"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</row>
    <row r="112" spans="2:29"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</row>
    <row r="113" spans="2:29"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</row>
    <row r="114" spans="2:29"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</row>
    <row r="115" spans="2:29"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</row>
    <row r="116" spans="2:29"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  <c r="AB116" s="69"/>
      <c r="AC116" s="69"/>
    </row>
    <row r="117" spans="2:29"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  <c r="AB117" s="69"/>
      <c r="AC117" s="69"/>
    </row>
    <row r="118" spans="2:29" ht="16">
      <c r="B118" s="69"/>
      <c r="C118" s="130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  <c r="O118" s="69"/>
      <c r="P118" s="69"/>
      <c r="Q118" s="69"/>
      <c r="R118" s="130"/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</row>
    <row r="119" spans="2:29"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69"/>
      <c r="AC119" s="69"/>
    </row>
    <row r="120" spans="2:29"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</row>
    <row r="121" spans="2:29"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</row>
    <row r="122" spans="2:29"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</row>
    <row r="123" spans="2:29"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69"/>
    </row>
    <row r="124" spans="2:29"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9"/>
      <c r="AC124" s="69"/>
    </row>
    <row r="125" spans="2:29"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</row>
    <row r="126" spans="2:29"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9"/>
      <c r="AC126" s="69"/>
    </row>
    <row r="127" spans="2:29"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69"/>
      <c r="AC127" s="69"/>
    </row>
    <row r="128" spans="2:29"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9"/>
      <c r="AC128" s="69"/>
    </row>
    <row r="129" spans="16:29"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  <c r="AB129" s="69"/>
      <c r="AC129" s="69"/>
    </row>
    <row r="130" spans="16:29"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  <c r="AB130" s="69"/>
      <c r="AC130" s="69"/>
    </row>
  </sheetData>
  <mergeCells count="28">
    <mergeCell ref="T35:V35"/>
    <mergeCell ref="C8:F8"/>
    <mergeCell ref="C34:J34"/>
    <mergeCell ref="K34:V34"/>
    <mergeCell ref="C35:D35"/>
    <mergeCell ref="E35:F35"/>
    <mergeCell ref="G35:H35"/>
    <mergeCell ref="I35:J35"/>
    <mergeCell ref="K35:M35"/>
    <mergeCell ref="N35:P35"/>
    <mergeCell ref="Q35:S35"/>
    <mergeCell ref="K42:V42"/>
    <mergeCell ref="K43:M43"/>
    <mergeCell ref="N43:P43"/>
    <mergeCell ref="Q43:S43"/>
    <mergeCell ref="T43:V43"/>
    <mergeCell ref="C107:F107"/>
    <mergeCell ref="R107:U107"/>
    <mergeCell ref="C74:J74"/>
    <mergeCell ref="K74:V74"/>
    <mergeCell ref="C75:D75"/>
    <mergeCell ref="E75:F75"/>
    <mergeCell ref="G75:H75"/>
    <mergeCell ref="I75:J75"/>
    <mergeCell ref="K75:M75"/>
    <mergeCell ref="N75:P75"/>
    <mergeCell ref="Q75:S75"/>
    <mergeCell ref="T75:V7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9D41CE7EF45D4EA67CBB26A1A1F744" ma:contentTypeVersion="10" ma:contentTypeDescription="Create a new document." ma:contentTypeScope="" ma:versionID="e6c4e9e7cc197f6e79f94ea6ac86d330">
  <xsd:schema xmlns:xsd="http://www.w3.org/2001/XMLSchema" xmlns:xs="http://www.w3.org/2001/XMLSchema" xmlns:p="http://schemas.microsoft.com/office/2006/metadata/properties" xmlns:ns3="627b5398-1b82-45ad-b93f-0a4b85cc6015" targetNamespace="http://schemas.microsoft.com/office/2006/metadata/properties" ma:root="true" ma:fieldsID="7471a521fe9be7e09f27fd272eba24e2" ns3:_="">
    <xsd:import namespace="627b5398-1b82-45ad-b93f-0a4b85cc60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7b5398-1b82-45ad-b93f-0a4b85cc60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9ECFCC-3FF0-487C-AA0F-E860E310DC51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elements/1.1/"/>
    <ds:schemaRef ds:uri="627b5398-1b82-45ad-b93f-0a4b85cc601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DB002EB-E066-44C2-8527-A79CC511FD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7b5398-1b82-45ad-b93f-0a4b85cc60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0157AA-646C-48DE-B784-2992A25160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Paper Info</vt:lpstr>
      <vt:lpstr>CSBv+tSpaceru</vt:lpstr>
      <vt:lpstr>CSBv+tplusSpacerv+t</vt:lpstr>
      <vt:lpstr>Spacerv+t</vt:lpstr>
      <vt:lpstr>VP</vt:lpstr>
      <vt:lpstr>Vancomycin</vt:lpstr>
      <vt:lpstr>Tobramycin</vt:lpstr>
      <vt:lpstr>AUC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Wilson</dc:creator>
  <cp:lastModifiedBy>Moore, Kelly</cp:lastModifiedBy>
  <dcterms:created xsi:type="dcterms:W3CDTF">2020-05-12T10:56:29Z</dcterms:created>
  <dcterms:modified xsi:type="dcterms:W3CDTF">2021-03-05T02:17:56Z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0x0101001A9D41CE7EF45D4EA67CBB26A1A1F744</vt:lpwstr>
  </property>
</Properties>
</file>