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3B471773-9DC0-40E2-A335-BAB336EB85E7}" xr6:coauthVersionLast="47" xr6:coauthVersionMax="47" xr10:uidLastSave="{00000000-0000-0000-0000-000000000000}"/>
  <bookViews>
    <workbookView xWindow="-108" yWindow="-108" windowWidth="23256" windowHeight="12576" firstSheet="15" activeTab="19" xr2:uid="{00000000-000D-0000-FFFF-FFFF00000000}"/>
  </bookViews>
  <sheets>
    <sheet name="cover sheet" sheetId="23" r:id="rId1"/>
    <sheet name="Metallurgical Mining waste" sheetId="3" r:id="rId2"/>
    <sheet name="Al amar tailings waste" sheetId="4" r:id="rId3"/>
    <sheet name="Copper tailings" sheetId="2" r:id="rId4"/>
    <sheet name="sulfidic mine tailings-EU" sheetId="9" r:id="rId5"/>
    <sheet name="Phosphate Mines Utah, USA" sheetId="10" r:id="rId6"/>
    <sheet name="Uranium mine USA" sheetId="5" r:id="rId7"/>
    <sheet name="Elizabath copper mine, USA" sheetId="8" r:id="rId8"/>
    <sheet name="kyanite mine waste, USA" sheetId="7" r:id="rId9"/>
    <sheet name="copper mine waste, USA" sheetId="6" r:id="rId10"/>
    <sheet name="Jincheng, Shanxi Province,China" sheetId="12" r:id="rId11"/>
    <sheet name="Australia" sheetId="13" r:id="rId12"/>
    <sheet name="São Pedro da Cova,PORTUGAL" sheetId="14" r:id="rId13"/>
    <sheet name="Pahang" sheetId="15" r:id="rId14"/>
    <sheet name="southern Poland" sheetId="16" r:id="rId15"/>
    <sheet name="Sheet3" sheetId="22" r:id="rId16"/>
    <sheet name="Morocco" sheetId="17" r:id="rId17"/>
    <sheet name="copper mine waste rocks Morocoo" sheetId="18" r:id="rId18"/>
    <sheet name="Moroccan solid mining wastes" sheetId="19" r:id="rId19"/>
    <sheet name="Table S1" sheetId="24" r:id="rId20"/>
  </sheets>
  <definedNames>
    <definedName name="_bookmark9" localSheetId="16">Morocco!#REF!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3" i="22" l="1"/>
  <c r="T2" i="22"/>
  <c r="F7" i="22"/>
  <c r="F11" i="22"/>
  <c r="F10" i="22"/>
  <c r="F16" i="22"/>
  <c r="F17" i="22" l="1"/>
  <c r="F2" i="22"/>
  <c r="F6" i="22" l="1"/>
  <c r="F5" i="22"/>
  <c r="F15" i="22"/>
  <c r="F12" i="22"/>
  <c r="F13" i="22"/>
  <c r="F14" i="22"/>
  <c r="F19" i="22"/>
  <c r="F8" i="22"/>
  <c r="F9" i="22"/>
  <c r="F18" i="22"/>
  <c r="S7" i="5"/>
  <c r="F4" i="22"/>
  <c r="F3" i="22"/>
  <c r="R5" i="3"/>
  <c r="R4" i="4"/>
  <c r="H18" i="22" l="1"/>
  <c r="C2" i="4"/>
  <c r="K20" i="4" l="1"/>
  <c r="K19" i="4"/>
  <c r="K19" i="2"/>
  <c r="K18" i="2"/>
  <c r="J16" i="9"/>
  <c r="J15" i="9"/>
  <c r="K21" i="10"/>
  <c r="K20" i="10"/>
  <c r="J20" i="5"/>
  <c r="J19" i="5"/>
  <c r="I17" i="8"/>
  <c r="I16" i="8"/>
  <c r="I19" i="7"/>
  <c r="I18" i="7"/>
  <c r="I21" i="6"/>
  <c r="I20" i="6"/>
  <c r="U16" i="12"/>
  <c r="U15" i="12"/>
  <c r="I16" i="12"/>
  <c r="I15" i="12"/>
  <c r="K19" i="3"/>
  <c r="K18" i="3"/>
  <c r="I15" i="13" l="1"/>
  <c r="I14" i="13"/>
  <c r="I22" i="14"/>
  <c r="I21" i="14"/>
  <c r="I15" i="15"/>
  <c r="I16" i="15"/>
  <c r="I18" i="16"/>
  <c r="I17" i="16"/>
  <c r="J18" i="17"/>
  <c r="J17" i="17"/>
  <c r="I17" i="18"/>
  <c r="I18" i="18"/>
  <c r="I19" i="19"/>
  <c r="I18" i="19"/>
  <c r="H13" i="9" l="1"/>
  <c r="M17" i="10"/>
  <c r="H15" i="5"/>
  <c r="G12" i="8"/>
  <c r="G15" i="7"/>
  <c r="G16" i="6"/>
  <c r="S11" i="12"/>
  <c r="G11" i="12"/>
  <c r="G11" i="13"/>
  <c r="G18" i="14"/>
  <c r="G10" i="15"/>
  <c r="G13" i="16"/>
  <c r="H13" i="17"/>
  <c r="G13" i="18"/>
  <c r="G14" i="19"/>
  <c r="J17" i="14" l="1"/>
  <c r="K17" i="14" s="1"/>
  <c r="J15" i="14"/>
  <c r="K15" i="14" s="1"/>
  <c r="J16" i="14"/>
  <c r="K16" i="14" s="1"/>
  <c r="J4" i="14"/>
  <c r="K4" i="14" s="1"/>
  <c r="J5" i="14"/>
  <c r="K5" i="14" s="1"/>
  <c r="J6" i="14"/>
  <c r="K6" i="14" s="1"/>
  <c r="J7" i="14"/>
  <c r="K7" i="14" s="1"/>
  <c r="J8" i="14"/>
  <c r="K8" i="14" s="1"/>
  <c r="J9" i="14"/>
  <c r="K9" i="14" s="1"/>
  <c r="J10" i="14"/>
  <c r="K10" i="14" s="1"/>
  <c r="J11" i="14"/>
  <c r="K11" i="14" s="1"/>
  <c r="J12" i="14"/>
  <c r="K12" i="14" s="1"/>
  <c r="J13" i="14"/>
  <c r="K13" i="14" s="1"/>
  <c r="J14" i="14"/>
  <c r="K14" i="14" s="1"/>
  <c r="J3" i="14"/>
  <c r="K3" i="14" s="1"/>
  <c r="I19" i="14"/>
  <c r="H4" i="14"/>
  <c r="H5" i="14"/>
  <c r="H18" i="14" s="1"/>
  <c r="H6" i="14"/>
  <c r="H7" i="14"/>
  <c r="H8" i="14"/>
  <c r="H9" i="14"/>
  <c r="H10" i="14"/>
  <c r="H11" i="14"/>
  <c r="H12" i="14"/>
  <c r="H13" i="14"/>
  <c r="H14" i="14"/>
  <c r="H15" i="14"/>
  <c r="H16" i="14"/>
  <c r="H17" i="14"/>
  <c r="H3" i="14"/>
  <c r="C16" i="14"/>
  <c r="E16" i="14" s="1"/>
  <c r="C15" i="14"/>
  <c r="E15" i="14" s="1"/>
  <c r="C14" i="14"/>
  <c r="E14" i="14" s="1"/>
  <c r="C13" i="14"/>
  <c r="E13" i="14" s="1"/>
  <c r="C12" i="14"/>
  <c r="E12" i="14" s="1"/>
  <c r="B18" i="14"/>
  <c r="C11" i="14" s="1"/>
  <c r="E11" i="14" s="1"/>
  <c r="J6" i="15"/>
  <c r="K6" i="15" s="1"/>
  <c r="J7" i="15"/>
  <c r="K7" i="15" s="1"/>
  <c r="J8" i="15"/>
  <c r="K8" i="15" s="1"/>
  <c r="J9" i="15"/>
  <c r="K9" i="15" s="1"/>
  <c r="J5" i="15"/>
  <c r="K5" i="15" s="1"/>
  <c r="J11" i="15"/>
  <c r="H6" i="15"/>
  <c r="H10" i="15" s="1"/>
  <c r="H7" i="15"/>
  <c r="H8" i="15"/>
  <c r="H9" i="15"/>
  <c r="H5" i="15"/>
  <c r="B10" i="15"/>
  <c r="C8" i="15" s="1"/>
  <c r="E8" i="15" s="1"/>
  <c r="J13" i="16"/>
  <c r="K13" i="16" s="1"/>
  <c r="J6" i="16"/>
  <c r="K6" i="16" s="1"/>
  <c r="J7" i="16"/>
  <c r="K7" i="16" s="1"/>
  <c r="J8" i="16"/>
  <c r="K8" i="16" s="1"/>
  <c r="J9" i="16"/>
  <c r="K9" i="16" s="1"/>
  <c r="J10" i="16"/>
  <c r="K10" i="16" s="1"/>
  <c r="J11" i="16"/>
  <c r="K11" i="16" s="1"/>
  <c r="J12" i="16"/>
  <c r="K12" i="16" s="1"/>
  <c r="J5" i="16"/>
  <c r="K5" i="16" s="1"/>
  <c r="I15" i="16"/>
  <c r="H6" i="16"/>
  <c r="H13" i="16" s="1"/>
  <c r="H7" i="16"/>
  <c r="H8" i="16"/>
  <c r="H9" i="16"/>
  <c r="H10" i="16"/>
  <c r="H11" i="16"/>
  <c r="H12" i="16"/>
  <c r="H5" i="16"/>
  <c r="J18" i="14" l="1"/>
  <c r="K18" i="14" s="1"/>
  <c r="C7" i="15"/>
  <c r="E7" i="15" s="1"/>
  <c r="C9" i="15"/>
  <c r="E9" i="15" s="1"/>
  <c r="C5" i="15"/>
  <c r="E5" i="15" s="1"/>
  <c r="C6" i="15"/>
  <c r="E6" i="15" s="1"/>
  <c r="J10" i="15"/>
  <c r="K10" i="15" s="1"/>
  <c r="C4" i="14"/>
  <c r="E4" i="14" s="1"/>
  <c r="C5" i="14"/>
  <c r="E5" i="14" s="1"/>
  <c r="C6" i="14"/>
  <c r="E6" i="14" s="1"/>
  <c r="C7" i="14"/>
  <c r="E7" i="14" s="1"/>
  <c r="C8" i="14"/>
  <c r="E8" i="14" s="1"/>
  <c r="C9" i="14"/>
  <c r="E9" i="14" s="1"/>
  <c r="C10" i="14"/>
  <c r="E10" i="14" s="1"/>
  <c r="C3" i="14"/>
  <c r="E3" i="14" s="1"/>
  <c r="B13" i="16"/>
  <c r="J6" i="19"/>
  <c r="K6" i="19" s="1"/>
  <c r="J7" i="19"/>
  <c r="J14" i="19" s="1"/>
  <c r="J8" i="19"/>
  <c r="J9" i="19"/>
  <c r="J10" i="19"/>
  <c r="J11" i="19"/>
  <c r="J12" i="19"/>
  <c r="J13" i="19"/>
  <c r="J5" i="19"/>
  <c r="I16" i="19"/>
  <c r="E10" i="19"/>
  <c r="E5" i="19"/>
  <c r="C13" i="19"/>
  <c r="E13" i="19" s="1"/>
  <c r="C12" i="19"/>
  <c r="E12" i="19" s="1"/>
  <c r="C10" i="19"/>
  <c r="C8" i="19"/>
  <c r="E8" i="19" s="1"/>
  <c r="C5" i="19"/>
  <c r="B14" i="19"/>
  <c r="C11" i="19" s="1"/>
  <c r="E11" i="19" s="1"/>
  <c r="H6" i="19"/>
  <c r="H7" i="19"/>
  <c r="H14" i="19" s="1"/>
  <c r="K14" i="19" s="1"/>
  <c r="H8" i="19"/>
  <c r="K8" i="19" s="1"/>
  <c r="H9" i="19"/>
  <c r="K9" i="19" s="1"/>
  <c r="H10" i="19"/>
  <c r="K10" i="19" s="1"/>
  <c r="H11" i="19"/>
  <c r="K11" i="19" s="1"/>
  <c r="H12" i="19"/>
  <c r="K12" i="19" s="1"/>
  <c r="H13" i="19"/>
  <c r="K13" i="19" s="1"/>
  <c r="H5" i="19"/>
  <c r="K5" i="19" s="1"/>
  <c r="L10" i="17"/>
  <c r="L12" i="17"/>
  <c r="K6" i="17"/>
  <c r="K13" i="17" s="1"/>
  <c r="L13" i="17" s="1"/>
  <c r="K7" i="17"/>
  <c r="L7" i="17" s="1"/>
  <c r="K8" i="17"/>
  <c r="K9" i="17"/>
  <c r="L9" i="17" s="1"/>
  <c r="K10" i="17"/>
  <c r="K11" i="17"/>
  <c r="K12" i="17"/>
  <c r="K5" i="17"/>
  <c r="J15" i="17"/>
  <c r="I6" i="17"/>
  <c r="I7" i="17"/>
  <c r="I8" i="17"/>
  <c r="L8" i="17" s="1"/>
  <c r="I9" i="17"/>
  <c r="I10" i="17"/>
  <c r="I11" i="17"/>
  <c r="L11" i="17" s="1"/>
  <c r="I12" i="17"/>
  <c r="I5" i="17"/>
  <c r="I13" i="17" s="1"/>
  <c r="C13" i="17"/>
  <c r="D7" i="17" s="1"/>
  <c r="F7" i="17" s="1"/>
  <c r="K5" i="18"/>
  <c r="J5" i="18"/>
  <c r="J6" i="18"/>
  <c r="J7" i="18"/>
  <c r="J8" i="18"/>
  <c r="J9" i="18"/>
  <c r="J10" i="18"/>
  <c r="K10" i="18" s="1"/>
  <c r="J11" i="18"/>
  <c r="J12" i="18"/>
  <c r="J4" i="18"/>
  <c r="I15" i="18"/>
  <c r="C12" i="18"/>
  <c r="E12" i="18" s="1"/>
  <c r="C11" i="18"/>
  <c r="E11" i="18" s="1"/>
  <c r="C10" i="18"/>
  <c r="E10" i="18" s="1"/>
  <c r="C9" i="18"/>
  <c r="E9" i="18" s="1"/>
  <c r="C8" i="18"/>
  <c r="E8" i="18" s="1"/>
  <c r="C4" i="18"/>
  <c r="E4" i="18" s="1"/>
  <c r="B13" i="18"/>
  <c r="C7" i="18" s="1"/>
  <c r="E7" i="18" s="1"/>
  <c r="H5" i="18"/>
  <c r="H6" i="18"/>
  <c r="K6" i="18" s="1"/>
  <c r="H7" i="18"/>
  <c r="K7" i="18" s="1"/>
  <c r="H8" i="18"/>
  <c r="K8" i="18" s="1"/>
  <c r="H9" i="18"/>
  <c r="K9" i="18" s="1"/>
  <c r="H10" i="18"/>
  <c r="H11" i="18"/>
  <c r="K11" i="18" s="1"/>
  <c r="H12" i="18"/>
  <c r="K12" i="18" s="1"/>
  <c r="H4" i="18"/>
  <c r="K4" i="18" s="1"/>
  <c r="H11" i="13"/>
  <c r="J6" i="13"/>
  <c r="K6" i="13" s="1"/>
  <c r="J7" i="13"/>
  <c r="K7" i="13" s="1"/>
  <c r="J8" i="13"/>
  <c r="K8" i="13" s="1"/>
  <c r="J9" i="13"/>
  <c r="K9" i="13" s="1"/>
  <c r="J10" i="13"/>
  <c r="K10" i="13" s="1"/>
  <c r="J5" i="13"/>
  <c r="K5" i="13" s="1"/>
  <c r="J12" i="13"/>
  <c r="H6" i="13"/>
  <c r="H7" i="13"/>
  <c r="H8" i="13"/>
  <c r="H9" i="13"/>
  <c r="H10" i="13"/>
  <c r="H5" i="13"/>
  <c r="J11" i="13" l="1"/>
  <c r="K11" i="13" s="1"/>
  <c r="D5" i="17"/>
  <c r="F5" i="17" s="1"/>
  <c r="D6" i="17"/>
  <c r="F6" i="17" s="1"/>
  <c r="L5" i="17"/>
  <c r="C5" i="16"/>
  <c r="E5" i="16" s="1"/>
  <c r="C7" i="16"/>
  <c r="E7" i="16" s="1"/>
  <c r="C12" i="16"/>
  <c r="E12" i="16" s="1"/>
  <c r="C10" i="16"/>
  <c r="E10" i="16" s="1"/>
  <c r="C8" i="16"/>
  <c r="E8" i="16" s="1"/>
  <c r="C6" i="16"/>
  <c r="E6" i="16" s="1"/>
  <c r="C11" i="16"/>
  <c r="E11" i="16" s="1"/>
  <c r="C9" i="16"/>
  <c r="E9" i="16" s="1"/>
  <c r="J13" i="18"/>
  <c r="K13" i="18" s="1"/>
  <c r="D8" i="17"/>
  <c r="F8" i="17" s="1"/>
  <c r="D11" i="17"/>
  <c r="F11" i="17" s="1"/>
  <c r="C6" i="19"/>
  <c r="E6" i="19" s="1"/>
  <c r="D12" i="17"/>
  <c r="F12" i="17" s="1"/>
  <c r="C7" i="19"/>
  <c r="E7" i="19" s="1"/>
  <c r="D10" i="17"/>
  <c r="F10" i="17" s="1"/>
  <c r="L6" i="17"/>
  <c r="K7" i="19"/>
  <c r="H13" i="18"/>
  <c r="C5" i="18"/>
  <c r="E5" i="18" s="1"/>
  <c r="C9" i="19"/>
  <c r="E9" i="19" s="1"/>
  <c r="D9" i="17"/>
  <c r="F9" i="17" s="1"/>
  <c r="C6" i="18"/>
  <c r="E6" i="18" s="1"/>
  <c r="B11" i="13"/>
  <c r="C7" i="13" s="1"/>
  <c r="E7" i="13" s="1"/>
  <c r="C8" i="13" l="1"/>
  <c r="E8" i="13" s="1"/>
  <c r="C9" i="13"/>
  <c r="E9" i="13" s="1"/>
  <c r="C10" i="13"/>
  <c r="E10" i="13" s="1"/>
  <c r="C5" i="13"/>
  <c r="E5" i="13" s="1"/>
  <c r="C6" i="13"/>
  <c r="E6" i="13" s="1"/>
  <c r="V7" i="12"/>
  <c r="W7" i="12" s="1"/>
  <c r="V8" i="12"/>
  <c r="W8" i="12" s="1"/>
  <c r="V9" i="12"/>
  <c r="W9" i="12" s="1"/>
  <c r="V10" i="12"/>
  <c r="W10" i="12" s="1"/>
  <c r="V6" i="12"/>
  <c r="W6" i="12" s="1"/>
  <c r="U13" i="12"/>
  <c r="T7" i="12"/>
  <c r="T11" i="12" s="1"/>
  <c r="T8" i="12"/>
  <c r="T9" i="12"/>
  <c r="T10" i="12"/>
  <c r="T6" i="12"/>
  <c r="N11" i="12"/>
  <c r="O7" i="12" s="1"/>
  <c r="Q7" i="12" s="1"/>
  <c r="J7" i="12"/>
  <c r="K7" i="12" s="1"/>
  <c r="J8" i="12"/>
  <c r="K8" i="12" s="1"/>
  <c r="J9" i="12"/>
  <c r="K9" i="12" s="1"/>
  <c r="J10" i="12"/>
  <c r="K10" i="12" s="1"/>
  <c r="J6" i="12"/>
  <c r="I13" i="12"/>
  <c r="H7" i="12"/>
  <c r="H8" i="12"/>
  <c r="H9" i="12"/>
  <c r="H10" i="12"/>
  <c r="H6" i="12"/>
  <c r="B11" i="12"/>
  <c r="C8" i="12" s="1"/>
  <c r="E8" i="12" s="1"/>
  <c r="J9" i="6"/>
  <c r="K9" i="6" s="1"/>
  <c r="J10" i="6"/>
  <c r="K10" i="6" s="1"/>
  <c r="J11" i="6"/>
  <c r="K11" i="6" s="1"/>
  <c r="J12" i="6"/>
  <c r="K12" i="6" s="1"/>
  <c r="J13" i="6"/>
  <c r="K13" i="6" s="1"/>
  <c r="J14" i="6"/>
  <c r="K14" i="6" s="1"/>
  <c r="J15" i="6"/>
  <c r="K15" i="6" s="1"/>
  <c r="J8" i="6"/>
  <c r="K8" i="6" s="1"/>
  <c r="I17" i="6"/>
  <c r="H9" i="6"/>
  <c r="H10" i="6"/>
  <c r="H11" i="6"/>
  <c r="H12" i="6"/>
  <c r="H13" i="6"/>
  <c r="H14" i="6"/>
  <c r="H15" i="6"/>
  <c r="H8" i="6"/>
  <c r="B16" i="6"/>
  <c r="C10" i="6" s="1"/>
  <c r="E10" i="6" s="1"/>
  <c r="J11" i="12" l="1"/>
  <c r="K11" i="12" s="1"/>
  <c r="K6" i="12"/>
  <c r="V11" i="12"/>
  <c r="W11" i="12" s="1"/>
  <c r="O9" i="12"/>
  <c r="Q9" i="12" s="1"/>
  <c r="O10" i="12"/>
  <c r="Q10" i="12" s="1"/>
  <c r="H16" i="6"/>
  <c r="O6" i="12"/>
  <c r="Q6" i="12" s="1"/>
  <c r="O8" i="12"/>
  <c r="Q8" i="12" s="1"/>
  <c r="C9" i="12"/>
  <c r="E9" i="12" s="1"/>
  <c r="C10" i="12"/>
  <c r="E10" i="12" s="1"/>
  <c r="H11" i="12"/>
  <c r="C6" i="12"/>
  <c r="E6" i="12" s="1"/>
  <c r="C7" i="12"/>
  <c r="E7" i="12" s="1"/>
  <c r="C11" i="6"/>
  <c r="E11" i="6" s="1"/>
  <c r="C13" i="6"/>
  <c r="E13" i="6" s="1"/>
  <c r="C14" i="6"/>
  <c r="E14" i="6" s="1"/>
  <c r="J16" i="6"/>
  <c r="K16" i="6" s="1"/>
  <c r="C12" i="6"/>
  <c r="E12" i="6" s="1"/>
  <c r="C15" i="6"/>
  <c r="E15" i="6" s="1"/>
  <c r="C8" i="6"/>
  <c r="E8" i="6" s="1"/>
  <c r="C9" i="6"/>
  <c r="E9" i="6" s="1"/>
  <c r="J5" i="7"/>
  <c r="K5" i="7" s="1"/>
  <c r="J6" i="7"/>
  <c r="K6" i="7" s="1"/>
  <c r="J7" i="7"/>
  <c r="K7" i="7" s="1"/>
  <c r="J8" i="7"/>
  <c r="K8" i="7" s="1"/>
  <c r="J9" i="7"/>
  <c r="K9" i="7" s="1"/>
  <c r="J10" i="7"/>
  <c r="K10" i="7" s="1"/>
  <c r="J11" i="7"/>
  <c r="K11" i="7" s="1"/>
  <c r="J12" i="7"/>
  <c r="K12" i="7" s="1"/>
  <c r="J13" i="7"/>
  <c r="K13" i="7" s="1"/>
  <c r="J14" i="7"/>
  <c r="K14" i="7" s="1"/>
  <c r="J4" i="7"/>
  <c r="K4" i="7" s="1"/>
  <c r="I17" i="7"/>
  <c r="H5" i="7"/>
  <c r="H6" i="7"/>
  <c r="H7" i="7"/>
  <c r="H8" i="7"/>
  <c r="H9" i="7"/>
  <c r="H10" i="7"/>
  <c r="H11" i="7"/>
  <c r="H12" i="7"/>
  <c r="H13" i="7"/>
  <c r="H14" i="7"/>
  <c r="H4" i="7"/>
  <c r="J15" i="7" l="1"/>
  <c r="K15" i="7" s="1"/>
  <c r="H15" i="7"/>
  <c r="B15" i="7"/>
  <c r="B12" i="8"/>
  <c r="C10" i="8" s="1"/>
  <c r="E10" i="8" s="1"/>
  <c r="J5" i="8"/>
  <c r="K5" i="8" s="1"/>
  <c r="J6" i="8"/>
  <c r="K6" i="8" s="1"/>
  <c r="J7" i="8"/>
  <c r="K7" i="8" s="1"/>
  <c r="J8" i="8"/>
  <c r="K8" i="8" s="1"/>
  <c r="J9" i="8"/>
  <c r="K9" i="8" s="1"/>
  <c r="J10" i="8"/>
  <c r="K10" i="8" s="1"/>
  <c r="J11" i="8"/>
  <c r="K11" i="8" s="1"/>
  <c r="J4" i="8"/>
  <c r="K4" i="8" s="1"/>
  <c r="I14" i="8"/>
  <c r="H5" i="8"/>
  <c r="H6" i="8"/>
  <c r="H7" i="8"/>
  <c r="H8" i="8"/>
  <c r="H9" i="8"/>
  <c r="H10" i="8"/>
  <c r="H11" i="8"/>
  <c r="H4" i="8"/>
  <c r="H12" i="8" s="1"/>
  <c r="C4" i="8" l="1"/>
  <c r="E4" i="8" s="1"/>
  <c r="C8" i="8"/>
  <c r="E8" i="8" s="1"/>
  <c r="C11" i="8"/>
  <c r="E11" i="8" s="1"/>
  <c r="C6" i="8"/>
  <c r="E6" i="8" s="1"/>
  <c r="C9" i="8"/>
  <c r="E9" i="8" s="1"/>
  <c r="C5" i="8"/>
  <c r="E5" i="8" s="1"/>
  <c r="C7" i="8"/>
  <c r="E7" i="8" s="1"/>
  <c r="C9" i="7"/>
  <c r="E9" i="7" s="1"/>
  <c r="C7" i="7"/>
  <c r="E7" i="7" s="1"/>
  <c r="C13" i="7"/>
  <c r="E13" i="7" s="1"/>
  <c r="C4" i="7"/>
  <c r="E4" i="7" s="1"/>
  <c r="C12" i="7"/>
  <c r="E12" i="7" s="1"/>
  <c r="C11" i="7"/>
  <c r="E11" i="7" s="1"/>
  <c r="C10" i="7"/>
  <c r="E10" i="7" s="1"/>
  <c r="C8" i="7"/>
  <c r="E8" i="7" s="1"/>
  <c r="C6" i="7"/>
  <c r="E6" i="7" s="1"/>
  <c r="C14" i="7"/>
  <c r="E14" i="7" s="1"/>
  <c r="C5" i="7"/>
  <c r="E5" i="7" s="1"/>
  <c r="J12" i="8"/>
  <c r="K12" i="8" s="1"/>
  <c r="K6" i="5"/>
  <c r="L6" i="5" s="1"/>
  <c r="K7" i="5"/>
  <c r="L7" i="5" s="1"/>
  <c r="K8" i="5"/>
  <c r="L8" i="5" s="1"/>
  <c r="K9" i="5"/>
  <c r="L9" i="5" s="1"/>
  <c r="K10" i="5"/>
  <c r="L10" i="5" s="1"/>
  <c r="K11" i="5"/>
  <c r="L11" i="5" s="1"/>
  <c r="K12" i="5"/>
  <c r="L12" i="5" s="1"/>
  <c r="K13" i="5"/>
  <c r="L13" i="5" s="1"/>
  <c r="K14" i="5"/>
  <c r="L14" i="5" s="1"/>
  <c r="K5" i="5"/>
  <c r="L5" i="5" s="1"/>
  <c r="J17" i="5"/>
  <c r="F14" i="5"/>
  <c r="F5" i="5"/>
  <c r="D14" i="5"/>
  <c r="D13" i="5"/>
  <c r="F13" i="5" s="1"/>
  <c r="D12" i="5"/>
  <c r="F12" i="5" s="1"/>
  <c r="D11" i="5"/>
  <c r="F11" i="5" s="1"/>
  <c r="D10" i="5"/>
  <c r="F10" i="5" s="1"/>
  <c r="D9" i="5"/>
  <c r="F9" i="5" s="1"/>
  <c r="C15" i="5"/>
  <c r="D5" i="5" s="1"/>
  <c r="I6" i="5"/>
  <c r="I7" i="5"/>
  <c r="I8" i="5"/>
  <c r="I9" i="5"/>
  <c r="I10" i="5"/>
  <c r="I11" i="5"/>
  <c r="I12" i="5"/>
  <c r="I13" i="5"/>
  <c r="I14" i="5"/>
  <c r="I5" i="5"/>
  <c r="I15" i="5" s="1"/>
  <c r="D6" i="5" l="1"/>
  <c r="F6" i="5" s="1"/>
  <c r="D7" i="5"/>
  <c r="F7" i="5" s="1"/>
  <c r="K15" i="5"/>
  <c r="L15" i="5" s="1"/>
  <c r="D8" i="5"/>
  <c r="F8" i="5" s="1"/>
  <c r="P5" i="10"/>
  <c r="Q5" i="10" s="1"/>
  <c r="P6" i="10"/>
  <c r="Q6" i="10" s="1"/>
  <c r="P7" i="10"/>
  <c r="Q7" i="10" s="1"/>
  <c r="P8" i="10"/>
  <c r="Q8" i="10" s="1"/>
  <c r="P9" i="10"/>
  <c r="Q9" i="10" s="1"/>
  <c r="P10" i="10"/>
  <c r="Q10" i="10" s="1"/>
  <c r="P11" i="10"/>
  <c r="Q11" i="10" s="1"/>
  <c r="P12" i="10"/>
  <c r="Q12" i="10" s="1"/>
  <c r="P13" i="10"/>
  <c r="Q13" i="10" s="1"/>
  <c r="P14" i="10"/>
  <c r="Q14" i="10" s="1"/>
  <c r="P15" i="10"/>
  <c r="Q15" i="10" s="1"/>
  <c r="P16" i="10"/>
  <c r="Q16" i="10" s="1"/>
  <c r="P4" i="10"/>
  <c r="Q4" i="10" s="1"/>
  <c r="O19" i="10"/>
  <c r="N5" i="10"/>
  <c r="N6" i="10"/>
  <c r="N17" i="10" s="1"/>
  <c r="N7" i="10"/>
  <c r="N8" i="10"/>
  <c r="N9" i="10"/>
  <c r="N10" i="10"/>
  <c r="N11" i="10"/>
  <c r="N12" i="10"/>
  <c r="N13" i="10"/>
  <c r="N14" i="10"/>
  <c r="N15" i="10"/>
  <c r="N16" i="10"/>
  <c r="N4" i="10"/>
  <c r="P17" i="10" l="1"/>
  <c r="Q17" i="10" s="1"/>
  <c r="H17" i="10"/>
  <c r="I13" i="10" s="1"/>
  <c r="K13" i="10" s="1"/>
  <c r="I6" i="9"/>
  <c r="I7" i="9"/>
  <c r="I8" i="9"/>
  <c r="I9" i="9"/>
  <c r="I10" i="9"/>
  <c r="I11" i="9"/>
  <c r="I12" i="9"/>
  <c r="I5" i="9"/>
  <c r="I13" i="9" s="1"/>
  <c r="K6" i="9"/>
  <c r="L6" i="9" s="1"/>
  <c r="K7" i="9"/>
  <c r="L7" i="9" s="1"/>
  <c r="K8" i="9"/>
  <c r="L8" i="9" s="1"/>
  <c r="K9" i="9"/>
  <c r="L9" i="9" s="1"/>
  <c r="K10" i="9"/>
  <c r="L10" i="9" s="1"/>
  <c r="K11" i="9"/>
  <c r="L11" i="9" s="1"/>
  <c r="K12" i="9"/>
  <c r="L12" i="9" s="1"/>
  <c r="K5" i="9"/>
  <c r="L5" i="9" s="1"/>
  <c r="B14" i="9"/>
  <c r="C5" i="9" s="1"/>
  <c r="E5" i="9" s="1"/>
  <c r="K13" i="9" l="1"/>
  <c r="L13" i="9" s="1"/>
  <c r="I14" i="10"/>
  <c r="K14" i="10" s="1"/>
  <c r="I6" i="10"/>
  <c r="K6" i="10" s="1"/>
  <c r="I8" i="10"/>
  <c r="K8" i="10" s="1"/>
  <c r="I15" i="10"/>
  <c r="K15" i="10" s="1"/>
  <c r="I16" i="10"/>
  <c r="K16" i="10" s="1"/>
  <c r="I7" i="10"/>
  <c r="K7" i="10" s="1"/>
  <c r="I9" i="10"/>
  <c r="K9" i="10" s="1"/>
  <c r="I10" i="10"/>
  <c r="K10" i="10" s="1"/>
  <c r="I11" i="10"/>
  <c r="K11" i="10" s="1"/>
  <c r="I4" i="10"/>
  <c r="K4" i="10" s="1"/>
  <c r="I12" i="10"/>
  <c r="K12" i="10" s="1"/>
  <c r="I5" i="10"/>
  <c r="K5" i="10" s="1"/>
  <c r="C6" i="9"/>
  <c r="E6" i="9" s="1"/>
  <c r="C7" i="9"/>
  <c r="E7" i="9" s="1"/>
  <c r="C8" i="9"/>
  <c r="E8" i="9" s="1"/>
  <c r="C12" i="9"/>
  <c r="E12" i="9" s="1"/>
  <c r="C9" i="9"/>
  <c r="E9" i="9" s="1"/>
  <c r="C10" i="9"/>
  <c r="E10" i="9" s="1"/>
  <c r="C11" i="9"/>
  <c r="E11" i="9" s="1"/>
  <c r="L3" i="4"/>
  <c r="L4" i="4"/>
  <c r="L15" i="4" s="1"/>
  <c r="L5" i="4"/>
  <c r="L6" i="4"/>
  <c r="L7" i="4"/>
  <c r="L8" i="4"/>
  <c r="L9" i="4"/>
  <c r="L10" i="4"/>
  <c r="M10" i="4" s="1"/>
  <c r="L11" i="4"/>
  <c r="M11" i="4" s="1"/>
  <c r="L12" i="4"/>
  <c r="L13" i="4"/>
  <c r="L14" i="4"/>
  <c r="L2" i="4"/>
  <c r="J17" i="4"/>
  <c r="J5" i="4"/>
  <c r="J6" i="4"/>
  <c r="J8" i="4"/>
  <c r="J9" i="4"/>
  <c r="J10" i="4"/>
  <c r="J11" i="4"/>
  <c r="J12" i="4"/>
  <c r="J13" i="4"/>
  <c r="J14" i="4"/>
  <c r="I7" i="4"/>
  <c r="J7" i="4" s="1"/>
  <c r="I5" i="4"/>
  <c r="I13" i="4"/>
  <c r="M13" i="4" s="1"/>
  <c r="I12" i="4"/>
  <c r="I9" i="4"/>
  <c r="I6" i="4"/>
  <c r="I8" i="4"/>
  <c r="I14" i="4"/>
  <c r="I4" i="4"/>
  <c r="M4" i="4" s="1"/>
  <c r="I3" i="4"/>
  <c r="M3" i="4" s="1"/>
  <c r="I2" i="4"/>
  <c r="M2" i="4" l="1"/>
  <c r="I15" i="4"/>
  <c r="M15" i="4" s="1"/>
  <c r="M14" i="4"/>
  <c r="M8" i="4"/>
  <c r="M6" i="4"/>
  <c r="M9" i="4"/>
  <c r="J4" i="4"/>
  <c r="M12" i="4"/>
  <c r="J3" i="4"/>
  <c r="M5" i="4"/>
  <c r="M7" i="4"/>
  <c r="J2" i="4"/>
  <c r="J15" i="4" s="1"/>
  <c r="E4" i="4"/>
  <c r="E5" i="4"/>
  <c r="E6" i="4"/>
  <c r="E8" i="4"/>
  <c r="E2" i="4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C7" i="4"/>
  <c r="E7" i="4" s="1"/>
  <c r="C6" i="4"/>
  <c r="C5" i="4"/>
  <c r="C4" i="4"/>
  <c r="C3" i="4"/>
  <c r="E3" i="4" s="1"/>
  <c r="L4" i="3" l="1"/>
  <c r="L3" i="3"/>
  <c r="M3" i="3" s="1"/>
  <c r="L5" i="3" l="1"/>
  <c r="M5" i="3" s="1"/>
  <c r="L6" i="3"/>
  <c r="M6" i="3" s="1"/>
  <c r="L7" i="3"/>
  <c r="L8" i="3"/>
  <c r="M8" i="3" s="1"/>
  <c r="L9" i="3"/>
  <c r="M9" i="3" s="1"/>
  <c r="L10" i="3"/>
  <c r="M10" i="3" s="1"/>
  <c r="L11" i="3"/>
  <c r="M11" i="3" s="1"/>
  <c r="L12" i="3"/>
  <c r="L13" i="3"/>
  <c r="L14" i="3"/>
  <c r="L15" i="3"/>
  <c r="F19" i="3"/>
  <c r="J14" i="3"/>
  <c r="J9" i="3"/>
  <c r="J10" i="3"/>
  <c r="J11" i="3"/>
  <c r="J8" i="3"/>
  <c r="J6" i="3"/>
  <c r="J5" i="3"/>
  <c r="J3" i="3"/>
  <c r="I15" i="3"/>
  <c r="I14" i="3"/>
  <c r="I13" i="3"/>
  <c r="I12" i="3"/>
  <c r="M12" i="3" s="1"/>
  <c r="I7" i="3"/>
  <c r="M7" i="3" s="1"/>
  <c r="I4" i="3"/>
  <c r="M14" i="3" l="1"/>
  <c r="J15" i="3"/>
  <c r="J16" i="3" s="1"/>
  <c r="M15" i="3"/>
  <c r="M4" i="3"/>
  <c r="I16" i="3"/>
  <c r="M13" i="3"/>
  <c r="L16" i="3"/>
  <c r="C16" i="3"/>
  <c r="D12" i="3" l="1"/>
  <c r="F12" i="3" s="1"/>
  <c r="D3" i="3"/>
  <c r="F3" i="3" s="1"/>
  <c r="M16" i="3"/>
  <c r="D13" i="3"/>
  <c r="F13" i="3" s="1"/>
  <c r="D14" i="3"/>
  <c r="F14" i="3" s="1"/>
  <c r="D15" i="3"/>
  <c r="F15" i="3" s="1"/>
  <c r="D7" i="3"/>
  <c r="F7" i="3" s="1"/>
  <c r="D5" i="3"/>
  <c r="F5" i="3" s="1"/>
  <c r="D6" i="3"/>
  <c r="F6" i="3" s="1"/>
  <c r="D8" i="3"/>
  <c r="F8" i="3" s="1"/>
  <c r="D9" i="3"/>
  <c r="F9" i="3" s="1"/>
  <c r="D10" i="3"/>
  <c r="F10" i="3" s="1"/>
  <c r="D11" i="3"/>
  <c r="F11" i="3" s="1"/>
  <c r="D4" i="3"/>
  <c r="F4" i="3" s="1"/>
  <c r="L6" i="2"/>
  <c r="M6" i="2" s="1"/>
  <c r="L7" i="2"/>
  <c r="M7" i="2" s="1"/>
  <c r="L8" i="2"/>
  <c r="M8" i="2" s="1"/>
  <c r="L9" i="2"/>
  <c r="M9" i="2" s="1"/>
  <c r="L10" i="2"/>
  <c r="M10" i="2" s="1"/>
  <c r="L11" i="2"/>
  <c r="L12" i="2"/>
  <c r="M12" i="2" s="1"/>
  <c r="L13" i="2"/>
  <c r="M13" i="2" s="1"/>
  <c r="L14" i="2"/>
  <c r="M14" i="2" s="1"/>
  <c r="L15" i="2"/>
  <c r="M15" i="2" s="1"/>
  <c r="L5" i="2"/>
  <c r="M5" i="2" s="1"/>
  <c r="I11" i="2"/>
  <c r="J7" i="2"/>
  <c r="J6" i="2"/>
  <c r="J11" i="2" l="1"/>
  <c r="M11" i="2"/>
  <c r="I16" i="2"/>
  <c r="L16" i="2"/>
  <c r="J5" i="2"/>
  <c r="C16" i="2"/>
  <c r="D11" i="2" s="1"/>
  <c r="F11" i="2" s="1"/>
  <c r="J16" i="2" l="1"/>
  <c r="M16" i="2"/>
  <c r="D5" i="2"/>
  <c r="F5" i="2" s="1"/>
  <c r="D6" i="2"/>
  <c r="F6" i="2" s="1"/>
  <c r="D7" i="2"/>
  <c r="F7" i="2" s="1"/>
  <c r="D15" i="2"/>
  <c r="F15" i="2" s="1"/>
  <c r="D8" i="2"/>
  <c r="F8" i="2" s="1"/>
  <c r="D10" i="2"/>
  <c r="F10" i="2" s="1"/>
  <c r="D12" i="2"/>
  <c r="F12" i="2" s="1"/>
  <c r="D13" i="2"/>
  <c r="F13" i="2" s="1"/>
  <c r="D14" i="2"/>
  <c r="F14" i="2" s="1"/>
  <c r="D9" i="2"/>
  <c r="F9" i="2" s="1"/>
</calcChain>
</file>

<file path=xl/sharedStrings.xml><?xml version="1.0" encoding="utf-8"?>
<sst xmlns="http://schemas.openxmlformats.org/spreadsheetml/2006/main" count="692" uniqueCount="220">
  <si>
    <t>SiO2</t>
  </si>
  <si>
    <t xml:space="preserve">FeO </t>
  </si>
  <si>
    <t xml:space="preserve">Al2O3 </t>
  </si>
  <si>
    <t xml:space="preserve">MgO </t>
  </si>
  <si>
    <t xml:space="preserve">CaO </t>
  </si>
  <si>
    <t xml:space="preserve">Na2O </t>
  </si>
  <si>
    <t xml:space="preserve">NiO </t>
  </si>
  <si>
    <t>K2O</t>
  </si>
  <si>
    <t xml:space="preserve">Cu </t>
  </si>
  <si>
    <t>SO3</t>
  </si>
  <si>
    <t>Cr2O3</t>
  </si>
  <si>
    <t>%</t>
  </si>
  <si>
    <t>P</t>
  </si>
  <si>
    <t>LOG 2</t>
  </si>
  <si>
    <t>H</t>
  </si>
  <si>
    <t>D</t>
  </si>
  <si>
    <t>100D</t>
  </si>
  <si>
    <t>NH</t>
  </si>
  <si>
    <t>R</t>
  </si>
  <si>
    <t>n=11</t>
  </si>
  <si>
    <t>53.26 % O and 46.75 % Si</t>
  </si>
  <si>
    <t>Hefni, M., Ahmed, H. A., Omar, E. S., &amp; Ali, M. A. (2021). The potential re-use of Saudi mine tailings in mine backfill: A path towards sustainable mining in Saudi Arabia. Sustainability, 13(11), 6204.</t>
  </si>
  <si>
    <t>Fe2O 3</t>
  </si>
  <si>
    <t xml:space="preserve">MnO </t>
  </si>
  <si>
    <t xml:space="preserve">P2O5 </t>
  </si>
  <si>
    <t>ZnO</t>
  </si>
  <si>
    <t>Ag</t>
  </si>
  <si>
    <t>Au</t>
  </si>
  <si>
    <t>Metallurgical</t>
  </si>
  <si>
    <t>Mining Waste</t>
  </si>
  <si>
    <t>Tailings from a copper mine in KSA</t>
  </si>
  <si>
    <t>ENTROPY</t>
  </si>
  <si>
    <t>GRADE</t>
  </si>
  <si>
    <t>RECYCLABILITY</t>
  </si>
  <si>
    <t>probability</t>
  </si>
  <si>
    <t>grade calculation</t>
  </si>
  <si>
    <r>
      <t>Salinas-Rodriguez, Eleazar, et al. "Assessment of silica recovery from metallurgical mining waste, by means of column flotation." </t>
    </r>
    <r>
      <rPr>
        <i/>
        <sz val="10"/>
        <color rgb="FF222222"/>
        <rFont val="Arial"/>
        <family val="2"/>
      </rPr>
      <t>Metals</t>
    </r>
    <r>
      <rPr>
        <sz val="10"/>
        <color rgb="FF222222"/>
        <rFont val="Arial"/>
        <family val="2"/>
      </rPr>
      <t> 10.1 (2020): 72.</t>
    </r>
  </si>
  <si>
    <t>Fe</t>
  </si>
  <si>
    <t>S</t>
  </si>
  <si>
    <t>Cu</t>
  </si>
  <si>
    <t>Ni</t>
  </si>
  <si>
    <t>Co</t>
  </si>
  <si>
    <t>Pb</t>
  </si>
  <si>
    <t>Zn</t>
  </si>
  <si>
    <t>As</t>
  </si>
  <si>
    <t>Bi</t>
  </si>
  <si>
    <t>Sb</t>
  </si>
  <si>
    <t>Te</t>
  </si>
  <si>
    <t>Total</t>
  </si>
  <si>
    <t>Washington, USA</t>
  </si>
  <si>
    <t>inactive open pit uranium mine</t>
  </si>
  <si>
    <t xml:space="preserve">Midnite Mine </t>
  </si>
  <si>
    <t>V</t>
  </si>
  <si>
    <t>Cr</t>
  </si>
  <si>
    <t>Sn</t>
  </si>
  <si>
    <t>Mean</t>
  </si>
  <si>
    <t>Monitoring uranium mine pollution on Native American lands: Insights</t>
  </si>
  <si>
    <t>from tree bark particulate matter on the Spokane Reservation,</t>
  </si>
  <si>
    <t>Tennessee, and North Carolina, USA</t>
  </si>
  <si>
    <t>sulfidic shale and copper mine waste:</t>
  </si>
  <si>
    <t>Element</t>
  </si>
  <si>
    <t>HCM-DUMP1A</t>
  </si>
  <si>
    <t>HCM-DUMP1B</t>
  </si>
  <si>
    <t>HCM-DUMP2A</t>
  </si>
  <si>
    <t>Upper dump</t>
  </si>
  <si>
    <t>Lower dump</t>
  </si>
  <si>
    <t>Major elements (%)</t>
  </si>
  <si>
    <t>Al</t>
  </si>
  <si>
    <t>Ca</t>
  </si>
  <si>
    <t>K</t>
  </si>
  <si>
    <t>Mg</t>
  </si>
  <si>
    <t>Na</t>
  </si>
  <si>
    <t>Ti</t>
  </si>
  <si>
    <t>Hazel Creek mine dump</t>
  </si>
  <si>
    <t>Total (wt%)</t>
  </si>
  <si>
    <t>Central Virginia, USA</t>
  </si>
  <si>
    <t>Al2O3</t>
  </si>
  <si>
    <t>CaO</t>
  </si>
  <si>
    <t>Fe2O3</t>
  </si>
  <si>
    <t>MgO</t>
  </si>
  <si>
    <t>BaO</t>
  </si>
  <si>
    <t>Exploring the Potential for Utilization of Medium and Highly</t>
  </si>
  <si>
    <t>Sulfidic Mine Tailings in Construction Materials: A Review</t>
  </si>
  <si>
    <t>WASTE DUMP SAMPLES</t>
  </si>
  <si>
    <t>ICP-40 PACKAGE</t>
  </si>
  <si>
    <t>Ag, ppm</t>
  </si>
  <si>
    <t>Co, ppm</t>
  </si>
  <si>
    <t>Cu, ppm</t>
  </si>
  <si>
    <t>Ni, ppm</t>
  </si>
  <si>
    <t>Pb, ppm</t>
  </si>
  <si>
    <t>Idaho, Western Wyoming, and Northern Utah</t>
  </si>
  <si>
    <t>Chemical composition of the fly-ash and coal gangue.</t>
  </si>
  <si>
    <t>Note: The coal gangue data comes from Jincheng, Shanxi Province. The fly-ash data is the national average. See The High-tech Research Process of Industrial Solid Waste in</t>
  </si>
  <si>
    <t>China in International Workshop on Sustainable Development and Concrete Technology.</t>
  </si>
  <si>
    <t xml:space="preserve">Flay ash </t>
  </si>
  <si>
    <t xml:space="preserve">Coal gangue </t>
  </si>
  <si>
    <t xml:space="preserve">Fe2O3 </t>
  </si>
  <si>
    <t xml:space="preserve"> MgO </t>
  </si>
  <si>
    <t xml:space="preserve">SiO2 </t>
  </si>
  <si>
    <t>Jincheng, Shanxi Province</t>
  </si>
  <si>
    <t>Original KLC material</t>
  </si>
  <si>
    <t xml:space="preserve">Al </t>
  </si>
  <si>
    <t xml:space="preserve">Fe </t>
  </si>
  <si>
    <t xml:space="preserve">K </t>
  </si>
  <si>
    <t>Si</t>
  </si>
  <si>
    <t>Evolution of pyrite oxidation from a 10-year kinetic leach study:</t>
  </si>
  <si>
    <t>Implications for secondary mineralisation in acid mine drainage control</t>
  </si>
  <si>
    <t>all sourced from Geo Discoveries, West Gosford, New South Wales, Australia).</t>
  </si>
  <si>
    <t>Elements 1</t>
  </si>
  <si>
    <t>Changes Induced by Self-Burning in Technosols from a Coal</t>
  </si>
  <si>
    <t>Mine Waste Pile: A Hydropedological Approach</t>
  </si>
  <si>
    <t>1 Major elements highlighted in italic; 2 LREE: Low Rare Earth Elements; 3 HREE: Heavy Rare Earth Elements</t>
  </si>
  <si>
    <t>The Mineralogy and Chemical Properties of Sedimentary Waste Rocks with</t>
  </si>
  <si>
    <t>Carbon Sequestration Potential at the Selinsing Gold Mine, Pahang</t>
  </si>
  <si>
    <t>Waste Dump</t>
  </si>
  <si>
    <t>Note: *indicate the divalent cation which can influence the mineral carbonation process</t>
  </si>
  <si>
    <t>active gold mining area in Selinsing, Pahang</t>
  </si>
  <si>
    <t>calamine miningwaste and tailings of the Olkusz Zn–Pb ore district, southern Poland</t>
  </si>
  <si>
    <t>Zn- and Pb- bearing Mn and Fe oxides</t>
  </si>
  <si>
    <t>silver mine tailings, Morocco</t>
  </si>
  <si>
    <t xml:space="preserve">copper mine waste rocks (CMWR) </t>
  </si>
  <si>
    <t>MnO</t>
  </si>
  <si>
    <t>TiO2</t>
  </si>
  <si>
    <t>P2O5</t>
  </si>
  <si>
    <t xml:space="preserve">TiO2 </t>
  </si>
  <si>
    <t xml:space="preserve">K2O </t>
  </si>
  <si>
    <t>Moroccan solid mining wastes</t>
  </si>
  <si>
    <t>n=8</t>
  </si>
  <si>
    <t xml:space="preserve">ppm to % </t>
  </si>
  <si>
    <t xml:space="preserve">MnO2 </t>
  </si>
  <si>
    <t xml:space="preserve">S </t>
  </si>
  <si>
    <t xml:space="preserve">Mn </t>
  </si>
  <si>
    <t xml:space="preserve">Zn </t>
  </si>
  <si>
    <t>O</t>
  </si>
  <si>
    <t>log2</t>
  </si>
  <si>
    <t>R (/bit)</t>
  </si>
  <si>
    <t>Zn–Pb ore</t>
  </si>
  <si>
    <t>Copper Mine Waste Rocks (CMWR)</t>
  </si>
  <si>
    <t>Moroccan Solid Mining Wastes</t>
  </si>
  <si>
    <t>Pyritic Mine Waste</t>
  </si>
  <si>
    <t>SMT</t>
  </si>
  <si>
    <t>PMU</t>
  </si>
  <si>
    <t>MUM</t>
  </si>
  <si>
    <t>ECM</t>
  </si>
  <si>
    <t>KM</t>
  </si>
  <si>
    <t>CG</t>
  </si>
  <si>
    <t>FA</t>
  </si>
  <si>
    <t>CMW</t>
  </si>
  <si>
    <t>GMW</t>
  </si>
  <si>
    <t>CMWR</t>
  </si>
  <si>
    <t>MW</t>
  </si>
  <si>
    <t>PMW</t>
  </si>
  <si>
    <t>Price, average, cents per pound of silicon</t>
  </si>
  <si>
    <t>composite price, dollars per ton</t>
  </si>
  <si>
    <t>pound</t>
  </si>
  <si>
    <t>$/metric ton</t>
  </si>
  <si>
    <t>dollar</t>
  </si>
  <si>
    <t>Gold tailings</t>
  </si>
  <si>
    <t xml:space="preserve">Copper tailings </t>
  </si>
  <si>
    <t>Sulfidic tailings</t>
  </si>
  <si>
    <t>Elizabeth copper mine</t>
  </si>
  <si>
    <t>Kyanite mine</t>
  </si>
  <si>
    <t>Coal mine waste</t>
  </si>
  <si>
    <t>Gold mine waste</t>
  </si>
  <si>
    <t>Silver mine tailings</t>
  </si>
  <si>
    <t>Metallurgical waste</t>
  </si>
  <si>
    <t>price</t>
  </si>
  <si>
    <t>Mining waste</t>
  </si>
  <si>
    <t>Potential Revenue $/metric ton</t>
  </si>
  <si>
    <t>Phosphate mines utah</t>
  </si>
  <si>
    <t>silicone</t>
  </si>
  <si>
    <t>fe</t>
  </si>
  <si>
    <t>Midnite  uranium mine</t>
  </si>
  <si>
    <t>cu</t>
  </si>
  <si>
    <t>doolar</t>
  </si>
  <si>
    <t>Sulfidic shale &amp; copper mine waste</t>
  </si>
  <si>
    <t>Fly-ash</t>
  </si>
  <si>
    <t xml:space="preserve"> Coal gangue </t>
  </si>
  <si>
    <t>MSMW</t>
  </si>
  <si>
    <t>GT</t>
  </si>
  <si>
    <t>CT</t>
  </si>
  <si>
    <t>ST</t>
  </si>
  <si>
    <t>SS&amp;CMW</t>
  </si>
  <si>
    <t>Zn-pb ore</t>
  </si>
  <si>
    <t>TAILINGS</t>
  </si>
  <si>
    <t>Gold mine tailings</t>
  </si>
  <si>
    <t xml:space="preserve">Copper Mine </t>
  </si>
  <si>
    <t>Coal waste</t>
  </si>
  <si>
    <t>other</t>
  </si>
  <si>
    <t>Silver tailings</t>
  </si>
  <si>
    <t>SiT</t>
  </si>
  <si>
    <t>Evaluating the Global Recyclability of Anthropogenic Metals from Mining Waste</t>
  </si>
  <si>
    <r>
      <t>Qudsia Kanwal</t>
    </r>
    <r>
      <rPr>
        <vertAlign val="superscript"/>
        <sz val="11"/>
        <color theme="1"/>
        <rFont val="Calibri"/>
        <family val="2"/>
        <scheme val="minor"/>
      </rPr>
      <t>1,2,</t>
    </r>
    <r>
      <rPr>
        <sz val="11"/>
        <color theme="1"/>
        <rFont val="Calibri"/>
        <family val="2"/>
        <scheme val="minor"/>
      </rPr>
      <t xml:space="preserve"> Muhammad Saqib Akhtar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,Sami G. Al-Ghamdi</t>
    </r>
    <r>
      <rPr>
        <vertAlign val="superscript"/>
        <sz val="11"/>
        <color theme="1"/>
        <rFont val="Calibri"/>
        <family val="2"/>
        <scheme val="minor"/>
      </rPr>
      <t>1,2 *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</si>
  <si>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KAUST Climate and Livability Initiative, King Abdullah University of Science and Technology (KAUST), Thuwal 23955-6900, Saudi Arabia.</t>
    </r>
  </si>
  <si>
    <r>
      <rPr>
        <b/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Environmental Science and Engineering Program, Biological and Environmental Science and Engineering Division, King Abdullah University of Science and Technology (KAUST), Thuwal 23955-6900, Saudi Arabia.</t>
    </r>
  </si>
  <si>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School of Aerospace Engineering, Tsinghua University, Beijing 10084, China</t>
    </r>
  </si>
  <si>
    <t>table &amp; figures: 6</t>
  </si>
  <si>
    <t xml:space="preserve">Suplemnetary excel sheet: 17 types of mine waste based on location and chemical compostion </t>
  </si>
  <si>
    <t>Word count (whole document) = 4564,                                                                                                                                                                                                                Word count (excluding everything: 2891)</t>
  </si>
  <si>
    <t xml:space="preserve">Suplemnetary material (word file) : 1 table </t>
  </si>
  <si>
    <t>Cost</t>
  </si>
  <si>
    <t>Explanation</t>
  </si>
  <si>
    <t>Benefit</t>
  </si>
  <si>
    <t>Collection and transportation costs</t>
  </si>
  <si>
    <t>Collecting and transporting mining waste can be expensive, especially if the mine is remote. Labor costs for processing the waste and extracting metals.</t>
  </si>
  <si>
    <t>Reduced environmental impact</t>
  </si>
  <si>
    <t>Processing metals from mining waste can reduce the amount of waste sent to landfills, which can have a positive environmental impact.</t>
  </si>
  <si>
    <t>Processing costs</t>
  </si>
  <si>
    <t>Separating and extracting metals from mining waste requires specialized equipment and can be expensive.</t>
  </si>
  <si>
    <t>Conservation of natural resources</t>
  </si>
  <si>
    <t>Mining waste requires less landfill space.</t>
  </si>
  <si>
    <t>Energy costs</t>
  </si>
  <si>
    <t>Energy and water are required for the processability process.</t>
  </si>
  <si>
    <t>Economic benefits</t>
  </si>
  <si>
    <t>Recovery of valuable metals from waste, which can be sold and generate revenue.</t>
  </si>
  <si>
    <t>Disposal costs</t>
  </si>
  <si>
    <t>If the mining waste is not recycled, it must be disposed of in a way that is safe for the environment. This can be costly.</t>
  </si>
  <si>
    <t>Improved sustainability</t>
  </si>
  <si>
    <t>There is a decrease in the necessity for extracting fresh ore, which can preserve natural resources and lessen the environmental effects of mining.</t>
  </si>
  <si>
    <r>
      <t xml:space="preserve">Table S1. </t>
    </r>
    <r>
      <rPr>
        <sz val="9"/>
        <color rgb="FF000000"/>
        <rFont val="Palatino Linotype"/>
        <family val="1"/>
      </rPr>
      <t>Cost–benefit analysis for metal processability</t>
    </r>
    <r>
      <rPr>
        <i/>
        <sz val="9"/>
        <color rgb="FF000000"/>
        <rFont val="Palatino Linotype"/>
        <family val="1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</si>
</sst>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222222"/>
      <name val="Arial"/>
      <family val="2"/>
    </font>
    <font>
      <i/>
      <sz val="10"/>
      <color rgb="FF222222"/>
      <name val="Arial"/>
      <family val="2"/>
    </font>
    <font>
      <sz val="11"/>
      <color rgb="FF7030A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9"/>
      <color rgb="FF000000"/>
      <name val="Palatino Linotype"/>
      <family val="1"/>
    </font>
    <font>
      <b/>
      <sz val="9"/>
      <color rgb="FF000000"/>
      <name val="Palatino Linotype"/>
      <family val="1"/>
    </font>
    <font>
      <i/>
      <sz val="9"/>
      <color rgb="FF000000"/>
      <name val="Palatino Linotype"/>
      <family val="1"/>
    </font>
    <font>
      <b/>
      <sz val="10"/>
      <name val="Palatino Linotype"/>
      <family val="1"/>
    </font>
    <font>
      <sz val="10"/>
      <name val="Palatino Linotype"/>
      <family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4" tint="0.59999389629810485"/>
        <bgColor indexed="65"/>
      </patternFill>
    </fill>
  </fills>
  <borders count="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7" fillId="6" borderId="0" applyNumberFormat="0" applyBorder="0" applyAlignment="0" applyProtection="0"/>
  </cellStyleXfs>
  <cellXfs count="25">
    <xf numFmtId="0" fontId="0" fillId="0" borderId="0" xfId="0"/>
    <xf numFmtId="0" fontId="1" fillId="0" borderId="0" xfId="0" applyFont="1"/>
    <xf numFmtId="0" fontId="0" fillId="2" borderId="0" xfId="0" applyFill="1"/>
    <xf numFmtId="0" fontId="2" fillId="0" borderId="0" xfId="0" applyFont="1" applyAlignment="1">
      <alignment horizontal="left" vertical="center" readingOrder="1"/>
    </xf>
    <xf numFmtId="0" fontId="3" fillId="0" borderId="0" xfId="0" applyFont="1"/>
    <xf numFmtId="0" fontId="4" fillId="0" borderId="0" xfId="0" applyFont="1"/>
    <xf numFmtId="3" fontId="0" fillId="0" borderId="0" xfId="0" applyNumberFormat="1"/>
    <xf numFmtId="0" fontId="0" fillId="3" borderId="0" xfId="0" applyFill="1"/>
    <xf numFmtId="2" fontId="1" fillId="0" borderId="0" xfId="0" applyNumberFormat="1" applyFont="1"/>
    <xf numFmtId="2" fontId="0" fillId="0" borderId="0" xfId="0" applyNumberFormat="1"/>
    <xf numFmtId="2" fontId="6" fillId="0" borderId="0" xfId="0" applyNumberFormat="1" applyFont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9" fillId="5" borderId="0" xfId="2" applyAlignment="1"/>
    <xf numFmtId="0" fontId="7" fillId="6" borderId="0" xfId="3" applyAlignment="1"/>
    <xf numFmtId="0" fontId="0" fillId="0" borderId="0" xfId="0" applyAlignment="1">
      <alignment horizontal="left" vertical="top" wrapText="1"/>
    </xf>
    <xf numFmtId="0" fontId="10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8" fillId="4" borderId="0" xfId="1" applyAlignment="1">
      <alignment horizontal="center"/>
    </xf>
    <xf numFmtId="0" fontId="14" fillId="0" borderId="0" xfId="0" applyFont="1" applyAlignment="1">
      <alignment horizontal="left" vertical="center" indent="15"/>
    </xf>
    <xf numFmtId="0" fontId="16" fillId="0" borderId="1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</cellXfs>
  <cellStyles count="4">
    <cellStyle name="40% - Accent1" xfId="3" builtinId="31"/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19"/>
  <sheetViews>
    <sheetView workbookViewId="0">
      <selection activeCell="A25" sqref="A25"/>
    </sheetView>
  </sheetViews>
  <sheetFormatPr defaultRowHeight="14.4" x14ac:dyDescent="0.3"/>
  <cols>
    <col min="1" max="1" width="170.6640625" customWidth="1"/>
  </cols>
  <sheetData>
    <row r="2" spans="1:1" x14ac:dyDescent="0.3">
      <c r="A2" s="16" t="s">
        <v>191</v>
      </c>
    </row>
    <row r="3" spans="1:1" ht="16.2" x14ac:dyDescent="0.3">
      <c r="A3" s="17" t="s">
        <v>192</v>
      </c>
    </row>
    <row r="4" spans="1:1" ht="16.2" x14ac:dyDescent="0.3">
      <c r="A4" s="17" t="s">
        <v>193</v>
      </c>
    </row>
    <row r="5" spans="1:1" ht="16.2" x14ac:dyDescent="0.3">
      <c r="A5" s="17" t="s">
        <v>194</v>
      </c>
    </row>
    <row r="6" spans="1:1" ht="16.2" x14ac:dyDescent="0.3">
      <c r="A6" s="17" t="s">
        <v>195</v>
      </c>
    </row>
    <row r="12" spans="1:1" ht="12" customHeight="1" x14ac:dyDescent="0.3"/>
    <row r="13" spans="1:1" hidden="1" x14ac:dyDescent="0.3"/>
    <row r="14" spans="1:1" ht="34.799999999999997" customHeight="1" x14ac:dyDescent="0.3">
      <c r="A14" s="15" t="s">
        <v>198</v>
      </c>
    </row>
    <row r="15" spans="1:1" x14ac:dyDescent="0.3">
      <c r="A15" s="15"/>
    </row>
    <row r="16" spans="1:1" x14ac:dyDescent="0.3">
      <c r="A16" s="15" t="s">
        <v>196</v>
      </c>
    </row>
    <row r="17" spans="1:1" x14ac:dyDescent="0.3">
      <c r="A17" s="15"/>
    </row>
    <row r="18" spans="1:1" x14ac:dyDescent="0.3">
      <c r="A18" s="15" t="s">
        <v>199</v>
      </c>
    </row>
    <row r="19" spans="1:1" x14ac:dyDescent="0.3">
      <c r="A19" s="15" t="s">
        <v>197</v>
      </c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31"/>
  <sheetViews>
    <sheetView topLeftCell="A4" workbookViewId="0">
      <selection activeCell="K16" sqref="K16"/>
    </sheetView>
  </sheetViews>
  <sheetFormatPr defaultRowHeight="14.4" x14ac:dyDescent="0.3"/>
  <sheetData>
    <row r="1" spans="1:11" s="2" customFormat="1" x14ac:dyDescent="0.3">
      <c r="A1" s="2" t="s">
        <v>59</v>
      </c>
      <c r="B1" s="2" t="s">
        <v>58</v>
      </c>
    </row>
    <row r="3" spans="1:11" x14ac:dyDescent="0.3">
      <c r="A3" t="s">
        <v>60</v>
      </c>
      <c r="D3" s="18" t="s">
        <v>73</v>
      </c>
      <c r="E3" s="18"/>
      <c r="F3" s="18"/>
      <c r="G3" s="18"/>
    </row>
    <row r="4" spans="1:11" x14ac:dyDescent="0.3">
      <c r="D4" t="s">
        <v>61</v>
      </c>
      <c r="E4" t="s">
        <v>62</v>
      </c>
      <c r="F4" t="s">
        <v>63</v>
      </c>
    </row>
    <row r="5" spans="1:11" x14ac:dyDescent="0.3">
      <c r="D5" t="s">
        <v>64</v>
      </c>
      <c r="E5" t="s">
        <v>64</v>
      </c>
      <c r="F5" t="s">
        <v>65</v>
      </c>
    </row>
    <row r="6" spans="1:11" x14ac:dyDescent="0.3">
      <c r="C6" t="s">
        <v>34</v>
      </c>
      <c r="E6" t="s">
        <v>31</v>
      </c>
      <c r="G6" t="s">
        <v>32</v>
      </c>
      <c r="K6" t="s">
        <v>33</v>
      </c>
    </row>
    <row r="7" spans="1:11" x14ac:dyDescent="0.3">
      <c r="A7" t="s">
        <v>66</v>
      </c>
      <c r="B7" t="s">
        <v>11</v>
      </c>
      <c r="C7" t="s">
        <v>12</v>
      </c>
      <c r="D7" t="s">
        <v>13</v>
      </c>
      <c r="E7" t="s">
        <v>14</v>
      </c>
      <c r="G7" t="s">
        <v>15</v>
      </c>
      <c r="H7" t="s">
        <v>16</v>
      </c>
      <c r="I7" t="s">
        <v>14</v>
      </c>
      <c r="J7" t="s">
        <v>17</v>
      </c>
      <c r="K7" t="s">
        <v>18</v>
      </c>
    </row>
    <row r="8" spans="1:11" x14ac:dyDescent="0.3">
      <c r="A8" t="s">
        <v>67</v>
      </c>
      <c r="B8">
        <v>8.3000000000000007</v>
      </c>
      <c r="C8">
        <f>B8/B16</f>
        <v>0.3505067567567568</v>
      </c>
      <c r="D8">
        <v>-1.5124858383899999</v>
      </c>
      <c r="E8">
        <f>C8*D8</f>
        <v>-0.53013650585460304</v>
      </c>
      <c r="G8">
        <v>0.33329999999999999</v>
      </c>
      <c r="H8">
        <f>100*G8</f>
        <v>33.33</v>
      </c>
      <c r="I8">
        <v>0.53013650585460304</v>
      </c>
      <c r="J8">
        <f>8*I8</f>
        <v>4.2410920468368243</v>
      </c>
      <c r="K8">
        <f>G8/J8</f>
        <v>7.858824951667541E-2</v>
      </c>
    </row>
    <row r="9" spans="1:11" x14ac:dyDescent="0.3">
      <c r="A9" t="s">
        <v>68</v>
      </c>
      <c r="B9">
        <v>0.23</v>
      </c>
      <c r="C9">
        <f>B9/B16</f>
        <v>9.7128378378378375E-3</v>
      </c>
      <c r="D9">
        <v>-6.6858913854899997</v>
      </c>
      <c r="E9">
        <f t="shared" ref="E9:E15" si="0">C9*D9</f>
        <v>-6.4938978828661315E-2</v>
      </c>
      <c r="G9">
        <v>0.5</v>
      </c>
      <c r="H9">
        <f t="shared" ref="H9:H15" si="1">100*G9</f>
        <v>50</v>
      </c>
      <c r="I9">
        <v>6.4938978828661301E-2</v>
      </c>
      <c r="J9">
        <f t="shared" ref="J9:J15" si="2">8*I9</f>
        <v>0.51951183062929041</v>
      </c>
      <c r="K9">
        <f t="shared" ref="K9:K16" si="3">G9/J9</f>
        <v>0.9624419898086719</v>
      </c>
    </row>
    <row r="10" spans="1:11" x14ac:dyDescent="0.3">
      <c r="A10" t="s">
        <v>37</v>
      </c>
      <c r="B10">
        <v>8.8000000000000007</v>
      </c>
      <c r="C10">
        <f>B10/B16</f>
        <v>0.37162162162162166</v>
      </c>
      <c r="D10">
        <v>-1.4280936506399999</v>
      </c>
      <c r="E10">
        <f t="shared" si="0"/>
        <v>-0.53071047827837836</v>
      </c>
      <c r="G10">
        <v>0.33333333333333331</v>
      </c>
      <c r="H10">
        <f t="shared" si="1"/>
        <v>33.333333333333329</v>
      </c>
      <c r="I10">
        <v>0.53071047827837803</v>
      </c>
      <c r="J10">
        <f t="shared" si="2"/>
        <v>4.2456838262270242</v>
      </c>
      <c r="K10">
        <f t="shared" si="3"/>
        <v>7.8511106096554012E-2</v>
      </c>
    </row>
    <row r="11" spans="1:11" x14ac:dyDescent="0.3">
      <c r="A11" t="s">
        <v>69</v>
      </c>
      <c r="B11">
        <v>2.6</v>
      </c>
      <c r="C11">
        <f>B11/B16</f>
        <v>0.1097972972972973</v>
      </c>
      <c r="D11">
        <v>-3.18708555651</v>
      </c>
      <c r="E11">
        <f t="shared" si="0"/>
        <v>-0.34993338036005067</v>
      </c>
      <c r="G11">
        <v>1</v>
      </c>
      <c r="H11">
        <f t="shared" si="1"/>
        <v>100</v>
      </c>
      <c r="I11">
        <v>0.34993338036005101</v>
      </c>
      <c r="J11">
        <f t="shared" si="2"/>
        <v>2.799467042880408</v>
      </c>
      <c r="K11">
        <f t="shared" si="3"/>
        <v>0.35721084930904812</v>
      </c>
    </row>
    <row r="12" spans="1:11" x14ac:dyDescent="0.3">
      <c r="A12" t="s">
        <v>70</v>
      </c>
      <c r="B12">
        <v>2.9</v>
      </c>
      <c r="C12">
        <f>B12/B16</f>
        <v>0.12246621621621621</v>
      </c>
      <c r="D12">
        <v>-3.0295442781599999</v>
      </c>
      <c r="E12">
        <f t="shared" si="0"/>
        <v>-0.37101682460574326</v>
      </c>
      <c r="G12">
        <v>0.5</v>
      </c>
      <c r="H12">
        <f t="shared" si="1"/>
        <v>50</v>
      </c>
      <c r="I12">
        <v>0.37101682460574298</v>
      </c>
      <c r="J12">
        <f t="shared" si="2"/>
        <v>2.9681345968459438</v>
      </c>
      <c r="K12">
        <f t="shared" si="3"/>
        <v>0.16845597249239289</v>
      </c>
    </row>
    <row r="13" spans="1:11" x14ac:dyDescent="0.3">
      <c r="A13" t="s">
        <v>71</v>
      </c>
      <c r="B13">
        <v>0.48</v>
      </c>
      <c r="C13">
        <f>B13/B16</f>
        <v>2.0270270270270271E-2</v>
      </c>
      <c r="D13">
        <v>-5.6244908841400001</v>
      </c>
      <c r="E13">
        <f t="shared" si="0"/>
        <v>-0.11400995035418919</v>
      </c>
      <c r="G13">
        <v>1</v>
      </c>
      <c r="H13">
        <f t="shared" si="1"/>
        <v>100</v>
      </c>
      <c r="I13">
        <v>0.114009950354189</v>
      </c>
      <c r="J13">
        <f t="shared" si="2"/>
        <v>0.91207960283351197</v>
      </c>
      <c r="K13">
        <f t="shared" si="3"/>
        <v>1.0963955304924593</v>
      </c>
    </row>
    <row r="14" spans="1:11" x14ac:dyDescent="0.3">
      <c r="A14" t="s">
        <v>12</v>
      </c>
      <c r="B14">
        <v>0.08</v>
      </c>
      <c r="C14">
        <f>B14/B16</f>
        <v>3.3783783783783786E-3</v>
      </c>
      <c r="D14">
        <v>-8.20945352721</v>
      </c>
      <c r="E14">
        <f t="shared" si="0"/>
        <v>-2.7734640294628379E-2</v>
      </c>
      <c r="G14">
        <v>0.2</v>
      </c>
      <c r="H14">
        <f t="shared" si="1"/>
        <v>20</v>
      </c>
      <c r="I14">
        <v>2.7734640294628399E-2</v>
      </c>
      <c r="J14">
        <f t="shared" si="2"/>
        <v>0.2218771223570272</v>
      </c>
      <c r="K14">
        <f t="shared" si="3"/>
        <v>0.90139982831657495</v>
      </c>
    </row>
    <row r="15" spans="1:11" x14ac:dyDescent="0.3">
      <c r="A15" t="s">
        <v>72</v>
      </c>
      <c r="B15">
        <v>0.28999999999999998</v>
      </c>
      <c r="C15">
        <f>B15/B16</f>
        <v>1.2246621621621621E-2</v>
      </c>
      <c r="D15">
        <v>-6.3514723259299997</v>
      </c>
      <c r="E15">
        <f t="shared" si="0"/>
        <v>-7.7784078315865701E-2</v>
      </c>
      <c r="G15">
        <v>0.25</v>
      </c>
      <c r="H15">
        <f t="shared" si="1"/>
        <v>25</v>
      </c>
      <c r="I15">
        <v>7.7784078315865701E-2</v>
      </c>
      <c r="J15">
        <f t="shared" si="2"/>
        <v>0.62227262652692561</v>
      </c>
      <c r="K15">
        <f t="shared" si="3"/>
        <v>0.40175316949954659</v>
      </c>
    </row>
    <row r="16" spans="1:11" x14ac:dyDescent="0.3">
      <c r="B16">
        <f>SUM(B8:B15)</f>
        <v>23.68</v>
      </c>
      <c r="G16" s="10">
        <f>SUM(G8:G15)</f>
        <v>4.1166333333333336</v>
      </c>
      <c r="H16">
        <f>SUM(H8:H15)</f>
        <v>411.6633333333333</v>
      </c>
      <c r="J16">
        <f>SUM(J8:J15)</f>
        <v>16.530118695136956</v>
      </c>
      <c r="K16" s="1">
        <f t="shared" si="3"/>
        <v>0.24903834081629542</v>
      </c>
    </row>
    <row r="17" spans="2:9" x14ac:dyDescent="0.3">
      <c r="I17">
        <f>COUNT(I8:I15)</f>
        <v>8</v>
      </c>
    </row>
    <row r="20" spans="2:9" x14ac:dyDescent="0.3">
      <c r="I20" s="9">
        <f>MAX(I8:I15)</f>
        <v>0.53071047827837803</v>
      </c>
    </row>
    <row r="21" spans="2:9" x14ac:dyDescent="0.3">
      <c r="I21" s="9">
        <f>MIN(I8:I15)</f>
        <v>2.7734640294628399E-2</v>
      </c>
    </row>
    <row r="31" spans="2:9" x14ac:dyDescent="0.3">
      <c r="B31" s="6"/>
      <c r="C31" s="6"/>
      <c r="D31" s="6"/>
    </row>
  </sheetData>
  <mergeCells count="1">
    <mergeCell ref="D3:G3"/>
  </mergeCells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W19"/>
  <sheetViews>
    <sheetView topLeftCell="D1" workbookViewId="0">
      <selection activeCell="W11" sqref="W11"/>
    </sheetView>
  </sheetViews>
  <sheetFormatPr defaultRowHeight="14.4" x14ac:dyDescent="0.3"/>
  <sheetData>
    <row r="1" spans="1:23" s="2" customFormat="1" x14ac:dyDescent="0.3">
      <c r="A1" s="2" t="s">
        <v>91</v>
      </c>
    </row>
    <row r="2" spans="1:23" x14ac:dyDescent="0.3">
      <c r="E2" s="7" t="s">
        <v>99</v>
      </c>
      <c r="F2" s="7"/>
      <c r="G2" s="7"/>
    </row>
    <row r="4" spans="1:23" x14ac:dyDescent="0.3">
      <c r="C4" t="s">
        <v>34</v>
      </c>
      <c r="E4" t="s">
        <v>31</v>
      </c>
      <c r="G4" t="s">
        <v>32</v>
      </c>
      <c r="K4" t="s">
        <v>33</v>
      </c>
      <c r="O4" t="s">
        <v>34</v>
      </c>
      <c r="Q4" t="s">
        <v>31</v>
      </c>
      <c r="S4" t="s">
        <v>32</v>
      </c>
      <c r="W4" t="s">
        <v>33</v>
      </c>
    </row>
    <row r="5" spans="1:23" x14ac:dyDescent="0.3">
      <c r="A5" s="2" t="s">
        <v>94</v>
      </c>
      <c r="B5" t="s">
        <v>11</v>
      </c>
      <c r="C5" t="s">
        <v>12</v>
      </c>
      <c r="D5" t="s">
        <v>13</v>
      </c>
      <c r="E5" t="s">
        <v>14</v>
      </c>
      <c r="G5" t="s">
        <v>15</v>
      </c>
      <c r="H5" t="s">
        <v>16</v>
      </c>
      <c r="I5" t="s">
        <v>14</v>
      </c>
      <c r="J5" t="s">
        <v>17</v>
      </c>
      <c r="K5" t="s">
        <v>18</v>
      </c>
      <c r="M5" s="2" t="s">
        <v>95</v>
      </c>
      <c r="N5" t="s">
        <v>11</v>
      </c>
      <c r="O5" t="s">
        <v>12</v>
      </c>
      <c r="P5" t="s">
        <v>13</v>
      </c>
      <c r="Q5" t="s">
        <v>14</v>
      </c>
      <c r="S5" t="s">
        <v>15</v>
      </c>
      <c r="T5" t="s">
        <v>16</v>
      </c>
      <c r="U5" t="s">
        <v>14</v>
      </c>
      <c r="V5" t="s">
        <v>17</v>
      </c>
      <c r="W5" t="s">
        <v>18</v>
      </c>
    </row>
    <row r="6" spans="1:23" x14ac:dyDescent="0.3">
      <c r="A6" t="s">
        <v>98</v>
      </c>
      <c r="B6">
        <v>50.6</v>
      </c>
      <c r="C6">
        <f>B6/B11</f>
        <v>0.56981981981981988</v>
      </c>
      <c r="D6">
        <v>-0.81142229119999998</v>
      </c>
      <c r="E6">
        <f>C6*D6</f>
        <v>-0.46236450376936938</v>
      </c>
      <c r="G6">
        <v>0.76634999999999998</v>
      </c>
      <c r="H6">
        <f>100*G6</f>
        <v>76.634999999999991</v>
      </c>
      <c r="I6">
        <v>0.462364503769369</v>
      </c>
      <c r="J6">
        <f>5*I6</f>
        <v>2.3118225188468449</v>
      </c>
      <c r="K6">
        <f>G6/J6</f>
        <v>0.33149171000473743</v>
      </c>
      <c r="M6" t="s">
        <v>98</v>
      </c>
      <c r="N6">
        <v>53.16</v>
      </c>
      <c r="O6">
        <f>N6/N11</f>
        <v>0.65443801551151048</v>
      </c>
      <c r="P6">
        <v>-0.61167153869000002</v>
      </c>
      <c r="Q6">
        <f>O6*P6</f>
        <v>-0.40030110792515572</v>
      </c>
      <c r="S6">
        <v>0.76634999999999998</v>
      </c>
      <c r="T6">
        <f>100*S6</f>
        <v>76.634999999999991</v>
      </c>
      <c r="U6">
        <v>0.400301107925156</v>
      </c>
      <c r="V6">
        <f>5*U6</f>
        <v>2.0015055396257799</v>
      </c>
      <c r="W6">
        <f>S6/V6</f>
        <v>0.38288677439448099</v>
      </c>
    </row>
    <row r="7" spans="1:23" x14ac:dyDescent="0.3">
      <c r="A7" t="s">
        <v>2</v>
      </c>
      <c r="B7">
        <v>27.2</v>
      </c>
      <c r="C7">
        <f>B7/B11</f>
        <v>0.30630630630630629</v>
      </c>
      <c r="D7">
        <v>-1.7069530265399999</v>
      </c>
      <c r="E7">
        <f t="shared" ref="E7:E10" si="0">C7*D7</f>
        <v>-0.52285047659783779</v>
      </c>
      <c r="G7">
        <v>0.76449999999999996</v>
      </c>
      <c r="H7">
        <f t="shared" ref="H7:H10" si="1">100*G7</f>
        <v>76.449999999999989</v>
      </c>
      <c r="I7">
        <v>0.52285047659783801</v>
      </c>
      <c r="J7">
        <f t="shared" ref="J7:J10" si="2">5*I7</f>
        <v>2.6142523829891902</v>
      </c>
      <c r="K7">
        <f t="shared" ref="K7:K11" si="3">G7/J7</f>
        <v>0.29243542244603593</v>
      </c>
      <c r="M7" t="s">
        <v>2</v>
      </c>
      <c r="N7">
        <v>15.53</v>
      </c>
      <c r="O7">
        <f>N7/N11</f>
        <v>0.19118552259017602</v>
      </c>
      <c r="P7">
        <v>-2.3869548115599999</v>
      </c>
      <c r="Q7">
        <f t="shared" ref="Q7:Q10" si="4">O7*P7</f>
        <v>-0.4563512030472337</v>
      </c>
      <c r="S7">
        <v>0.76449999999999996</v>
      </c>
      <c r="T7">
        <f t="shared" ref="T7:T10" si="5">100*S7</f>
        <v>76.449999999999989</v>
      </c>
      <c r="U7">
        <v>0.45635120304723398</v>
      </c>
      <c r="V7">
        <f t="shared" ref="V7:V10" si="6">5*U7</f>
        <v>2.2817560152361698</v>
      </c>
      <c r="W7">
        <f t="shared" ref="W7:W11" si="7">S7/V7</f>
        <v>0.33504896881837365</v>
      </c>
    </row>
    <row r="8" spans="1:23" x14ac:dyDescent="0.3">
      <c r="A8" t="s">
        <v>96</v>
      </c>
      <c r="B8">
        <v>7</v>
      </c>
      <c r="C8">
        <f>B8/B11</f>
        <v>7.8828828828828829E-2</v>
      </c>
      <c r="D8">
        <v>-3.6651328462700001</v>
      </c>
      <c r="E8">
        <f t="shared" si="0"/>
        <v>-0.28891812977353604</v>
      </c>
      <c r="G8">
        <v>0.76455000000000017</v>
      </c>
      <c r="H8">
        <f t="shared" si="1"/>
        <v>76.455000000000013</v>
      </c>
      <c r="I8">
        <v>0.28891812977353598</v>
      </c>
      <c r="J8">
        <f t="shared" si="2"/>
        <v>1.4445906488676798</v>
      </c>
      <c r="K8">
        <f t="shared" si="3"/>
        <v>0.52925027626288523</v>
      </c>
      <c r="M8" t="s">
        <v>96</v>
      </c>
      <c r="N8">
        <v>7.43</v>
      </c>
      <c r="O8">
        <f>N8/N11</f>
        <v>9.1468669210882675E-2</v>
      </c>
      <c r="P8">
        <v>-3.4505785318300002</v>
      </c>
      <c r="Q8">
        <f t="shared" si="4"/>
        <v>-0.31561982631413149</v>
      </c>
      <c r="S8">
        <v>0.76455000000000017</v>
      </c>
      <c r="T8">
        <f t="shared" si="5"/>
        <v>76.455000000000013</v>
      </c>
      <c r="U8">
        <v>0.31561982631413099</v>
      </c>
      <c r="V8">
        <f t="shared" si="6"/>
        <v>1.578099131570655</v>
      </c>
      <c r="W8">
        <f t="shared" si="7"/>
        <v>0.48447526819120462</v>
      </c>
    </row>
    <row r="9" spans="1:23" x14ac:dyDescent="0.3">
      <c r="A9" t="s">
        <v>77</v>
      </c>
      <c r="B9">
        <v>2.8</v>
      </c>
      <c r="C9">
        <f>B9/B11</f>
        <v>3.1531531531531529E-2</v>
      </c>
      <c r="D9">
        <v>-4.9870609228599996</v>
      </c>
      <c r="E9">
        <f t="shared" si="0"/>
        <v>-0.15724966873882881</v>
      </c>
      <c r="G9">
        <v>0.85719999999999996</v>
      </c>
      <c r="H9">
        <f t="shared" si="1"/>
        <v>85.72</v>
      </c>
      <c r="I9">
        <v>0.15724966873882901</v>
      </c>
      <c r="J9">
        <f t="shared" si="2"/>
        <v>0.78624834369414498</v>
      </c>
      <c r="K9">
        <f t="shared" si="3"/>
        <v>1.0902407704574517</v>
      </c>
      <c r="M9" t="s">
        <v>77</v>
      </c>
      <c r="N9">
        <v>4.1399999999999997</v>
      </c>
      <c r="O9">
        <f>N9/N11</f>
        <v>5.0966391727194381E-2</v>
      </c>
      <c r="P9">
        <v>-4.29430996382</v>
      </c>
      <c r="Q9">
        <f t="shared" si="4"/>
        <v>-0.21886548381404405</v>
      </c>
      <c r="S9">
        <v>0.85719999999999996</v>
      </c>
      <c r="T9">
        <f t="shared" si="5"/>
        <v>85.72</v>
      </c>
      <c r="U9">
        <v>0.218865483814044</v>
      </c>
      <c r="V9">
        <f t="shared" si="6"/>
        <v>1.0943274190702199</v>
      </c>
      <c r="W9">
        <f t="shared" si="7"/>
        <v>0.78331218341244524</v>
      </c>
    </row>
    <row r="10" spans="1:23" x14ac:dyDescent="0.3">
      <c r="A10" t="s">
        <v>97</v>
      </c>
      <c r="B10">
        <v>1.2</v>
      </c>
      <c r="C10">
        <f>B10/B11</f>
        <v>1.3513513513513514E-2</v>
      </c>
      <c r="D10">
        <v>-6.2094533136900001</v>
      </c>
      <c r="E10">
        <f t="shared" si="0"/>
        <v>-8.3911531266081085E-2</v>
      </c>
      <c r="G10">
        <v>0.80149999999999999</v>
      </c>
      <c r="H10">
        <f t="shared" si="1"/>
        <v>80.150000000000006</v>
      </c>
      <c r="I10">
        <v>8.3911531266081099E-2</v>
      </c>
      <c r="J10">
        <f t="shared" si="2"/>
        <v>0.41955765633040548</v>
      </c>
      <c r="K10">
        <f t="shared" si="3"/>
        <v>1.9103453075083712</v>
      </c>
      <c r="M10" t="s">
        <v>97</v>
      </c>
      <c r="N10">
        <v>0.97</v>
      </c>
      <c r="O10">
        <f>N10/N11</f>
        <v>1.1941400960236366E-2</v>
      </c>
      <c r="P10">
        <v>-6.3878840820500002</v>
      </c>
      <c r="Q10">
        <f t="shared" si="4"/>
        <v>-7.6280285111270468E-2</v>
      </c>
      <c r="S10">
        <v>0.80149999999999999</v>
      </c>
      <c r="T10">
        <f t="shared" si="5"/>
        <v>80.150000000000006</v>
      </c>
      <c r="U10">
        <v>7.6280285111270496E-2</v>
      </c>
      <c r="V10">
        <f t="shared" si="6"/>
        <v>0.38140142555635248</v>
      </c>
      <c r="W10">
        <f t="shared" si="7"/>
        <v>2.1014604201618998</v>
      </c>
    </row>
    <row r="11" spans="1:23" x14ac:dyDescent="0.3">
      <c r="B11">
        <f>SUM(B6:B10)</f>
        <v>88.8</v>
      </c>
      <c r="G11" s="10">
        <f>SUM(G6:G10)</f>
        <v>3.9541000000000004</v>
      </c>
      <c r="H11">
        <f>SUM(H6:H10)</f>
        <v>395.40999999999997</v>
      </c>
      <c r="J11">
        <f>SUM(J6:J10)</f>
        <v>7.5764715507282645</v>
      </c>
      <c r="K11" s="1">
        <f t="shared" si="3"/>
        <v>0.52189201444568545</v>
      </c>
      <c r="N11">
        <f>SUM(N6:N10)</f>
        <v>81.23</v>
      </c>
      <c r="S11" s="9">
        <f>SUM(S6:S10)</f>
        <v>3.9541000000000004</v>
      </c>
      <c r="T11">
        <f>SUM(T6:T10)</f>
        <v>395.40999999999997</v>
      </c>
      <c r="V11">
        <f>SUM(V6:V10)</f>
        <v>7.3370895310591768</v>
      </c>
      <c r="W11" s="1">
        <f t="shared" si="7"/>
        <v>0.53891941528880183</v>
      </c>
    </row>
    <row r="13" spans="1:23" x14ac:dyDescent="0.3">
      <c r="I13">
        <f>COUNT(I6:I10)</f>
        <v>5</v>
      </c>
      <c r="U13">
        <f>COUNT(U6:U10)</f>
        <v>5</v>
      </c>
    </row>
    <row r="15" spans="1:23" x14ac:dyDescent="0.3">
      <c r="I15" s="9">
        <f>MAX(I6:I10)</f>
        <v>0.52285047659783801</v>
      </c>
      <c r="U15" s="9">
        <f>MAX(U6:U10)</f>
        <v>0.45635120304723398</v>
      </c>
    </row>
    <row r="16" spans="1:23" x14ac:dyDescent="0.3">
      <c r="I16" s="9">
        <f>MIN(I6:I10)</f>
        <v>8.3911531266081099E-2</v>
      </c>
      <c r="U16" s="9">
        <f>MIN(U6:U10)</f>
        <v>7.6280285111270496E-2</v>
      </c>
    </row>
    <row r="18" spans="1:1" x14ac:dyDescent="0.3">
      <c r="A18" t="s">
        <v>92</v>
      </c>
    </row>
    <row r="19" spans="1:1" x14ac:dyDescent="0.3">
      <c r="A19" t="s">
        <v>93</v>
      </c>
    </row>
  </sheetData>
  <pageMargins left="0.7" right="0.7" top="0.75" bottom="0.7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K17"/>
  <sheetViews>
    <sheetView workbookViewId="0">
      <selection activeCell="K11" sqref="K11"/>
    </sheetView>
  </sheetViews>
  <sheetFormatPr defaultRowHeight="14.4" x14ac:dyDescent="0.3"/>
  <sheetData>
    <row r="1" spans="1:11" s="2" customFormat="1" x14ac:dyDescent="0.3">
      <c r="C1" s="2" t="s">
        <v>107</v>
      </c>
    </row>
    <row r="2" spans="1:11" x14ac:dyDescent="0.3">
      <c r="A2" t="s">
        <v>100</v>
      </c>
    </row>
    <row r="3" spans="1:11" x14ac:dyDescent="0.3">
      <c r="C3" t="s">
        <v>34</v>
      </c>
      <c r="E3" t="s">
        <v>31</v>
      </c>
      <c r="G3" t="s">
        <v>32</v>
      </c>
      <c r="K3" t="s">
        <v>33</v>
      </c>
    </row>
    <row r="4" spans="1:11" x14ac:dyDescent="0.3">
      <c r="B4" t="s">
        <v>11</v>
      </c>
      <c r="C4" t="s">
        <v>12</v>
      </c>
      <c r="D4" t="s">
        <v>13</v>
      </c>
      <c r="E4" t="s">
        <v>14</v>
      </c>
      <c r="G4" t="s">
        <v>15</v>
      </c>
      <c r="H4" t="s">
        <v>16</v>
      </c>
      <c r="I4" t="s">
        <v>14</v>
      </c>
      <c r="J4" t="s">
        <v>17</v>
      </c>
      <c r="K4" t="s">
        <v>18</v>
      </c>
    </row>
    <row r="5" spans="1:11" x14ac:dyDescent="0.3">
      <c r="A5" t="s">
        <v>101</v>
      </c>
      <c r="B5">
        <v>1.7</v>
      </c>
      <c r="C5">
        <f>B5/B11</f>
        <v>3.5639412997903561E-2</v>
      </c>
      <c r="D5">
        <v>-4.8103826146699999</v>
      </c>
      <c r="E5">
        <f>C5*D5</f>
        <v>-0.17143921268215931</v>
      </c>
      <c r="G5">
        <v>0.33329999999999999</v>
      </c>
      <c r="H5">
        <f>100*G5</f>
        <v>33.33</v>
      </c>
      <c r="I5">
        <v>0.171439212682159</v>
      </c>
      <c r="J5">
        <f>6*I5</f>
        <v>1.028635276092954</v>
      </c>
      <c r="K5">
        <f>G5/J5</f>
        <v>0.32402155335948335</v>
      </c>
    </row>
    <row r="6" spans="1:11" x14ac:dyDescent="0.3">
      <c r="A6" t="s">
        <v>102</v>
      </c>
      <c r="B6">
        <v>3.5</v>
      </c>
      <c r="C6">
        <f>B6/B11</f>
        <v>7.337526205450734E-2</v>
      </c>
      <c r="D6">
        <v>-3.7685624401300002</v>
      </c>
      <c r="E6">
        <f t="shared" ref="E6:E10" si="0">C6*D6</f>
        <v>-0.27651925661331239</v>
      </c>
      <c r="G6">
        <v>0.33333333333333331</v>
      </c>
      <c r="H6">
        <f t="shared" ref="H6:H10" si="1">100*G6</f>
        <v>33.333333333333329</v>
      </c>
      <c r="I6">
        <v>0.276519256613312</v>
      </c>
      <c r="J6">
        <f t="shared" ref="J6:J10" si="2">6*I6</f>
        <v>1.659115539679872</v>
      </c>
      <c r="K6">
        <f t="shared" ref="K6:K11" si="3">G6/J6</f>
        <v>0.20091025932868442</v>
      </c>
    </row>
    <row r="7" spans="1:11" x14ac:dyDescent="0.3">
      <c r="A7" t="s">
        <v>103</v>
      </c>
      <c r="B7">
        <v>1.2</v>
      </c>
      <c r="C7">
        <f>B7/B11</f>
        <v>2.5157232704402514E-2</v>
      </c>
      <c r="D7">
        <v>-5.3128829383299996</v>
      </c>
      <c r="E7">
        <f t="shared" si="0"/>
        <v>-0.13365743241081759</v>
      </c>
      <c r="G7">
        <v>1</v>
      </c>
      <c r="H7">
        <f t="shared" si="1"/>
        <v>100</v>
      </c>
      <c r="I7">
        <v>0.13365743241081801</v>
      </c>
      <c r="J7">
        <f t="shared" si="2"/>
        <v>0.80194459446490807</v>
      </c>
      <c r="K7">
        <f t="shared" si="3"/>
        <v>1.2469689388794285</v>
      </c>
    </row>
    <row r="8" spans="1:11" x14ac:dyDescent="0.3">
      <c r="A8" t="s">
        <v>70</v>
      </c>
      <c r="B8">
        <v>0.4</v>
      </c>
      <c r="C8">
        <f>B8/B11</f>
        <v>8.385744234800839E-3</v>
      </c>
      <c r="D8">
        <v>-6.8978454964000004</v>
      </c>
      <c r="E8">
        <f t="shared" si="0"/>
        <v>-5.7843568103983237E-2</v>
      </c>
      <c r="G8">
        <v>0.5</v>
      </c>
      <c r="H8">
        <f t="shared" si="1"/>
        <v>50</v>
      </c>
      <c r="I8">
        <v>5.7843568103983202E-2</v>
      </c>
      <c r="J8">
        <f t="shared" si="2"/>
        <v>0.34706140862389923</v>
      </c>
      <c r="K8">
        <f t="shared" si="3"/>
        <v>1.4406672351803771</v>
      </c>
    </row>
    <row r="9" spans="1:11" x14ac:dyDescent="0.3">
      <c r="A9" t="s">
        <v>71</v>
      </c>
      <c r="B9">
        <v>0.3</v>
      </c>
      <c r="C9">
        <f>B9/B11</f>
        <v>6.2893081761006284E-3</v>
      </c>
      <c r="D9">
        <v>-7.3128829956799999</v>
      </c>
      <c r="E9">
        <f t="shared" si="0"/>
        <v>-4.5992974815597477E-2</v>
      </c>
      <c r="G9">
        <v>1</v>
      </c>
      <c r="H9">
        <f t="shared" si="1"/>
        <v>100</v>
      </c>
      <c r="I9">
        <v>4.5992974815597498E-2</v>
      </c>
      <c r="J9">
        <f t="shared" si="2"/>
        <v>0.27595784889358499</v>
      </c>
      <c r="K9">
        <f t="shared" si="3"/>
        <v>3.6237418287226197</v>
      </c>
    </row>
    <row r="10" spans="1:11" x14ac:dyDescent="0.3">
      <c r="A10" t="s">
        <v>104</v>
      </c>
      <c r="B10">
        <v>40.6</v>
      </c>
      <c r="C10">
        <f>B10/B11</f>
        <v>0.85115303983228507</v>
      </c>
      <c r="D10">
        <v>-0.23250953853600001</v>
      </c>
      <c r="E10">
        <f t="shared" si="0"/>
        <v>-0.19790120051491825</v>
      </c>
      <c r="G10">
        <v>0.25</v>
      </c>
      <c r="H10">
        <f t="shared" si="1"/>
        <v>25</v>
      </c>
      <c r="I10">
        <v>0.197901200514918</v>
      </c>
      <c r="J10">
        <f t="shared" si="2"/>
        <v>1.187407203089508</v>
      </c>
      <c r="K10">
        <f t="shared" si="3"/>
        <v>0.21054276860501303</v>
      </c>
    </row>
    <row r="11" spans="1:11" x14ac:dyDescent="0.3">
      <c r="B11">
        <f>SUM(B5:B10)</f>
        <v>47.7</v>
      </c>
      <c r="G11" s="10">
        <f>SUM(G5:G10)</f>
        <v>3.4166333333333334</v>
      </c>
      <c r="H11">
        <f>SUM(H5:H10)</f>
        <v>341.6633333333333</v>
      </c>
      <c r="J11">
        <f>SUM(J5:J10)</f>
        <v>5.3001218708447269</v>
      </c>
      <c r="K11" s="1">
        <f t="shared" si="3"/>
        <v>0.64463297572981937</v>
      </c>
    </row>
    <row r="12" spans="1:11" x14ac:dyDescent="0.3">
      <c r="J12">
        <f>COUNT(I5:I10)</f>
        <v>6</v>
      </c>
    </row>
    <row r="14" spans="1:11" x14ac:dyDescent="0.3">
      <c r="I14" s="9">
        <f>MAX(I5:I10)</f>
        <v>0.276519256613312</v>
      </c>
    </row>
    <row r="15" spans="1:11" x14ac:dyDescent="0.3">
      <c r="I15" s="9">
        <f>MIN(I5:I10)</f>
        <v>4.5992974815597498E-2</v>
      </c>
    </row>
    <row r="16" spans="1:11" x14ac:dyDescent="0.3">
      <c r="A16" t="s">
        <v>105</v>
      </c>
    </row>
    <row r="17" spans="1:1" x14ac:dyDescent="0.3">
      <c r="A17" t="s">
        <v>106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K27"/>
  <sheetViews>
    <sheetView workbookViewId="0">
      <selection activeCell="M13" sqref="M13"/>
    </sheetView>
  </sheetViews>
  <sheetFormatPr defaultRowHeight="14.4" x14ac:dyDescent="0.3"/>
  <cols>
    <col min="3" max="3" width="12" bestFit="1" customWidth="1"/>
  </cols>
  <sheetData>
    <row r="1" spans="1:11" x14ac:dyDescent="0.3">
      <c r="C1" t="s">
        <v>34</v>
      </c>
      <c r="G1" t="s">
        <v>32</v>
      </c>
      <c r="K1" t="s">
        <v>33</v>
      </c>
    </row>
    <row r="2" spans="1:11" x14ac:dyDescent="0.3">
      <c r="A2" t="s">
        <v>108</v>
      </c>
      <c r="B2" t="s">
        <v>11</v>
      </c>
      <c r="C2" t="s">
        <v>12</v>
      </c>
      <c r="D2" t="s">
        <v>134</v>
      </c>
      <c r="E2" t="s">
        <v>14</v>
      </c>
      <c r="G2" t="s">
        <v>15</v>
      </c>
      <c r="H2" t="s">
        <v>16</v>
      </c>
      <c r="I2" t="s">
        <v>14</v>
      </c>
      <c r="J2" t="s">
        <v>17</v>
      </c>
      <c r="K2" t="s">
        <v>18</v>
      </c>
    </row>
    <row r="3" spans="1:11" x14ac:dyDescent="0.3">
      <c r="A3" t="s">
        <v>67</v>
      </c>
      <c r="B3">
        <v>9.7200000000000006</v>
      </c>
      <c r="C3">
        <f>B3/B18</f>
        <v>5.1543111676741964E-2</v>
      </c>
      <c r="D3">
        <v>-4.2780765448700002</v>
      </c>
      <c r="E3">
        <f>C3*D3</f>
        <v>-0.22050537711388482</v>
      </c>
      <c r="G3">
        <v>0.33329999999999999</v>
      </c>
      <c r="H3">
        <f>100*G3</f>
        <v>33.33</v>
      </c>
      <c r="I3">
        <v>0.22050537711388499</v>
      </c>
      <c r="J3">
        <f>14*I3</f>
        <v>3.0870752795943899</v>
      </c>
      <c r="K3">
        <f>G3/J3</f>
        <v>0.10796626898058417</v>
      </c>
    </row>
    <row r="4" spans="1:11" x14ac:dyDescent="0.3">
      <c r="A4" t="s">
        <v>68</v>
      </c>
      <c r="B4">
        <v>0.01</v>
      </c>
      <c r="C4">
        <f>B4/B18</f>
        <v>5.302789267154523E-5</v>
      </c>
      <c r="D4">
        <v>-14.2028888581</v>
      </c>
      <c r="E4">
        <f t="shared" ref="E4:E16" si="0">C4*D4</f>
        <v>-7.5314926599321231E-4</v>
      </c>
      <c r="G4">
        <v>0.5</v>
      </c>
      <c r="H4">
        <f t="shared" ref="H4:H17" si="1">100*G4</f>
        <v>50</v>
      </c>
      <c r="I4">
        <v>7.5314926599321199E-4</v>
      </c>
      <c r="J4">
        <f t="shared" ref="J4:J16" si="2">14*I4</f>
        <v>1.0544089723904969E-2</v>
      </c>
      <c r="K4">
        <f t="shared" ref="K4:K18" si="3">G4/J4</f>
        <v>47.419930320436109</v>
      </c>
    </row>
    <row r="5" spans="1:11" x14ac:dyDescent="0.3">
      <c r="A5" t="s">
        <v>37</v>
      </c>
      <c r="B5">
        <v>3.44</v>
      </c>
      <c r="C5">
        <f>B5/B18</f>
        <v>1.8241595079011557E-2</v>
      </c>
      <c r="D5">
        <v>-5.7766243090699998</v>
      </c>
      <c r="E5">
        <f t="shared" si="0"/>
        <v>-0.10537484156962984</v>
      </c>
      <c r="G5">
        <v>0.33333333333333331</v>
      </c>
      <c r="H5">
        <f t="shared" si="1"/>
        <v>33.333333333333329</v>
      </c>
      <c r="I5">
        <v>0.10537484156963001</v>
      </c>
      <c r="J5">
        <f t="shared" si="2"/>
        <v>1.47524778197482</v>
      </c>
      <c r="K5">
        <f t="shared" si="3"/>
        <v>0.22595074360126899</v>
      </c>
    </row>
    <row r="6" spans="1:11" x14ac:dyDescent="0.3">
      <c r="A6" t="s">
        <v>69</v>
      </c>
      <c r="B6">
        <v>1.98</v>
      </c>
      <c r="C6">
        <f>B6/B18</f>
        <v>1.0499522748965956E-2</v>
      </c>
      <c r="D6">
        <v>-6.5735324029499997</v>
      </c>
      <c r="E6">
        <f t="shared" si="0"/>
        <v>-6.9018953005838365E-2</v>
      </c>
      <c r="G6">
        <v>1</v>
      </c>
      <c r="H6">
        <f t="shared" si="1"/>
        <v>100</v>
      </c>
      <c r="I6">
        <v>6.9018953005838393E-2</v>
      </c>
      <c r="J6">
        <f t="shared" si="2"/>
        <v>0.96626534208173753</v>
      </c>
      <c r="K6">
        <f t="shared" si="3"/>
        <v>1.0349124163406129</v>
      </c>
    </row>
    <row r="7" spans="1:11" x14ac:dyDescent="0.3">
      <c r="A7" t="s">
        <v>70</v>
      </c>
      <c r="B7">
        <v>0.12</v>
      </c>
      <c r="C7">
        <f>B7/B18</f>
        <v>6.3633471205854278E-4</v>
      </c>
      <c r="D7">
        <v>-10.617925904</v>
      </c>
      <c r="E7">
        <f t="shared" si="0"/>
        <v>-6.7565548227807824E-3</v>
      </c>
      <c r="G7">
        <v>0.5</v>
      </c>
      <c r="H7">
        <f t="shared" si="1"/>
        <v>50</v>
      </c>
      <c r="I7">
        <v>6.7565548227807798E-3</v>
      </c>
      <c r="J7">
        <f t="shared" si="2"/>
        <v>9.4591767518930919E-2</v>
      </c>
      <c r="K7">
        <f t="shared" si="3"/>
        <v>5.2858722605001915</v>
      </c>
    </row>
    <row r="8" spans="1:11" x14ac:dyDescent="0.3">
      <c r="A8" t="s">
        <v>71</v>
      </c>
      <c r="B8">
        <v>0.4</v>
      </c>
      <c r="C8">
        <f>B8/B18</f>
        <v>2.1211157068618093E-3</v>
      </c>
      <c r="D8">
        <v>-8.8809607632500001</v>
      </c>
      <c r="E8">
        <f t="shared" si="0"/>
        <v>-1.8837545366953017E-2</v>
      </c>
      <c r="G8">
        <v>1</v>
      </c>
      <c r="H8">
        <f t="shared" si="1"/>
        <v>100</v>
      </c>
      <c r="I8">
        <v>1.8837545366953E-2</v>
      </c>
      <c r="J8">
        <f t="shared" si="2"/>
        <v>0.26372563513734198</v>
      </c>
      <c r="K8">
        <f t="shared" si="3"/>
        <v>3.7918194773868836</v>
      </c>
    </row>
    <row r="9" spans="1:11" x14ac:dyDescent="0.3">
      <c r="A9" t="s">
        <v>12</v>
      </c>
      <c r="B9">
        <v>7.0000000000000007E-2</v>
      </c>
      <c r="C9">
        <f>B9/B18</f>
        <v>3.7119524870081661E-4</v>
      </c>
      <c r="D9">
        <v>-11.3955351021</v>
      </c>
      <c r="E9">
        <f t="shared" si="0"/>
        <v>-4.2299684863028953E-3</v>
      </c>
      <c r="G9">
        <v>0.2</v>
      </c>
      <c r="H9">
        <f t="shared" si="1"/>
        <v>20</v>
      </c>
      <c r="I9">
        <v>4.2299684863028996E-3</v>
      </c>
      <c r="J9">
        <f t="shared" si="2"/>
        <v>5.9219558808240591E-2</v>
      </c>
      <c r="K9">
        <f t="shared" si="3"/>
        <v>3.3772625805542034</v>
      </c>
    </row>
    <row r="10" spans="1:11" x14ac:dyDescent="0.3">
      <c r="A10" t="s">
        <v>38</v>
      </c>
      <c r="B10">
        <v>0.3</v>
      </c>
      <c r="C10">
        <f>B10/B18</f>
        <v>1.5908367801463568E-3</v>
      </c>
      <c r="D10">
        <v>-9.2959982625300004</v>
      </c>
      <c r="E10">
        <f t="shared" si="0"/>
        <v>-1.4788415944209352E-2</v>
      </c>
      <c r="G10">
        <v>0.16666666666666666</v>
      </c>
      <c r="H10">
        <f t="shared" si="1"/>
        <v>16.666666666666664</v>
      </c>
      <c r="I10">
        <v>1.4788415944209401E-2</v>
      </c>
      <c r="J10">
        <f t="shared" si="2"/>
        <v>0.2070378232189316</v>
      </c>
      <c r="K10">
        <f t="shared" si="3"/>
        <v>0.80500588769437276</v>
      </c>
    </row>
    <row r="11" spans="1:11" x14ac:dyDescent="0.3">
      <c r="A11" t="s">
        <v>72</v>
      </c>
      <c r="B11">
        <v>0.34</v>
      </c>
      <c r="C11">
        <f>B11/B18</f>
        <v>1.8029483508325379E-3</v>
      </c>
      <c r="D11">
        <v>-9.1154264969999996</v>
      </c>
      <c r="E11">
        <f t="shared" si="0"/>
        <v>-1.6434643169901366E-2</v>
      </c>
      <c r="G11">
        <v>0.25</v>
      </c>
      <c r="H11">
        <f t="shared" si="1"/>
        <v>25</v>
      </c>
      <c r="I11">
        <v>1.6434643169901401E-2</v>
      </c>
      <c r="J11">
        <f t="shared" si="2"/>
        <v>0.23008500437861962</v>
      </c>
      <c r="K11">
        <f t="shared" si="3"/>
        <v>1.0865549481382497</v>
      </c>
    </row>
    <row r="12" spans="1:11" x14ac:dyDescent="0.3">
      <c r="A12" t="s">
        <v>44</v>
      </c>
      <c r="B12">
        <v>72</v>
      </c>
      <c r="C12">
        <f>B12/B18</f>
        <v>0.38180082723512565</v>
      </c>
      <c r="D12">
        <v>-1.3891078671899999</v>
      </c>
      <c r="E12">
        <f t="shared" si="0"/>
        <v>-0.53036253281196299</v>
      </c>
      <c r="G12">
        <v>0.2</v>
      </c>
      <c r="H12">
        <f t="shared" si="1"/>
        <v>20</v>
      </c>
      <c r="I12">
        <v>0.53036253281196299</v>
      </c>
      <c r="J12">
        <f t="shared" si="2"/>
        <v>7.4250754593674824</v>
      </c>
      <c r="K12">
        <f t="shared" si="3"/>
        <v>2.6935753191259466E-2</v>
      </c>
    </row>
    <row r="13" spans="1:11" x14ac:dyDescent="0.3">
      <c r="A13" t="s">
        <v>41</v>
      </c>
      <c r="B13">
        <v>2.1</v>
      </c>
      <c r="C13">
        <f>B13/B18</f>
        <v>1.1135857461024499E-2</v>
      </c>
      <c r="D13">
        <v>-6.4886435995799996</v>
      </c>
      <c r="E13">
        <f t="shared" si="0"/>
        <v>-7.2256610240311797E-2</v>
      </c>
      <c r="G13">
        <v>1</v>
      </c>
      <c r="H13">
        <f t="shared" si="1"/>
        <v>100</v>
      </c>
      <c r="I13">
        <v>7.2256610240311797E-2</v>
      </c>
      <c r="J13">
        <f t="shared" si="2"/>
        <v>1.0115925433643651</v>
      </c>
      <c r="K13">
        <f t="shared" si="3"/>
        <v>0.98854030366237133</v>
      </c>
    </row>
    <row r="14" spans="1:11" x14ac:dyDescent="0.3">
      <c r="A14" t="s">
        <v>39</v>
      </c>
      <c r="B14">
        <v>25.2</v>
      </c>
      <c r="C14">
        <f>B14/B18</f>
        <v>0.13363028953229397</v>
      </c>
      <c r="D14">
        <v>-2.9036810340799999</v>
      </c>
      <c r="E14">
        <f t="shared" si="0"/>
        <v>-0.38801973729354117</v>
      </c>
      <c r="G14">
        <v>1</v>
      </c>
      <c r="H14">
        <f t="shared" si="1"/>
        <v>100</v>
      </c>
      <c r="I14">
        <v>0.388019737293541</v>
      </c>
      <c r="J14">
        <f t="shared" si="2"/>
        <v>5.4322763221095745</v>
      </c>
      <c r="K14">
        <f t="shared" si="3"/>
        <v>0.1840848919871696</v>
      </c>
    </row>
    <row r="15" spans="1:11" x14ac:dyDescent="0.3">
      <c r="A15" t="s">
        <v>40</v>
      </c>
      <c r="B15">
        <v>19.600000000000001</v>
      </c>
      <c r="C15">
        <f>B15/B18</f>
        <v>0.10393466963622866</v>
      </c>
      <c r="D15">
        <v>-3.2662511134700001</v>
      </c>
      <c r="E15">
        <f t="shared" si="0"/>
        <v>-0.33947673042746845</v>
      </c>
      <c r="G15">
        <v>0.5</v>
      </c>
      <c r="H15">
        <f t="shared" si="1"/>
        <v>50</v>
      </c>
      <c r="I15">
        <v>0.33947673042746801</v>
      </c>
      <c r="J15">
        <f>14*I15</f>
        <v>4.7526742259845518</v>
      </c>
      <c r="K15">
        <f t="shared" si="3"/>
        <v>0.10520392861482554</v>
      </c>
    </row>
    <row r="16" spans="1:11" x14ac:dyDescent="0.3">
      <c r="A16" t="s">
        <v>42</v>
      </c>
      <c r="B16">
        <v>47</v>
      </c>
      <c r="C16">
        <f>B16/B18</f>
        <v>0.24923109555626258</v>
      </c>
      <c r="D16">
        <v>-2.0044440135000001</v>
      </c>
      <c r="E16">
        <f t="shared" si="0"/>
        <v>-0.499569777465797</v>
      </c>
      <c r="G16">
        <v>0.5</v>
      </c>
      <c r="H16">
        <f t="shared" si="1"/>
        <v>50</v>
      </c>
      <c r="I16">
        <v>0.33947673042746801</v>
      </c>
      <c r="J16">
        <f t="shared" si="2"/>
        <v>4.7526742259845518</v>
      </c>
      <c r="K16">
        <f t="shared" si="3"/>
        <v>0.10520392861482554</v>
      </c>
    </row>
    <row r="17" spans="1:11" x14ac:dyDescent="0.3">
      <c r="A17" t="s">
        <v>46</v>
      </c>
      <c r="B17">
        <v>6.3</v>
      </c>
      <c r="G17">
        <v>0.2</v>
      </c>
      <c r="H17">
        <f t="shared" si="1"/>
        <v>20</v>
      </c>
      <c r="I17">
        <v>0.33947673042746801</v>
      </c>
      <c r="J17">
        <f>14*I17</f>
        <v>4.7526742259845518</v>
      </c>
      <c r="K17">
        <f t="shared" si="3"/>
        <v>4.2081571445930215E-2</v>
      </c>
    </row>
    <row r="18" spans="1:11" x14ac:dyDescent="0.3">
      <c r="B18">
        <f>SUM(B3:B17)</f>
        <v>188.58</v>
      </c>
      <c r="G18" s="10">
        <f>SUM(G3:G17)</f>
        <v>7.6833000000000009</v>
      </c>
      <c r="H18">
        <f>SUM(H3:H17)</f>
        <v>768.32999999999993</v>
      </c>
      <c r="J18">
        <f t="shared" ref="J18" si="4">SUM(J3:J17)</f>
        <v>34.520759285231996</v>
      </c>
      <c r="K18" s="1">
        <f t="shared" si="3"/>
        <v>0.22257042310442232</v>
      </c>
    </row>
    <row r="19" spans="1:11" x14ac:dyDescent="0.3">
      <c r="I19">
        <f>COUNT(I3:I16)</f>
        <v>14</v>
      </c>
    </row>
    <row r="21" spans="1:11" x14ac:dyDescent="0.3">
      <c r="I21">
        <f>MIN(I3:I17)</f>
        <v>7.5314926599321199E-4</v>
      </c>
    </row>
    <row r="22" spans="1:11" x14ac:dyDescent="0.3">
      <c r="I22" s="9">
        <f>MAX(I3:I17)</f>
        <v>0.53036253281196299</v>
      </c>
    </row>
    <row r="23" spans="1:11" x14ac:dyDescent="0.3">
      <c r="A23" t="s">
        <v>111</v>
      </c>
    </row>
    <row r="26" spans="1:11" x14ac:dyDescent="0.3">
      <c r="A26" t="s">
        <v>109</v>
      </c>
    </row>
    <row r="27" spans="1:11" x14ac:dyDescent="0.3">
      <c r="A27" t="s">
        <v>110</v>
      </c>
    </row>
  </sheetData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K19"/>
  <sheetViews>
    <sheetView workbookViewId="0">
      <selection activeCell="M29" sqref="M29"/>
    </sheetView>
  </sheetViews>
  <sheetFormatPr defaultRowHeight="14.4" x14ac:dyDescent="0.3"/>
  <sheetData>
    <row r="1" spans="1:11" x14ac:dyDescent="0.3">
      <c r="A1" t="s">
        <v>116</v>
      </c>
    </row>
    <row r="2" spans="1:11" x14ac:dyDescent="0.3">
      <c r="A2" t="s">
        <v>114</v>
      </c>
    </row>
    <row r="3" spans="1:11" x14ac:dyDescent="0.3">
      <c r="C3" t="s">
        <v>34</v>
      </c>
      <c r="E3" t="s">
        <v>31</v>
      </c>
      <c r="G3" t="s">
        <v>32</v>
      </c>
      <c r="K3" t="s">
        <v>33</v>
      </c>
    </row>
    <row r="4" spans="1:11" x14ac:dyDescent="0.3">
      <c r="B4" t="s">
        <v>11</v>
      </c>
      <c r="C4" t="s">
        <v>12</v>
      </c>
      <c r="D4" t="s">
        <v>13</v>
      </c>
      <c r="E4" t="s">
        <v>14</v>
      </c>
      <c r="G4" t="s">
        <v>15</v>
      </c>
      <c r="H4" t="s">
        <v>16</v>
      </c>
      <c r="I4" t="s">
        <v>14</v>
      </c>
      <c r="J4" t="s">
        <v>17</v>
      </c>
      <c r="K4" t="s">
        <v>18</v>
      </c>
    </row>
    <row r="5" spans="1:11" x14ac:dyDescent="0.3">
      <c r="A5" t="s">
        <v>79</v>
      </c>
      <c r="B5">
        <v>5.74</v>
      </c>
      <c r="C5">
        <f>B5/B10</f>
        <v>6.0708619777895288E-2</v>
      </c>
      <c r="D5">
        <v>-4.0419548108800001</v>
      </c>
      <c r="E5">
        <f>C5*D5</f>
        <v>-0.24538149777314858</v>
      </c>
      <c r="G5">
        <v>0.80149999999999999</v>
      </c>
      <c r="H5">
        <f>G5*100</f>
        <v>80.150000000000006</v>
      </c>
      <c r="I5">
        <v>0.24538149777314899</v>
      </c>
      <c r="J5">
        <f>5*I5</f>
        <v>1.226907488865745</v>
      </c>
      <c r="K5">
        <f>G5/J5</f>
        <v>0.65326848786372071</v>
      </c>
    </row>
    <row r="6" spans="1:11" x14ac:dyDescent="0.3">
      <c r="A6" t="s">
        <v>0</v>
      </c>
      <c r="B6">
        <v>54.81</v>
      </c>
      <c r="C6">
        <f>B6/B10</f>
        <v>0.57969328397673181</v>
      </c>
      <c r="D6">
        <v>-0.78663832343100004</v>
      </c>
      <c r="E6">
        <f t="shared" ref="E6:E9" si="0">C6*D6</f>
        <v>-0.45600895301166688</v>
      </c>
      <c r="G6">
        <v>0.76634999999999998</v>
      </c>
      <c r="H6">
        <f t="shared" ref="H6:H9" si="1">G6*100</f>
        <v>76.634999999999991</v>
      </c>
      <c r="I6">
        <v>0.456008953011667</v>
      </c>
      <c r="J6">
        <f t="shared" ref="J6:J9" si="2">5*I6</f>
        <v>2.2800447650583351</v>
      </c>
      <c r="K6">
        <f t="shared" ref="K6:K10" si="3">G6/J6</f>
        <v>0.33611182190117783</v>
      </c>
    </row>
    <row r="7" spans="1:11" x14ac:dyDescent="0.3">
      <c r="A7" t="s">
        <v>78</v>
      </c>
      <c r="B7">
        <v>5.71</v>
      </c>
      <c r="C7">
        <f>B7/B10</f>
        <v>6.039132734003172E-2</v>
      </c>
      <c r="D7">
        <v>-4.0495148156000003</v>
      </c>
      <c r="E7">
        <f t="shared" si="0"/>
        <v>-0.2445555747972078</v>
      </c>
      <c r="G7">
        <v>0.76455000000000017</v>
      </c>
      <c r="H7">
        <f t="shared" si="1"/>
        <v>76.455000000000013</v>
      </c>
      <c r="I7">
        <v>0.24455557479720799</v>
      </c>
      <c r="J7">
        <f t="shared" si="2"/>
        <v>1.22277787398604</v>
      </c>
      <c r="K7">
        <f t="shared" si="3"/>
        <v>0.62525665230407068</v>
      </c>
    </row>
    <row r="8" spans="1:11" x14ac:dyDescent="0.3">
      <c r="A8" t="s">
        <v>76</v>
      </c>
      <c r="B8">
        <v>24.35</v>
      </c>
      <c r="C8">
        <f>B8/B10</f>
        <v>0.25753569539925963</v>
      </c>
      <c r="D8">
        <v>-1.9571556881000001</v>
      </c>
      <c r="E8">
        <f t="shared" si="0"/>
        <v>-0.50403745113944998</v>
      </c>
      <c r="G8">
        <v>0.76449999999999996</v>
      </c>
      <c r="H8">
        <f t="shared" si="1"/>
        <v>76.449999999999989</v>
      </c>
      <c r="I8">
        <v>0.50403745113944998</v>
      </c>
      <c r="J8">
        <f t="shared" si="2"/>
        <v>2.52018725569725</v>
      </c>
      <c r="K8">
        <f t="shared" si="3"/>
        <v>0.30335047456165665</v>
      </c>
    </row>
    <row r="9" spans="1:11" x14ac:dyDescent="0.3">
      <c r="A9" t="s">
        <v>7</v>
      </c>
      <c r="B9">
        <v>3.94</v>
      </c>
      <c r="C9">
        <f>B9/B10</f>
        <v>4.167107350608143E-2</v>
      </c>
      <c r="D9">
        <v>-4.5848099062800003</v>
      </c>
      <c r="E9">
        <f t="shared" si="0"/>
        <v>-0.19105395061600419</v>
      </c>
      <c r="G9">
        <v>0.91505000000000003</v>
      </c>
      <c r="H9">
        <f t="shared" si="1"/>
        <v>91.50500000000001</v>
      </c>
      <c r="I9">
        <v>0.191053950616004</v>
      </c>
      <c r="J9">
        <f t="shared" si="2"/>
        <v>0.95526975308002005</v>
      </c>
      <c r="K9">
        <f t="shared" si="3"/>
        <v>0.95789696789797663</v>
      </c>
    </row>
    <row r="10" spans="1:11" x14ac:dyDescent="0.3">
      <c r="B10">
        <f>SUM(B5:B9)</f>
        <v>94.550000000000011</v>
      </c>
      <c r="G10" s="10">
        <f>SUM(G5:G9)</f>
        <v>4.0119500000000006</v>
      </c>
      <c r="H10">
        <f>SUM(H5:H9)</f>
        <v>401.19499999999999</v>
      </c>
      <c r="J10">
        <f t="shared" ref="J10" si="4">SUM(J5:J9)</f>
        <v>8.205187136687389</v>
      </c>
      <c r="K10" s="1">
        <f t="shared" si="3"/>
        <v>0.48895289445155926</v>
      </c>
    </row>
    <row r="11" spans="1:11" x14ac:dyDescent="0.3">
      <c r="J11">
        <f>COUNT(I5:I9)</f>
        <v>5</v>
      </c>
    </row>
    <row r="12" spans="1:11" x14ac:dyDescent="0.3">
      <c r="A12" t="s">
        <v>115</v>
      </c>
    </row>
    <row r="15" spans="1:11" x14ac:dyDescent="0.3">
      <c r="I15" s="9">
        <f>MAX(I5:I9)</f>
        <v>0.50403745113944998</v>
      </c>
    </row>
    <row r="16" spans="1:11" x14ac:dyDescent="0.3">
      <c r="I16" s="9">
        <f>MIN(I5:I9)</f>
        <v>0.191053950616004</v>
      </c>
    </row>
    <row r="18" spans="1:1" x14ac:dyDescent="0.3">
      <c r="A18" t="s">
        <v>112</v>
      </c>
    </row>
    <row r="19" spans="1:1" x14ac:dyDescent="0.3">
      <c r="A19" t="s">
        <v>113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K18"/>
  <sheetViews>
    <sheetView workbookViewId="0">
      <selection activeCell="E5" sqref="E5:E12"/>
    </sheetView>
  </sheetViews>
  <sheetFormatPr defaultRowHeight="14.4" x14ac:dyDescent="0.3"/>
  <sheetData>
    <row r="1" spans="1:11" x14ac:dyDescent="0.3">
      <c r="A1" t="s">
        <v>117</v>
      </c>
    </row>
    <row r="2" spans="1:11" x14ac:dyDescent="0.3">
      <c r="A2" t="s">
        <v>118</v>
      </c>
    </row>
    <row r="3" spans="1:11" x14ac:dyDescent="0.3">
      <c r="C3" t="s">
        <v>34</v>
      </c>
      <c r="E3" t="s">
        <v>31</v>
      </c>
      <c r="G3" t="s">
        <v>32</v>
      </c>
      <c r="K3" t="s">
        <v>33</v>
      </c>
    </row>
    <row r="4" spans="1:11" x14ac:dyDescent="0.3">
      <c r="B4" t="s">
        <v>11</v>
      </c>
      <c r="C4" t="s">
        <v>12</v>
      </c>
      <c r="D4" t="s">
        <v>13</v>
      </c>
      <c r="E4" t="s">
        <v>14</v>
      </c>
      <c r="G4" t="s">
        <v>15</v>
      </c>
      <c r="H4" t="s">
        <v>16</v>
      </c>
      <c r="I4" t="s">
        <v>14</v>
      </c>
      <c r="J4" t="s">
        <v>17</v>
      </c>
      <c r="K4" t="s">
        <v>18</v>
      </c>
    </row>
    <row r="5" spans="1:11" x14ac:dyDescent="0.3">
      <c r="A5" t="s">
        <v>131</v>
      </c>
      <c r="B5">
        <v>37.299999999999997</v>
      </c>
      <c r="C5">
        <f>B5/B13</f>
        <v>0.37487437185929651</v>
      </c>
      <c r="D5">
        <v>-1.41552089463</v>
      </c>
      <c r="E5" s="9">
        <f>C5*D5</f>
        <v>-0.53064250622813069</v>
      </c>
      <c r="G5">
        <v>0.14285714285714285</v>
      </c>
      <c r="H5">
        <f>100*G5</f>
        <v>14.285714285714285</v>
      </c>
      <c r="I5">
        <v>0.53064250622813103</v>
      </c>
      <c r="J5">
        <f>8*I5</f>
        <v>4.2451400498250482</v>
      </c>
      <c r="K5">
        <f>G5/J5</f>
        <v>3.3651926951863538E-2</v>
      </c>
    </row>
    <row r="6" spans="1:11" x14ac:dyDescent="0.3">
      <c r="A6" t="s">
        <v>104</v>
      </c>
      <c r="B6">
        <v>1.9</v>
      </c>
      <c r="C6">
        <f>B6/B13</f>
        <v>1.9095477386934675E-2</v>
      </c>
      <c r="D6">
        <v>-5.7106252312199999</v>
      </c>
      <c r="E6" s="9">
        <f t="shared" ref="E6:E12" si="0">C6*D6</f>
        <v>-0.10904711496802011</v>
      </c>
      <c r="G6">
        <v>0.25</v>
      </c>
      <c r="H6">
        <f t="shared" ref="H6:H12" si="1">100*G6</f>
        <v>25</v>
      </c>
      <c r="I6">
        <v>0.10904711496802</v>
      </c>
      <c r="J6">
        <f t="shared" ref="J6:J12" si="2">8*I6</f>
        <v>0.87237691974415998</v>
      </c>
      <c r="K6">
        <f t="shared" ref="K6:K12" si="3">G6/J6</f>
        <v>0.28657337710552561</v>
      </c>
    </row>
    <row r="7" spans="1:11" x14ac:dyDescent="0.3">
      <c r="A7" t="s">
        <v>37</v>
      </c>
      <c r="B7">
        <v>13.5</v>
      </c>
      <c r="C7">
        <f>B7/B13</f>
        <v>0.13567839195979903</v>
      </c>
      <c r="D7">
        <v>-2.8817371179500002</v>
      </c>
      <c r="E7" s="9">
        <f t="shared" si="0"/>
        <v>-0.39098945821432174</v>
      </c>
      <c r="G7">
        <v>1</v>
      </c>
      <c r="H7">
        <f t="shared" si="1"/>
        <v>100</v>
      </c>
      <c r="I7">
        <v>0.39098945821432202</v>
      </c>
      <c r="J7">
        <f t="shared" si="2"/>
        <v>3.1279156657145761</v>
      </c>
      <c r="K7">
        <f t="shared" si="3"/>
        <v>0.31970171413542531</v>
      </c>
    </row>
    <row r="8" spans="1:11" x14ac:dyDescent="0.3">
      <c r="A8" t="s">
        <v>101</v>
      </c>
      <c r="B8">
        <v>0.5</v>
      </c>
      <c r="C8">
        <f>B8/B13</f>
        <v>5.0251256281407045E-3</v>
      </c>
      <c r="D8">
        <v>-7.6366245137800002</v>
      </c>
      <c r="E8" s="9">
        <f t="shared" si="0"/>
        <v>-3.8374997556683423E-2</v>
      </c>
      <c r="G8">
        <v>0.33329999999999999</v>
      </c>
      <c r="H8">
        <f t="shared" si="1"/>
        <v>33.33</v>
      </c>
      <c r="I8">
        <v>3.8374997556683402E-2</v>
      </c>
      <c r="J8">
        <f t="shared" si="2"/>
        <v>0.30699998045346721</v>
      </c>
      <c r="K8">
        <f t="shared" si="3"/>
        <v>1.0856678215669109</v>
      </c>
    </row>
    <row r="9" spans="1:11" x14ac:dyDescent="0.3">
      <c r="A9" t="s">
        <v>42</v>
      </c>
      <c r="B9">
        <v>21.5</v>
      </c>
      <c r="C9">
        <f>B9/B13</f>
        <v>0.21608040201005027</v>
      </c>
      <c r="D9">
        <v>-2.2103598659100001</v>
      </c>
      <c r="E9" s="9">
        <f t="shared" si="0"/>
        <v>-0.47761544841271364</v>
      </c>
      <c r="G9">
        <v>0.5</v>
      </c>
      <c r="H9">
        <f t="shared" si="1"/>
        <v>50</v>
      </c>
      <c r="I9">
        <v>0.47761544841271403</v>
      </c>
      <c r="J9">
        <f t="shared" si="2"/>
        <v>3.8209235873017122</v>
      </c>
      <c r="K9">
        <f t="shared" si="3"/>
        <v>0.13085841383001687</v>
      </c>
    </row>
    <row r="10" spans="1:11" x14ac:dyDescent="0.3">
      <c r="A10" t="s">
        <v>132</v>
      </c>
      <c r="B10">
        <v>6.6</v>
      </c>
      <c r="C10">
        <f>B10/B13</f>
        <v>6.6331658291457291E-2</v>
      </c>
      <c r="D10">
        <v>-3.9141586024100001</v>
      </c>
      <c r="E10" s="9">
        <f t="shared" si="0"/>
        <v>-0.25963263091362815</v>
      </c>
      <c r="G10">
        <v>0.5</v>
      </c>
      <c r="H10">
        <f t="shared" si="1"/>
        <v>50</v>
      </c>
      <c r="I10">
        <v>0.25963263091362798</v>
      </c>
      <c r="J10">
        <f t="shared" si="2"/>
        <v>2.0770610473090239</v>
      </c>
      <c r="K10">
        <f t="shared" si="3"/>
        <v>0.24072474935090837</v>
      </c>
    </row>
    <row r="11" spans="1:11" x14ac:dyDescent="0.3">
      <c r="A11" t="s">
        <v>68</v>
      </c>
      <c r="B11">
        <v>0.5</v>
      </c>
      <c r="C11">
        <f>B11/B13</f>
        <v>5.0251256281407045E-3</v>
      </c>
      <c r="D11">
        <v>-7.6366245137800002</v>
      </c>
      <c r="E11" s="9">
        <f t="shared" si="0"/>
        <v>-3.8374997556683423E-2</v>
      </c>
      <c r="G11">
        <v>0.33333333333333331</v>
      </c>
      <c r="H11">
        <f t="shared" si="1"/>
        <v>33.333333333333329</v>
      </c>
      <c r="I11">
        <v>3.8374997556683402E-2</v>
      </c>
      <c r="J11">
        <f t="shared" si="2"/>
        <v>0.30699998045346721</v>
      </c>
      <c r="K11">
        <f t="shared" si="3"/>
        <v>1.0857763992068317</v>
      </c>
    </row>
    <row r="12" spans="1:11" x14ac:dyDescent="0.3">
      <c r="A12" t="s">
        <v>133</v>
      </c>
      <c r="B12">
        <v>17.7</v>
      </c>
      <c r="C12">
        <f>B12/B13</f>
        <v>0.17788944723618091</v>
      </c>
      <c r="D12">
        <v>-2.4909471672599999</v>
      </c>
      <c r="E12" s="9">
        <f t="shared" si="0"/>
        <v>-0.44311321467841208</v>
      </c>
      <c r="G12">
        <v>0.5</v>
      </c>
      <c r="H12">
        <f t="shared" si="1"/>
        <v>50</v>
      </c>
      <c r="I12">
        <v>0.44311321467841203</v>
      </c>
      <c r="J12">
        <f t="shared" si="2"/>
        <v>3.5449057174272962</v>
      </c>
      <c r="K12">
        <f t="shared" si="3"/>
        <v>0.1410474748431034</v>
      </c>
    </row>
    <row r="13" spans="1:11" x14ac:dyDescent="0.3">
      <c r="B13">
        <f>SUM(B5:B12)</f>
        <v>99.499999999999986</v>
      </c>
      <c r="G13" s="10">
        <f>SUM(G5:G12)</f>
        <v>3.5594904761904762</v>
      </c>
      <c r="H13">
        <f>SUM(H5:H12)</f>
        <v>355.94904761904758</v>
      </c>
      <c r="J13">
        <f t="shared" ref="J13" si="4">SUM(J5:J12)</f>
        <v>18.302322948228749</v>
      </c>
      <c r="K13" s="1">
        <f>G13/J13</f>
        <v>0.19448298919536627</v>
      </c>
    </row>
    <row r="15" spans="1:11" x14ac:dyDescent="0.3">
      <c r="I15">
        <f>COUNT(I5:I12)</f>
        <v>8</v>
      </c>
    </row>
    <row r="17" spans="9:9" x14ac:dyDescent="0.3">
      <c r="I17" s="9">
        <f>MIN(I5:I12)</f>
        <v>3.8374997556683402E-2</v>
      </c>
    </row>
    <row r="18" spans="9:9" x14ac:dyDescent="0.3">
      <c r="I18" s="9">
        <f>MAX(I5:I12)</f>
        <v>0.53064250622813103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B50"/>
  <sheetViews>
    <sheetView topLeftCell="J1" workbookViewId="0">
      <selection activeCell="M1" sqref="M1:O19"/>
    </sheetView>
  </sheetViews>
  <sheetFormatPr defaultRowHeight="14.4" x14ac:dyDescent="0.3"/>
  <cols>
    <col min="2" max="2" width="31.5546875" customWidth="1"/>
    <col min="3" max="3" width="20.6640625" customWidth="1"/>
    <col min="6" max="6" width="16.6640625" customWidth="1"/>
    <col min="12" max="12" width="20.6640625" customWidth="1"/>
    <col min="14" max="14" width="13.88671875" customWidth="1"/>
    <col min="16" max="17" width="20.6640625" customWidth="1"/>
  </cols>
  <sheetData>
    <row r="1" spans="1:20" ht="33" customHeight="1" x14ac:dyDescent="0.3">
      <c r="B1" t="s">
        <v>167</v>
      </c>
      <c r="D1" t="s">
        <v>135</v>
      </c>
      <c r="E1" t="s">
        <v>166</v>
      </c>
      <c r="F1" s="11" t="s">
        <v>168</v>
      </c>
      <c r="L1" t="s">
        <v>167</v>
      </c>
      <c r="N1" s="12" t="s">
        <v>168</v>
      </c>
      <c r="O1" t="s">
        <v>135</v>
      </c>
      <c r="R1" t="s">
        <v>135</v>
      </c>
    </row>
    <row r="2" spans="1:20" x14ac:dyDescent="0.3">
      <c r="A2" s="20" t="s">
        <v>184</v>
      </c>
      <c r="B2" s="12" t="s">
        <v>157</v>
      </c>
      <c r="C2" t="s">
        <v>179</v>
      </c>
      <c r="D2" s="9">
        <v>0.32770305564251745</v>
      </c>
      <c r="E2">
        <v>3.7930000000000001</v>
      </c>
      <c r="F2" s="9">
        <f t="shared" ref="F2:F16" si="0">D2*E2</f>
        <v>1.2429776900520688</v>
      </c>
      <c r="L2" t="s">
        <v>157</v>
      </c>
      <c r="M2" t="s">
        <v>179</v>
      </c>
      <c r="N2" s="9">
        <v>1.2429776900520688</v>
      </c>
      <c r="O2" s="9">
        <v>0.32770305564251745</v>
      </c>
      <c r="Q2" t="s">
        <v>183</v>
      </c>
      <c r="R2" s="9">
        <v>0.19448298919536627</v>
      </c>
      <c r="T2" s="9">
        <f>MAX(R2:R19)</f>
        <v>1.184427396839367</v>
      </c>
    </row>
    <row r="3" spans="1:20" x14ac:dyDescent="0.3">
      <c r="A3" s="20"/>
      <c r="B3" s="12" t="s">
        <v>158</v>
      </c>
      <c r="C3" t="s">
        <v>180</v>
      </c>
      <c r="D3" s="9">
        <v>0.37161035748431592</v>
      </c>
      <c r="E3">
        <v>11.648999999999999</v>
      </c>
      <c r="F3" s="9">
        <f t="shared" si="0"/>
        <v>4.3288890543347955</v>
      </c>
      <c r="L3" t="s">
        <v>158</v>
      </c>
      <c r="M3" t="s">
        <v>180</v>
      </c>
      <c r="N3" s="9">
        <v>4.3288890543347955</v>
      </c>
      <c r="O3" s="9">
        <v>0.37161035748431592</v>
      </c>
      <c r="Q3" t="s">
        <v>142</v>
      </c>
      <c r="R3" s="9">
        <v>0.20986901020398266</v>
      </c>
      <c r="T3" s="9">
        <f>MIN(R2:R19)</f>
        <v>0.19448298919536627</v>
      </c>
    </row>
    <row r="4" spans="1:20" x14ac:dyDescent="0.3">
      <c r="A4" s="20"/>
      <c r="B4" s="12" t="s">
        <v>159</v>
      </c>
      <c r="C4" t="s">
        <v>181</v>
      </c>
      <c r="D4" s="9">
        <v>0.34123701374322374</v>
      </c>
      <c r="E4">
        <v>11.648999999999999</v>
      </c>
      <c r="F4" s="9">
        <f t="shared" si="0"/>
        <v>3.9750699730948131</v>
      </c>
      <c r="L4" t="s">
        <v>159</v>
      </c>
      <c r="M4" t="s">
        <v>181</v>
      </c>
      <c r="N4" s="9">
        <v>3.9750699730948131</v>
      </c>
      <c r="O4" s="9">
        <v>0.34123701374322374</v>
      </c>
      <c r="Q4" t="s">
        <v>147</v>
      </c>
      <c r="R4" s="9">
        <v>0.22257042310442232</v>
      </c>
    </row>
    <row r="5" spans="1:20" x14ac:dyDescent="0.3">
      <c r="A5" s="20"/>
      <c r="B5" s="12" t="s">
        <v>185</v>
      </c>
      <c r="C5" t="s">
        <v>148</v>
      </c>
      <c r="D5" s="9">
        <v>0.48895289445155926</v>
      </c>
      <c r="E5">
        <v>11.648999999999999</v>
      </c>
      <c r="F5" s="9">
        <f t="shared" si="0"/>
        <v>5.6958122674662137</v>
      </c>
      <c r="L5" t="s">
        <v>163</v>
      </c>
      <c r="M5" t="s">
        <v>148</v>
      </c>
      <c r="N5" s="9">
        <v>5.6958122674662137</v>
      </c>
      <c r="O5" s="9">
        <v>0.48895289445155926</v>
      </c>
      <c r="Q5" t="s">
        <v>182</v>
      </c>
      <c r="R5" s="9">
        <v>0.24903834081629542</v>
      </c>
    </row>
    <row r="6" spans="1:20" x14ac:dyDescent="0.3">
      <c r="A6" s="20"/>
      <c r="B6" s="12" t="s">
        <v>164</v>
      </c>
      <c r="C6" t="s">
        <v>140</v>
      </c>
      <c r="D6" s="9">
        <v>0.74919999999999998</v>
      </c>
      <c r="E6">
        <v>11.648999999999999</v>
      </c>
      <c r="F6" s="9">
        <f t="shared" si="0"/>
        <v>8.7274307999999987</v>
      </c>
      <c r="L6" t="s">
        <v>189</v>
      </c>
      <c r="M6" t="s">
        <v>190</v>
      </c>
      <c r="N6" s="9">
        <v>8.7274307999999987</v>
      </c>
      <c r="O6" s="9">
        <v>0.74919999999999998</v>
      </c>
      <c r="Q6" t="s">
        <v>141</v>
      </c>
      <c r="R6" s="9">
        <v>0.2899685229417317</v>
      </c>
    </row>
    <row r="7" spans="1:20" x14ac:dyDescent="0.3">
      <c r="A7" s="20"/>
      <c r="B7" s="12" t="s">
        <v>169</v>
      </c>
      <c r="C7" t="s">
        <v>141</v>
      </c>
      <c r="D7" s="9">
        <v>0.2899685229417317</v>
      </c>
      <c r="E7">
        <v>11.648999999999999</v>
      </c>
      <c r="F7" s="9">
        <f t="shared" si="0"/>
        <v>3.3778433237482322</v>
      </c>
      <c r="L7" t="s">
        <v>169</v>
      </c>
      <c r="M7" t="s">
        <v>141</v>
      </c>
      <c r="N7" s="9">
        <v>3.3778433237482322</v>
      </c>
      <c r="O7" s="9">
        <v>0.2899685229417317</v>
      </c>
      <c r="Q7" t="s">
        <v>179</v>
      </c>
      <c r="R7" s="9">
        <v>0.32770305564251745</v>
      </c>
    </row>
    <row r="8" spans="1:20" ht="18" customHeight="1" x14ac:dyDescent="0.3">
      <c r="A8" s="13" t="s">
        <v>186</v>
      </c>
      <c r="B8" s="12" t="s">
        <v>175</v>
      </c>
      <c r="C8" t="s">
        <v>182</v>
      </c>
      <c r="D8" s="9">
        <v>0.24903834081629542</v>
      </c>
      <c r="E8">
        <v>3.7930000000000001</v>
      </c>
      <c r="F8" s="9">
        <f t="shared" si="0"/>
        <v>0.94460242671620853</v>
      </c>
      <c r="L8" t="s">
        <v>175</v>
      </c>
      <c r="M8" t="s">
        <v>182</v>
      </c>
      <c r="N8" s="9">
        <v>0.94460242671620853</v>
      </c>
      <c r="O8" s="9">
        <v>0.24903834081629542</v>
      </c>
      <c r="Q8" t="s">
        <v>181</v>
      </c>
      <c r="R8" s="9">
        <v>0.34123701374322374</v>
      </c>
    </row>
    <row r="9" spans="1:20" x14ac:dyDescent="0.3">
      <c r="A9" s="13"/>
      <c r="B9" s="12" t="s">
        <v>160</v>
      </c>
      <c r="C9" t="s">
        <v>143</v>
      </c>
      <c r="D9" s="9">
        <v>1.184427396839367</v>
      </c>
      <c r="E9">
        <v>3.7930000000000001</v>
      </c>
      <c r="F9" s="9">
        <f t="shared" si="0"/>
        <v>4.4925331162117192</v>
      </c>
      <c r="L9" t="s">
        <v>160</v>
      </c>
      <c r="M9" t="s">
        <v>143</v>
      </c>
      <c r="N9" s="9">
        <v>4.4925331162117192</v>
      </c>
      <c r="O9" s="9">
        <v>1.184427396839367</v>
      </c>
      <c r="Q9" t="s">
        <v>144</v>
      </c>
      <c r="R9" s="9">
        <v>0.34289999999999998</v>
      </c>
    </row>
    <row r="10" spans="1:20" ht="17.25" customHeight="1" x14ac:dyDescent="0.3">
      <c r="A10" s="13"/>
      <c r="B10" s="12" t="s">
        <v>137</v>
      </c>
      <c r="C10" t="s">
        <v>149</v>
      </c>
      <c r="D10" s="9">
        <v>0.38669999999999999</v>
      </c>
      <c r="E10">
        <v>11.648999999999999</v>
      </c>
      <c r="F10" s="9">
        <f t="shared" si="0"/>
        <v>4.5046682999999996</v>
      </c>
      <c r="L10" t="s">
        <v>137</v>
      </c>
      <c r="M10" t="s">
        <v>149</v>
      </c>
      <c r="N10" s="9">
        <v>4.5046682999999996</v>
      </c>
      <c r="O10" s="9">
        <v>0.38669999999999999</v>
      </c>
      <c r="Q10" t="s">
        <v>180</v>
      </c>
      <c r="R10" s="9">
        <v>0.37161035748431592</v>
      </c>
    </row>
    <row r="11" spans="1:20" x14ac:dyDescent="0.3">
      <c r="A11" s="13"/>
      <c r="B11" s="12" t="s">
        <v>139</v>
      </c>
      <c r="C11" t="s">
        <v>151</v>
      </c>
      <c r="D11" s="9">
        <v>0.64463297572981937</v>
      </c>
      <c r="E11">
        <v>3.7930000000000001</v>
      </c>
      <c r="F11" s="9">
        <f t="shared" si="0"/>
        <v>2.445092876943205</v>
      </c>
      <c r="L11" t="s">
        <v>139</v>
      </c>
      <c r="M11" t="s">
        <v>151</v>
      </c>
      <c r="N11" s="9">
        <v>2.445092876943205</v>
      </c>
      <c r="O11" s="9">
        <v>0.64463297572981937</v>
      </c>
      <c r="Q11" t="s">
        <v>149</v>
      </c>
      <c r="R11" s="9">
        <v>0.38669999999999999</v>
      </c>
    </row>
    <row r="12" spans="1:20" x14ac:dyDescent="0.3">
      <c r="A12" s="14" t="s">
        <v>187</v>
      </c>
      <c r="B12" s="12" t="s">
        <v>177</v>
      </c>
      <c r="C12" t="s">
        <v>145</v>
      </c>
      <c r="D12" s="9">
        <v>0.53891941528880183</v>
      </c>
      <c r="E12">
        <v>11.648999999999999</v>
      </c>
      <c r="F12" s="9">
        <f t="shared" si="0"/>
        <v>6.2778722686992516</v>
      </c>
      <c r="L12" t="s">
        <v>177</v>
      </c>
      <c r="M12" t="s">
        <v>145</v>
      </c>
      <c r="N12" s="9">
        <v>6.2778722686992516</v>
      </c>
      <c r="O12" s="9">
        <v>0.53891941528880183</v>
      </c>
      <c r="Q12" t="s">
        <v>178</v>
      </c>
      <c r="R12" s="9">
        <v>0.4113</v>
      </c>
    </row>
    <row r="13" spans="1:20" x14ac:dyDescent="0.3">
      <c r="A13" s="14"/>
      <c r="B13" s="12" t="s">
        <v>176</v>
      </c>
      <c r="C13" t="s">
        <v>146</v>
      </c>
      <c r="D13" s="9">
        <v>0.52189201444568545</v>
      </c>
      <c r="E13">
        <v>11.648999999999999</v>
      </c>
      <c r="F13" s="9">
        <f t="shared" si="0"/>
        <v>6.079520076277789</v>
      </c>
      <c r="L13" t="s">
        <v>176</v>
      </c>
      <c r="M13" t="s">
        <v>146</v>
      </c>
      <c r="N13" s="9">
        <v>6.079520076277789</v>
      </c>
      <c r="O13" s="9">
        <v>0.52189201444568545</v>
      </c>
      <c r="Q13" t="s">
        <v>148</v>
      </c>
      <c r="R13" s="9">
        <v>0.48895289445155926</v>
      </c>
    </row>
    <row r="14" spans="1:20" x14ac:dyDescent="0.3">
      <c r="A14" s="14"/>
      <c r="B14" s="12" t="s">
        <v>162</v>
      </c>
      <c r="C14" t="s">
        <v>147</v>
      </c>
      <c r="D14" s="9">
        <v>0.22257042310442232</v>
      </c>
      <c r="E14">
        <v>3.7930000000000001</v>
      </c>
      <c r="F14" s="9">
        <f t="shared" si="0"/>
        <v>0.84420961483507395</v>
      </c>
      <c r="I14">
        <v>0.85233454794474239</v>
      </c>
      <c r="L14" t="s">
        <v>162</v>
      </c>
      <c r="M14" t="s">
        <v>147</v>
      </c>
      <c r="N14" s="9">
        <v>0.84420961483507395</v>
      </c>
      <c r="O14" s="9">
        <v>0.22257042310442232</v>
      </c>
      <c r="Q14" t="s">
        <v>146</v>
      </c>
      <c r="R14" s="9">
        <v>0.52189201444568545</v>
      </c>
    </row>
    <row r="15" spans="1:20" x14ac:dyDescent="0.3">
      <c r="A15" s="14"/>
      <c r="B15" s="12" t="s">
        <v>138</v>
      </c>
      <c r="C15" t="s">
        <v>178</v>
      </c>
      <c r="D15" s="9">
        <v>0.4113</v>
      </c>
      <c r="E15">
        <v>11.648999999999999</v>
      </c>
      <c r="F15" s="9">
        <f t="shared" si="0"/>
        <v>4.7912336999999994</v>
      </c>
      <c r="L15" t="s">
        <v>138</v>
      </c>
      <c r="M15" t="s">
        <v>178</v>
      </c>
      <c r="N15" s="9">
        <v>4.7912336999999994</v>
      </c>
      <c r="O15" s="9">
        <v>0.4113</v>
      </c>
      <c r="Q15" t="s">
        <v>145</v>
      </c>
      <c r="R15" s="9">
        <v>0.53891941528880183</v>
      </c>
    </row>
    <row r="16" spans="1:20" ht="16.5" customHeight="1" x14ac:dyDescent="0.3">
      <c r="A16" s="19" t="s">
        <v>165</v>
      </c>
      <c r="B16" s="12" t="s">
        <v>136</v>
      </c>
      <c r="C16" t="s">
        <v>183</v>
      </c>
      <c r="D16" s="9">
        <v>0.19448298919536627</v>
      </c>
      <c r="E16">
        <v>3.7930000000000001</v>
      </c>
      <c r="F16" s="9">
        <f t="shared" si="0"/>
        <v>0.73767397801802426</v>
      </c>
      <c r="L16" t="s">
        <v>136</v>
      </c>
      <c r="M16" t="s">
        <v>183</v>
      </c>
      <c r="N16" s="9">
        <v>0.73767397801802426</v>
      </c>
      <c r="O16" s="9">
        <v>0.19448298919536627</v>
      </c>
      <c r="Q16" t="s">
        <v>151</v>
      </c>
      <c r="R16" s="9">
        <v>0.64463297572981937</v>
      </c>
    </row>
    <row r="17" spans="1:19" x14ac:dyDescent="0.3">
      <c r="A17" s="19"/>
      <c r="B17" s="12" t="s">
        <v>165</v>
      </c>
      <c r="C17" t="s">
        <v>150</v>
      </c>
      <c r="D17" s="9">
        <v>0.85233454794474239</v>
      </c>
      <c r="E17">
        <v>11.648999999999999</v>
      </c>
      <c r="F17" s="9">
        <f>D2*E17</f>
        <v>3.8174128951796855</v>
      </c>
      <c r="L17" t="s">
        <v>165</v>
      </c>
      <c r="M17" t="s">
        <v>150</v>
      </c>
      <c r="N17" s="9">
        <v>3.8174128951796855</v>
      </c>
      <c r="O17" s="9">
        <v>0.85233454794474239</v>
      </c>
      <c r="Q17" t="s">
        <v>140</v>
      </c>
      <c r="R17" s="9">
        <v>0.74919999999999998</v>
      </c>
    </row>
    <row r="18" spans="1:19" x14ac:dyDescent="0.3">
      <c r="A18" t="s">
        <v>188</v>
      </c>
      <c r="B18" s="12" t="s">
        <v>172</v>
      </c>
      <c r="C18" t="s">
        <v>142</v>
      </c>
      <c r="D18" s="9">
        <v>0.20986901020398266</v>
      </c>
      <c r="E18">
        <v>32.792000000000002</v>
      </c>
      <c r="F18" s="9">
        <f>D18*E18</f>
        <v>6.8820245826089996</v>
      </c>
      <c r="H18" s="9">
        <f>MAX(F2:F16)</f>
        <v>8.7274307999999987</v>
      </c>
      <c r="L18" t="s">
        <v>172</v>
      </c>
      <c r="M18" t="s">
        <v>142</v>
      </c>
      <c r="N18" s="9">
        <v>6.8820245826089996</v>
      </c>
      <c r="O18" s="9">
        <v>0.20986901020398266</v>
      </c>
      <c r="Q18" t="s">
        <v>150</v>
      </c>
      <c r="R18" s="9">
        <v>0.85233454794474239</v>
      </c>
    </row>
    <row r="19" spans="1:19" x14ac:dyDescent="0.3">
      <c r="B19" s="12" t="s">
        <v>161</v>
      </c>
      <c r="C19" t="s">
        <v>144</v>
      </c>
      <c r="D19" s="9">
        <v>0.34289999999999998</v>
      </c>
      <c r="E19">
        <v>11.648999999999999</v>
      </c>
      <c r="F19" s="9">
        <f>D19*E19</f>
        <v>3.9944420999999997</v>
      </c>
      <c r="L19" t="s">
        <v>161</v>
      </c>
      <c r="M19" t="s">
        <v>144</v>
      </c>
      <c r="N19" s="9">
        <v>3.9944420999999997</v>
      </c>
      <c r="O19" s="9">
        <v>0.34289999999999998</v>
      </c>
      <c r="Q19" t="s">
        <v>143</v>
      </c>
      <c r="R19" s="9">
        <v>1.184427396839367</v>
      </c>
    </row>
    <row r="28" spans="1:19" x14ac:dyDescent="0.3">
      <c r="C28" t="s">
        <v>179</v>
      </c>
      <c r="D28" t="s">
        <v>180</v>
      </c>
      <c r="E28" t="s">
        <v>181</v>
      </c>
      <c r="F28" t="s">
        <v>141</v>
      </c>
      <c r="G28" t="s">
        <v>142</v>
      </c>
      <c r="H28" t="s">
        <v>182</v>
      </c>
      <c r="I28" t="s">
        <v>143</v>
      </c>
      <c r="J28" t="s">
        <v>144</v>
      </c>
      <c r="L28" t="s">
        <v>146</v>
      </c>
      <c r="M28" t="s">
        <v>145</v>
      </c>
      <c r="N28" t="s">
        <v>147</v>
      </c>
      <c r="O28" t="s">
        <v>180</v>
      </c>
      <c r="P28" t="s">
        <v>179</v>
      </c>
      <c r="R28" t="s">
        <v>180</v>
      </c>
      <c r="S28" t="s">
        <v>151</v>
      </c>
    </row>
    <row r="29" spans="1:19" x14ac:dyDescent="0.3">
      <c r="C29" s="9">
        <v>0.32770305564251745</v>
      </c>
      <c r="D29" s="9">
        <v>0.37161035748431592</v>
      </c>
      <c r="E29" s="9">
        <v>0.34123701374322374</v>
      </c>
      <c r="F29" s="9">
        <v>0.2899685229417317</v>
      </c>
      <c r="G29" s="9">
        <v>0.20986901020398266</v>
      </c>
      <c r="H29" s="9">
        <v>0.24903834081629542</v>
      </c>
      <c r="I29" s="9">
        <v>1.184427396839367</v>
      </c>
      <c r="J29" s="9">
        <v>0.34289999999999998</v>
      </c>
      <c r="L29" s="9">
        <v>0.52189201444568545</v>
      </c>
      <c r="M29" s="9">
        <v>0.53891941528880183</v>
      </c>
      <c r="N29" s="9">
        <v>0.22257042310442232</v>
      </c>
      <c r="O29" s="9">
        <v>0.37161035748431592</v>
      </c>
      <c r="P29" s="9">
        <v>0.32770305564251745</v>
      </c>
      <c r="Q29" s="9"/>
      <c r="R29" s="9">
        <v>0.37161035748431592</v>
      </c>
      <c r="S29" s="9">
        <v>0.64463297572981937</v>
      </c>
    </row>
    <row r="35" spans="10:28" x14ac:dyDescent="0.3">
      <c r="L35" t="s">
        <v>157</v>
      </c>
      <c r="M35" t="s">
        <v>158</v>
      </c>
      <c r="N35" t="s">
        <v>159</v>
      </c>
      <c r="O35" t="s">
        <v>189</v>
      </c>
      <c r="P35" t="s">
        <v>169</v>
      </c>
      <c r="Q35" t="s">
        <v>175</v>
      </c>
      <c r="R35" t="s">
        <v>160</v>
      </c>
      <c r="S35" t="s">
        <v>137</v>
      </c>
      <c r="T35" t="s">
        <v>139</v>
      </c>
      <c r="U35" t="s">
        <v>177</v>
      </c>
      <c r="V35" t="s">
        <v>176</v>
      </c>
      <c r="W35" t="s">
        <v>162</v>
      </c>
      <c r="X35" t="s">
        <v>138</v>
      </c>
      <c r="Y35" t="s">
        <v>136</v>
      </c>
      <c r="Z35" t="s">
        <v>165</v>
      </c>
      <c r="AA35" t="s">
        <v>172</v>
      </c>
      <c r="AB35" t="s">
        <v>161</v>
      </c>
    </row>
    <row r="36" spans="10:28" x14ac:dyDescent="0.3">
      <c r="L36" t="s">
        <v>179</v>
      </c>
      <c r="M36" t="s">
        <v>180</v>
      </c>
      <c r="N36" t="s">
        <v>181</v>
      </c>
      <c r="O36" t="s">
        <v>190</v>
      </c>
      <c r="P36" t="s">
        <v>141</v>
      </c>
      <c r="Q36" t="s">
        <v>182</v>
      </c>
      <c r="R36" t="s">
        <v>143</v>
      </c>
      <c r="S36" t="s">
        <v>149</v>
      </c>
      <c r="T36" t="s">
        <v>151</v>
      </c>
      <c r="U36" t="s">
        <v>145</v>
      </c>
      <c r="V36" t="s">
        <v>146</v>
      </c>
      <c r="W36" t="s">
        <v>147</v>
      </c>
      <c r="X36" t="s">
        <v>178</v>
      </c>
      <c r="Y36" t="s">
        <v>183</v>
      </c>
      <c r="Z36" t="s">
        <v>150</v>
      </c>
      <c r="AA36" t="s">
        <v>142</v>
      </c>
      <c r="AB36" t="s">
        <v>144</v>
      </c>
    </row>
    <row r="43" spans="10:28" x14ac:dyDescent="0.3">
      <c r="J43" t="s">
        <v>183</v>
      </c>
      <c r="L43" t="s">
        <v>147</v>
      </c>
      <c r="M43" t="s">
        <v>142</v>
      </c>
      <c r="N43" t="s">
        <v>182</v>
      </c>
      <c r="O43" t="s">
        <v>179</v>
      </c>
      <c r="P43" t="s">
        <v>181</v>
      </c>
      <c r="Q43" t="s">
        <v>144</v>
      </c>
      <c r="R43" t="s">
        <v>180</v>
      </c>
      <c r="S43" t="s">
        <v>178</v>
      </c>
      <c r="T43" t="s">
        <v>148</v>
      </c>
      <c r="U43" t="s">
        <v>146</v>
      </c>
      <c r="V43" t="s">
        <v>145</v>
      </c>
      <c r="W43" t="s">
        <v>151</v>
      </c>
      <c r="X43" t="s">
        <v>140</v>
      </c>
      <c r="Y43" t="s">
        <v>150</v>
      </c>
      <c r="Z43" t="s">
        <v>143</v>
      </c>
    </row>
    <row r="44" spans="10:28" x14ac:dyDescent="0.3">
      <c r="J44" s="9">
        <v>0.19448298919536627</v>
      </c>
      <c r="L44" s="9">
        <v>0.22257042310442232</v>
      </c>
      <c r="M44" s="9">
        <v>0.20986901020398266</v>
      </c>
      <c r="N44" s="9">
        <v>0.24903834081629542</v>
      </c>
      <c r="O44" s="9">
        <v>0.32770305564251745</v>
      </c>
      <c r="P44" s="9">
        <v>0.34123701374322374</v>
      </c>
      <c r="Q44" s="9">
        <v>0.34289999999999998</v>
      </c>
      <c r="R44" s="9">
        <v>0.37161035748431592</v>
      </c>
      <c r="S44" s="9">
        <v>0.4113</v>
      </c>
      <c r="T44" s="9">
        <v>0.48895289445155926</v>
      </c>
      <c r="U44" s="9">
        <v>0.52189201444568545</v>
      </c>
      <c r="V44" s="9">
        <v>0.53891941528880183</v>
      </c>
      <c r="W44" s="9">
        <v>0.64463297572981937</v>
      </c>
      <c r="X44" s="9">
        <v>0.74919999999999998</v>
      </c>
      <c r="Y44" s="9">
        <v>0.85233454794474239</v>
      </c>
      <c r="Z44" s="9">
        <v>1.184427396839367</v>
      </c>
    </row>
    <row r="49" spans="3:19" x14ac:dyDescent="0.3">
      <c r="C49" t="s">
        <v>179</v>
      </c>
      <c r="D49" t="s">
        <v>180</v>
      </c>
      <c r="E49" t="s">
        <v>181</v>
      </c>
      <c r="F49" t="s">
        <v>148</v>
      </c>
      <c r="G49" t="s">
        <v>140</v>
      </c>
      <c r="H49" t="s">
        <v>141</v>
      </c>
      <c r="I49" t="s">
        <v>182</v>
      </c>
      <c r="J49" t="s">
        <v>143</v>
      </c>
      <c r="L49" t="s">
        <v>151</v>
      </c>
      <c r="M49" t="s">
        <v>149</v>
      </c>
      <c r="N49" t="s">
        <v>145</v>
      </c>
      <c r="O49" t="s">
        <v>147</v>
      </c>
      <c r="P49" t="s">
        <v>178</v>
      </c>
      <c r="Q49" t="s">
        <v>183</v>
      </c>
      <c r="R49" t="s">
        <v>150</v>
      </c>
      <c r="S49" t="s">
        <v>144</v>
      </c>
    </row>
    <row r="50" spans="3:19" x14ac:dyDescent="0.3">
      <c r="C50" s="9">
        <v>0.32770305564251745</v>
      </c>
      <c r="D50" s="9">
        <v>0.37161035748431592</v>
      </c>
      <c r="E50" s="9">
        <v>0.34123701374322374</v>
      </c>
      <c r="F50" s="9">
        <v>0.48895289445155926</v>
      </c>
      <c r="G50" s="9">
        <v>0.74919999999999998</v>
      </c>
      <c r="H50" s="9">
        <v>0.2899685229417317</v>
      </c>
      <c r="I50" s="9">
        <v>0.24903834081629542</v>
      </c>
      <c r="J50" s="9">
        <v>1.184427396839367</v>
      </c>
      <c r="L50" s="9">
        <v>0.64463297572981937</v>
      </c>
      <c r="M50" s="9">
        <v>0.38669999999999999</v>
      </c>
      <c r="N50" s="9">
        <v>0.53891941528880183</v>
      </c>
      <c r="O50" s="9">
        <v>0.22257042310442232</v>
      </c>
      <c r="P50" s="9">
        <v>0.4113</v>
      </c>
      <c r="Q50" s="9">
        <v>0.19448298919536627</v>
      </c>
      <c r="R50" s="9">
        <v>0.85233454794474239</v>
      </c>
      <c r="S50" s="9">
        <v>0.34289999999999998</v>
      </c>
    </row>
  </sheetData>
  <sortState xmlns:xlrd2="http://schemas.microsoft.com/office/spreadsheetml/2017/richdata2" ref="R2:R19">
    <sortCondition ref="R2"/>
  </sortState>
  <mergeCells count="2">
    <mergeCell ref="A16:A17"/>
    <mergeCell ref="A2:A7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L18"/>
  <sheetViews>
    <sheetView workbookViewId="0">
      <selection activeCell="B9" sqref="B9"/>
    </sheetView>
  </sheetViews>
  <sheetFormatPr defaultRowHeight="14.4" x14ac:dyDescent="0.3"/>
  <sheetData>
    <row r="1" spans="2:12" x14ac:dyDescent="0.3">
      <c r="D1" t="s">
        <v>119</v>
      </c>
    </row>
    <row r="3" spans="2:12" x14ac:dyDescent="0.3">
      <c r="D3" t="s">
        <v>34</v>
      </c>
      <c r="F3" t="s">
        <v>31</v>
      </c>
      <c r="H3" t="s">
        <v>32</v>
      </c>
      <c r="L3" t="s">
        <v>33</v>
      </c>
    </row>
    <row r="4" spans="2:12" x14ac:dyDescent="0.3">
      <c r="C4" t="s">
        <v>11</v>
      </c>
      <c r="D4" t="s">
        <v>12</v>
      </c>
      <c r="E4" t="s">
        <v>13</v>
      </c>
      <c r="F4" t="s">
        <v>14</v>
      </c>
      <c r="H4" t="s">
        <v>15</v>
      </c>
      <c r="I4" t="s">
        <v>16</v>
      </c>
      <c r="J4" t="s">
        <v>14</v>
      </c>
      <c r="K4" t="s">
        <v>17</v>
      </c>
      <c r="L4" t="s">
        <v>18</v>
      </c>
    </row>
    <row r="5" spans="2:12" x14ac:dyDescent="0.3">
      <c r="B5" t="s">
        <v>38</v>
      </c>
      <c r="C5">
        <v>0.57999999999999996</v>
      </c>
      <c r="D5">
        <f>C5/C13</f>
        <v>8.002207505518763E-3</v>
      </c>
      <c r="E5">
        <v>-6.9653861557700001</v>
      </c>
      <c r="F5">
        <f>D5*E5</f>
        <v>-5.5738465374539178E-2</v>
      </c>
      <c r="H5">
        <v>0.16666666666666666</v>
      </c>
      <c r="I5">
        <f>100*H5</f>
        <v>16.666666666666664</v>
      </c>
      <c r="J5">
        <v>5.5738465374539199E-2</v>
      </c>
      <c r="K5">
        <f>8*J5</f>
        <v>0.44590772299631359</v>
      </c>
      <c r="L5">
        <f>I5/K5</f>
        <v>37.376941028681067</v>
      </c>
    </row>
    <row r="6" spans="2:12" x14ac:dyDescent="0.3">
      <c r="B6" t="s">
        <v>8</v>
      </c>
      <c r="C6">
        <v>0.08</v>
      </c>
      <c r="D6">
        <f>C6/C13</f>
        <v>1.1037527593818985E-3</v>
      </c>
      <c r="E6">
        <v>-9.8233669255400002</v>
      </c>
      <c r="F6">
        <f t="shared" ref="F6:F12" si="0">D6*E6</f>
        <v>-1.0842568350485651E-2</v>
      </c>
      <c r="H6">
        <v>1</v>
      </c>
      <c r="I6">
        <f t="shared" ref="I6:I12" si="1">100*H6</f>
        <v>100</v>
      </c>
      <c r="J6">
        <v>1.08425683504857E-2</v>
      </c>
      <c r="K6">
        <f t="shared" ref="K6:K12" si="2">8*J6</f>
        <v>8.6740546803885599E-2</v>
      </c>
      <c r="L6">
        <f t="shared" ref="L6:L13" si="3">I6/K6</f>
        <v>1152.8633803299986</v>
      </c>
    </row>
    <row r="7" spans="2:12" x14ac:dyDescent="0.3">
      <c r="B7" t="s">
        <v>42</v>
      </c>
      <c r="C7">
        <v>0.24</v>
      </c>
      <c r="D7">
        <f>C7/C13</f>
        <v>3.3112582781456949E-3</v>
      </c>
      <c r="E7">
        <v>-8.2384048605100002</v>
      </c>
      <c r="F7">
        <f t="shared" si="0"/>
        <v>-2.7279486293079466E-2</v>
      </c>
      <c r="H7">
        <v>0.5</v>
      </c>
      <c r="I7">
        <f t="shared" si="1"/>
        <v>50</v>
      </c>
      <c r="J7">
        <v>2.72794862930795E-2</v>
      </c>
      <c r="K7">
        <f t="shared" si="2"/>
        <v>0.218235890344636</v>
      </c>
      <c r="L7">
        <f t="shared" si="3"/>
        <v>229.10988619259868</v>
      </c>
    </row>
    <row r="8" spans="2:12" x14ac:dyDescent="0.3">
      <c r="B8" t="s">
        <v>43</v>
      </c>
      <c r="C8">
        <v>0.37</v>
      </c>
      <c r="D8">
        <f>C8/C13</f>
        <v>5.1048565121412804E-3</v>
      </c>
      <c r="E8">
        <v>-7.6139137365399998</v>
      </c>
      <c r="F8">
        <f t="shared" si="0"/>
        <v>-3.8867937120858169E-2</v>
      </c>
      <c r="H8">
        <v>0.5</v>
      </c>
      <c r="I8">
        <f t="shared" si="1"/>
        <v>50</v>
      </c>
      <c r="J8">
        <v>3.8867937120858197E-2</v>
      </c>
      <c r="K8">
        <f t="shared" si="2"/>
        <v>0.31094349696686557</v>
      </c>
      <c r="L8">
        <f t="shared" si="3"/>
        <v>160.80091877698297</v>
      </c>
    </row>
    <row r="9" spans="2:12" x14ac:dyDescent="0.3">
      <c r="B9" t="s">
        <v>0</v>
      </c>
      <c r="C9">
        <v>59.3</v>
      </c>
      <c r="D9">
        <f>C9/C13</f>
        <v>0.81815673289183211</v>
      </c>
      <c r="E9">
        <v>-0.28955085042200002</v>
      </c>
      <c r="F9">
        <f t="shared" si="0"/>
        <v>-0.23689797778731511</v>
      </c>
      <c r="H9">
        <v>0.76634999999999998</v>
      </c>
      <c r="I9">
        <f t="shared" si="1"/>
        <v>76.634999999999991</v>
      </c>
      <c r="J9">
        <v>0.236897977787315</v>
      </c>
      <c r="K9">
        <f t="shared" si="2"/>
        <v>1.89518382229852</v>
      </c>
      <c r="L9">
        <f t="shared" si="3"/>
        <v>40.436710728701449</v>
      </c>
    </row>
    <row r="10" spans="2:12" x14ac:dyDescent="0.3">
      <c r="B10" t="s">
        <v>76</v>
      </c>
      <c r="C10">
        <v>10.6</v>
      </c>
      <c r="D10">
        <f>C10/C13</f>
        <v>0.14624724061810154</v>
      </c>
      <c r="E10">
        <v>-2.7735186868300001</v>
      </c>
      <c r="F10">
        <f t="shared" si="0"/>
        <v>-0.40561945475162803</v>
      </c>
      <c r="H10">
        <v>0.76449999999999996</v>
      </c>
      <c r="I10">
        <f t="shared" si="1"/>
        <v>76.449999999999989</v>
      </c>
      <c r="J10">
        <v>0.40561945475162797</v>
      </c>
      <c r="K10">
        <f t="shared" si="2"/>
        <v>3.2449556380130238</v>
      </c>
      <c r="L10">
        <f t="shared" si="3"/>
        <v>23.559644114830625</v>
      </c>
    </row>
    <row r="11" spans="2:12" x14ac:dyDescent="0.3">
      <c r="B11" t="s">
        <v>77</v>
      </c>
      <c r="C11">
        <v>1.02</v>
      </c>
      <c r="D11">
        <f>C11/C13</f>
        <v>1.4072847682119204E-2</v>
      </c>
      <c r="E11">
        <v>-6.1509418654900001</v>
      </c>
      <c r="F11">
        <f t="shared" si="0"/>
        <v>-8.6561267974610917E-2</v>
      </c>
      <c r="H11">
        <v>0.85719999999999996</v>
      </c>
      <c r="I11">
        <f t="shared" si="1"/>
        <v>85.72</v>
      </c>
      <c r="J11">
        <v>8.6561267974610903E-2</v>
      </c>
      <c r="K11">
        <f t="shared" si="2"/>
        <v>0.69249014379688723</v>
      </c>
      <c r="L11">
        <f t="shared" si="3"/>
        <v>123.78515530921743</v>
      </c>
    </row>
    <row r="12" spans="2:12" x14ac:dyDescent="0.3">
      <c r="B12" t="s">
        <v>79</v>
      </c>
      <c r="C12">
        <v>0.28999999999999998</v>
      </c>
      <c r="D12">
        <f>C12/C13</f>
        <v>4.0011037527593815E-3</v>
      </c>
      <c r="E12">
        <v>-7.9653861557700001</v>
      </c>
      <c r="F12">
        <f t="shared" si="0"/>
        <v>-3.1870336440028971E-2</v>
      </c>
      <c r="H12">
        <v>0.80149999999999999</v>
      </c>
      <c r="I12">
        <f t="shared" si="1"/>
        <v>80.150000000000006</v>
      </c>
      <c r="J12">
        <v>3.1870336440028998E-2</v>
      </c>
      <c r="K12">
        <f t="shared" si="2"/>
        <v>0.25496269152023199</v>
      </c>
      <c r="L12">
        <f t="shared" si="3"/>
        <v>314.35971875767513</v>
      </c>
    </row>
    <row r="13" spans="2:12" x14ac:dyDescent="0.3">
      <c r="C13">
        <f>SUM(C5:C12)</f>
        <v>72.48</v>
      </c>
      <c r="H13" s="10">
        <f>SUM(H5:H12)</f>
        <v>5.3562166666666666</v>
      </c>
      <c r="I13">
        <f>SUM(I5:I12)</f>
        <v>535.62166666666656</v>
      </c>
      <c r="K13">
        <f>SUM(K5:K12)</f>
        <v>7.1494199527403639</v>
      </c>
      <c r="L13" s="8">
        <f t="shared" si="3"/>
        <v>74.918198987788287</v>
      </c>
    </row>
    <row r="15" spans="2:12" x14ac:dyDescent="0.3">
      <c r="J15">
        <f>COUNT(J5:J12)</f>
        <v>8</v>
      </c>
    </row>
    <row r="17" spans="10:10" ht="27.75" customHeight="1" x14ac:dyDescent="0.3">
      <c r="J17" s="9">
        <f>MIN(J5:J12)</f>
        <v>1.08425683504857E-2</v>
      </c>
    </row>
    <row r="18" spans="10:10" x14ac:dyDescent="0.3">
      <c r="J18" s="9">
        <f>MAX(J5:J12)</f>
        <v>0.40561945475162797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8"/>
  <sheetViews>
    <sheetView workbookViewId="0">
      <selection activeCell="K19" sqref="K19"/>
    </sheetView>
  </sheetViews>
  <sheetFormatPr defaultRowHeight="14.4" x14ac:dyDescent="0.3"/>
  <sheetData>
    <row r="1" spans="1:11" x14ac:dyDescent="0.3">
      <c r="A1" t="s">
        <v>120</v>
      </c>
    </row>
    <row r="2" spans="1:11" x14ac:dyDescent="0.3">
      <c r="C2" t="s">
        <v>34</v>
      </c>
      <c r="E2" t="s">
        <v>31</v>
      </c>
      <c r="G2" t="s">
        <v>32</v>
      </c>
      <c r="K2" t="s">
        <v>33</v>
      </c>
    </row>
    <row r="3" spans="1:11" x14ac:dyDescent="0.3">
      <c r="B3" t="s">
        <v>11</v>
      </c>
      <c r="C3" t="s">
        <v>12</v>
      </c>
      <c r="D3" t="s">
        <v>13</v>
      </c>
      <c r="E3" t="s">
        <v>14</v>
      </c>
      <c r="G3" t="s">
        <v>15</v>
      </c>
      <c r="H3" t="s">
        <v>16</v>
      </c>
      <c r="I3" t="s">
        <v>14</v>
      </c>
      <c r="J3" t="s">
        <v>17</v>
      </c>
      <c r="K3" t="s">
        <v>18</v>
      </c>
    </row>
    <row r="4" spans="1:11" x14ac:dyDescent="0.3">
      <c r="A4" t="s">
        <v>0</v>
      </c>
      <c r="B4">
        <v>41.58</v>
      </c>
      <c r="C4">
        <f>B4/B13</f>
        <v>0.5226901319924574</v>
      </c>
      <c r="D4">
        <v>-0.93597217233899999</v>
      </c>
      <c r="E4">
        <f>C4*D4</f>
        <v>-0.48922341830113897</v>
      </c>
      <c r="G4">
        <v>0.76634999999999998</v>
      </c>
      <c r="H4">
        <f>100*G4</f>
        <v>76.634999999999991</v>
      </c>
      <c r="I4">
        <v>0.48922341830113902</v>
      </c>
      <c r="J4">
        <f>9*I4</f>
        <v>4.4030107647102508</v>
      </c>
      <c r="K4">
        <f>H4/J4</f>
        <v>17.405135734444002</v>
      </c>
    </row>
    <row r="5" spans="1:11" x14ac:dyDescent="0.3">
      <c r="A5" t="s">
        <v>76</v>
      </c>
      <c r="B5">
        <v>11.58</v>
      </c>
      <c r="C5">
        <f>B5/B13</f>
        <v>0.14556882463859203</v>
      </c>
      <c r="D5">
        <v>-2.7802266736500001</v>
      </c>
      <c r="E5">
        <f t="shared" ref="E5:E12" si="0">C5*D5</f>
        <v>-0.40471432911209287</v>
      </c>
      <c r="G5">
        <v>0.76449999999999996</v>
      </c>
      <c r="H5">
        <f t="shared" ref="H5:H12" si="1">100*G5</f>
        <v>76.449999999999989</v>
      </c>
      <c r="I5">
        <v>0.40471432911209299</v>
      </c>
      <c r="J5">
        <f t="shared" ref="J5:J12" si="2">9*I5</f>
        <v>3.6424289620088368</v>
      </c>
      <c r="K5">
        <f t="shared" ref="K5:K13" si="3">H5/J5</f>
        <v>20.988741523139282</v>
      </c>
    </row>
    <row r="6" spans="1:11" x14ac:dyDescent="0.3">
      <c r="A6" t="s">
        <v>78</v>
      </c>
      <c r="B6">
        <v>3.88</v>
      </c>
      <c r="C6">
        <f>B6/B13</f>
        <v>4.8774355751099917E-2</v>
      </c>
      <c r="D6">
        <v>-4.3577333656699997</v>
      </c>
      <c r="E6">
        <f t="shared" si="0"/>
        <v>-0.21254563744562655</v>
      </c>
      <c r="G6">
        <v>0.76455000000000017</v>
      </c>
      <c r="H6">
        <f t="shared" si="1"/>
        <v>76.455000000000013</v>
      </c>
      <c r="I6">
        <v>0.21254563744562699</v>
      </c>
      <c r="J6">
        <f t="shared" si="2"/>
        <v>1.9129107370106428</v>
      </c>
      <c r="K6">
        <f t="shared" si="3"/>
        <v>39.96788690698569</v>
      </c>
    </row>
    <row r="7" spans="1:11" x14ac:dyDescent="0.3">
      <c r="A7" t="s">
        <v>77</v>
      </c>
      <c r="B7">
        <v>9.83</v>
      </c>
      <c r="C7">
        <f>B7/B13</f>
        <v>0.12357008170961656</v>
      </c>
      <c r="D7">
        <v>-3.01659860549</v>
      </c>
      <c r="E7">
        <f t="shared" si="0"/>
        <v>-0.37276133616551466</v>
      </c>
      <c r="G7">
        <v>0.85719999999999996</v>
      </c>
      <c r="H7">
        <f t="shared" si="1"/>
        <v>85.72</v>
      </c>
      <c r="I7">
        <v>0.37276133616551499</v>
      </c>
      <c r="J7">
        <f t="shared" si="2"/>
        <v>3.354852025489635</v>
      </c>
      <c r="K7">
        <f t="shared" si="3"/>
        <v>25.551052430543283</v>
      </c>
    </row>
    <row r="8" spans="1:11" x14ac:dyDescent="0.3">
      <c r="A8" t="s">
        <v>79</v>
      </c>
      <c r="B8">
        <v>7.31</v>
      </c>
      <c r="C8">
        <f>B8/B13</f>
        <v>9.1891891891891855E-2</v>
      </c>
      <c r="D8">
        <v>-3.4439186175700001</v>
      </c>
      <c r="E8">
        <f t="shared" si="0"/>
        <v>-0.31646819729021608</v>
      </c>
      <c r="G8">
        <v>0.80149999999999999</v>
      </c>
      <c r="H8">
        <f t="shared" si="1"/>
        <v>80.150000000000006</v>
      </c>
      <c r="I8">
        <v>0.31646819729021602</v>
      </c>
      <c r="J8">
        <f t="shared" si="2"/>
        <v>2.8482137756119443</v>
      </c>
      <c r="K8">
        <f t="shared" si="3"/>
        <v>28.140443911300029</v>
      </c>
    </row>
    <row r="9" spans="1:11" x14ac:dyDescent="0.3">
      <c r="A9" t="s">
        <v>7</v>
      </c>
      <c r="B9">
        <v>4.62</v>
      </c>
      <c r="C9">
        <f>B9/B13</f>
        <v>5.8076681332495265E-2</v>
      </c>
      <c r="D9">
        <v>-4.1058971820599997</v>
      </c>
      <c r="E9">
        <f t="shared" si="0"/>
        <v>-0.23845688222648889</v>
      </c>
      <c r="G9">
        <v>0.91505000000000003</v>
      </c>
      <c r="H9">
        <f t="shared" si="1"/>
        <v>91.50500000000001</v>
      </c>
      <c r="I9">
        <v>0.238456882226489</v>
      </c>
      <c r="J9">
        <f t="shared" si="2"/>
        <v>2.1461119400384012</v>
      </c>
      <c r="K9">
        <f t="shared" si="3"/>
        <v>42.637570898730786</v>
      </c>
    </row>
    <row r="10" spans="1:11" x14ac:dyDescent="0.3">
      <c r="A10" t="s">
        <v>121</v>
      </c>
      <c r="B10">
        <v>0.15</v>
      </c>
      <c r="C10">
        <f>B10/B13</f>
        <v>1.8856065367693269E-3</v>
      </c>
      <c r="D10">
        <v>-9.0507552651900003</v>
      </c>
      <c r="E10">
        <f t="shared" si="0"/>
        <v>-1.7066163290741666E-2</v>
      </c>
      <c r="G10">
        <v>0.88709999999999989</v>
      </c>
      <c r="H10">
        <f t="shared" si="1"/>
        <v>88.71</v>
      </c>
      <c r="I10">
        <v>1.70661632907417E-2</v>
      </c>
      <c r="J10">
        <f t="shared" si="2"/>
        <v>0.15359546961667531</v>
      </c>
      <c r="K10">
        <f t="shared" si="3"/>
        <v>577.55609733406527</v>
      </c>
    </row>
    <row r="11" spans="1:11" x14ac:dyDescent="0.3">
      <c r="A11" t="s">
        <v>122</v>
      </c>
      <c r="B11">
        <v>0.42</v>
      </c>
      <c r="C11">
        <f>B11/B13</f>
        <v>5.2796983029541151E-3</v>
      </c>
      <c r="D11">
        <v>-7.5653288752199996</v>
      </c>
      <c r="E11">
        <f t="shared" si="0"/>
        <v>-3.9942654023788798E-2</v>
      </c>
      <c r="G11">
        <v>0.6905</v>
      </c>
      <c r="H11">
        <f t="shared" si="1"/>
        <v>69.05</v>
      </c>
      <c r="I11">
        <v>3.9942654023788798E-2</v>
      </c>
      <c r="J11">
        <f t="shared" si="2"/>
        <v>0.35948388621409921</v>
      </c>
      <c r="K11">
        <f t="shared" si="3"/>
        <v>192.08093226986986</v>
      </c>
    </row>
    <row r="12" spans="1:11" x14ac:dyDescent="0.3">
      <c r="A12" t="s">
        <v>123</v>
      </c>
      <c r="B12">
        <v>0.18</v>
      </c>
      <c r="C12">
        <f>B12/B13</f>
        <v>2.2627278441231923E-3</v>
      </c>
      <c r="D12">
        <v>-8.7877211143899991</v>
      </c>
      <c r="E12">
        <f t="shared" si="0"/>
        <v>-1.9884221251919541E-2</v>
      </c>
      <c r="G12">
        <v>0.9</v>
      </c>
      <c r="H12">
        <f t="shared" si="1"/>
        <v>90</v>
      </c>
      <c r="I12">
        <v>1.98842212519195E-2</v>
      </c>
      <c r="J12">
        <f t="shared" si="2"/>
        <v>0.17895799126727549</v>
      </c>
      <c r="K12">
        <f t="shared" si="3"/>
        <v>502.91132216378162</v>
      </c>
    </row>
    <row r="13" spans="1:11" x14ac:dyDescent="0.3">
      <c r="B13">
        <f>SUM(B4:B12)</f>
        <v>79.550000000000026</v>
      </c>
      <c r="G13" s="10">
        <f>SUM(G4:G12)</f>
        <v>7.346750000000001</v>
      </c>
      <c r="H13">
        <f>SUM(H4:H12)</f>
        <v>734.67499999999995</v>
      </c>
      <c r="J13">
        <f>SUM(J4:J12)</f>
        <v>18.999565551967763</v>
      </c>
      <c r="K13" s="8">
        <f t="shared" si="3"/>
        <v>38.667989433258938</v>
      </c>
    </row>
    <row r="15" spans="1:11" x14ac:dyDescent="0.3">
      <c r="I15">
        <f>COUNT(I4:I12)</f>
        <v>9</v>
      </c>
    </row>
    <row r="17" spans="9:9" x14ac:dyDescent="0.3">
      <c r="I17" s="9">
        <f>MAX(I4:I12)</f>
        <v>0.48922341830113902</v>
      </c>
    </row>
    <row r="18" spans="9:9" x14ac:dyDescent="0.3">
      <c r="I18" s="9">
        <f>MIN(I4:I12)</f>
        <v>1.70661632907417E-2</v>
      </c>
    </row>
  </sheetData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19"/>
  <sheetViews>
    <sheetView workbookViewId="0">
      <selection activeCell="G30" sqref="G30"/>
    </sheetView>
  </sheetViews>
  <sheetFormatPr defaultRowHeight="14.4" x14ac:dyDescent="0.3"/>
  <sheetData>
    <row r="1" spans="1:11" x14ac:dyDescent="0.3">
      <c r="C1" t="s">
        <v>126</v>
      </c>
    </row>
    <row r="3" spans="1:11" x14ac:dyDescent="0.3">
      <c r="C3" t="s">
        <v>34</v>
      </c>
      <c r="E3" t="s">
        <v>31</v>
      </c>
      <c r="G3" t="s">
        <v>32</v>
      </c>
      <c r="K3" t="s">
        <v>33</v>
      </c>
    </row>
    <row r="4" spans="1:11" x14ac:dyDescent="0.3">
      <c r="B4" t="s">
        <v>11</v>
      </c>
      <c r="C4" t="s">
        <v>12</v>
      </c>
      <c r="D4" t="s">
        <v>13</v>
      </c>
      <c r="E4" t="s">
        <v>14</v>
      </c>
      <c r="G4" t="s">
        <v>15</v>
      </c>
      <c r="H4" t="s">
        <v>16</v>
      </c>
      <c r="I4" t="s">
        <v>14</v>
      </c>
      <c r="J4" t="s">
        <v>17</v>
      </c>
      <c r="K4" t="s">
        <v>18</v>
      </c>
    </row>
    <row r="5" spans="1:11" x14ac:dyDescent="0.3">
      <c r="A5" t="s">
        <v>98</v>
      </c>
      <c r="B5">
        <v>43.26</v>
      </c>
      <c r="C5">
        <f>B5/B14</f>
        <v>0.55132159151734506</v>
      </c>
      <c r="D5">
        <v>-0.85903399053600005</v>
      </c>
      <c r="E5">
        <f>C5*D5</f>
        <v>-0.47360398682980348</v>
      </c>
      <c r="G5">
        <v>0.76634999999999998</v>
      </c>
      <c r="H5">
        <f>100*G5</f>
        <v>76.634999999999991</v>
      </c>
      <c r="I5">
        <v>0.47360398682980298</v>
      </c>
      <c r="J5">
        <f>9*I5</f>
        <v>4.2624358814682264</v>
      </c>
      <c r="K5">
        <f>H5/J5</f>
        <v>17.979156081428847</v>
      </c>
    </row>
    <row r="6" spans="1:11" x14ac:dyDescent="0.3">
      <c r="A6" t="s">
        <v>2</v>
      </c>
      <c r="B6">
        <v>10.130000000000001</v>
      </c>
      <c r="C6">
        <f>B6/B14</f>
        <v>0.12910050212831037</v>
      </c>
      <c r="D6">
        <v>-2.9534334843900001</v>
      </c>
      <c r="E6">
        <f t="shared" ref="E6:E13" si="0">C6*D6</f>
        <v>-0.38128974583731429</v>
      </c>
      <c r="G6">
        <v>0.76449999999999996</v>
      </c>
      <c r="H6">
        <f t="shared" ref="H6:H13" si="1">100*G6</f>
        <v>76.449999999999989</v>
      </c>
      <c r="I6">
        <v>0.38128974583731401</v>
      </c>
      <c r="J6">
        <f t="shared" ref="J6:J13" si="2">9*I6</f>
        <v>3.431607712535826</v>
      </c>
      <c r="K6">
        <f t="shared" ref="K6:K14" si="3">H6/J6</f>
        <v>22.278187486502173</v>
      </c>
    </row>
    <row r="7" spans="1:11" x14ac:dyDescent="0.3">
      <c r="A7" t="s">
        <v>124</v>
      </c>
      <c r="B7">
        <v>1.1000000000000001</v>
      </c>
      <c r="C7">
        <f>B7/B14</f>
        <v>1.4018810695078125E-2</v>
      </c>
      <c r="D7">
        <v>-6.1564921968600004</v>
      </c>
      <c r="E7">
        <f t="shared" si="0"/>
        <v>-8.6306698653506E-2</v>
      </c>
      <c r="G7">
        <v>0.6905</v>
      </c>
      <c r="H7">
        <f t="shared" si="1"/>
        <v>69.05</v>
      </c>
      <c r="I7">
        <v>8.6306698653506E-2</v>
      </c>
      <c r="J7">
        <f t="shared" si="2"/>
        <v>0.77676028788155405</v>
      </c>
      <c r="K7">
        <f t="shared" si="3"/>
        <v>88.894863804532235</v>
      </c>
    </row>
    <row r="8" spans="1:11" x14ac:dyDescent="0.3">
      <c r="A8" t="s">
        <v>96</v>
      </c>
      <c r="B8">
        <v>8.59</v>
      </c>
      <c r="C8">
        <f>B8/B14</f>
        <v>0.10947416715520099</v>
      </c>
      <c r="D8">
        <v>-3.1913376226699999</v>
      </c>
      <c r="E8">
        <f t="shared" si="0"/>
        <v>-0.34936902835285732</v>
      </c>
      <c r="G8">
        <v>0.76455000000000017</v>
      </c>
      <c r="H8">
        <f t="shared" si="1"/>
        <v>76.455000000000013</v>
      </c>
      <c r="I8">
        <v>0.34936902835285699</v>
      </c>
      <c r="J8">
        <f t="shared" si="2"/>
        <v>3.1443212551757131</v>
      </c>
      <c r="K8">
        <f t="shared" si="3"/>
        <v>24.315263548262184</v>
      </c>
    </row>
    <row r="9" spans="1:11" x14ac:dyDescent="0.3">
      <c r="A9" t="s">
        <v>23</v>
      </c>
      <c r="B9">
        <v>0.156</v>
      </c>
      <c r="C9">
        <f>B9/B14</f>
        <v>1.9881222440292614E-3</v>
      </c>
      <c r="D9">
        <v>-8.9743779948700002</v>
      </c>
      <c r="E9">
        <f t="shared" si="0"/>
        <v>-1.7842160517927769E-2</v>
      </c>
      <c r="G9">
        <v>0.88709999999999989</v>
      </c>
      <c r="H9">
        <f t="shared" si="1"/>
        <v>88.71</v>
      </c>
      <c r="I9">
        <v>1.7842160517927801E-2</v>
      </c>
      <c r="J9">
        <f t="shared" si="2"/>
        <v>0.16057944466135021</v>
      </c>
      <c r="K9">
        <f t="shared" si="3"/>
        <v>552.43683391160437</v>
      </c>
    </row>
    <row r="10" spans="1:11" x14ac:dyDescent="0.3">
      <c r="A10" t="s">
        <v>3</v>
      </c>
      <c r="B10">
        <v>2.65</v>
      </c>
      <c r="C10">
        <f>B10/B14</f>
        <v>3.3772589401779116E-2</v>
      </c>
      <c r="D10">
        <v>-4.8880034094699996</v>
      </c>
      <c r="E10">
        <f t="shared" si="0"/>
        <v>-0.16508053214252669</v>
      </c>
      <c r="G10">
        <v>0.80149999999999999</v>
      </c>
      <c r="H10">
        <f t="shared" si="1"/>
        <v>80.150000000000006</v>
      </c>
      <c r="I10">
        <v>0.16508053214252699</v>
      </c>
      <c r="J10">
        <f t="shared" si="2"/>
        <v>1.485724789282743</v>
      </c>
      <c r="K10">
        <f t="shared" si="3"/>
        <v>53.94673399687548</v>
      </c>
    </row>
    <row r="11" spans="1:11" x14ac:dyDescent="0.3">
      <c r="A11" t="s">
        <v>4</v>
      </c>
      <c r="B11">
        <v>11.23</v>
      </c>
      <c r="C11">
        <f>B11/B14</f>
        <v>0.14311931282338849</v>
      </c>
      <c r="D11">
        <v>-2.8047097275800001</v>
      </c>
      <c r="E11">
        <f t="shared" si="0"/>
        <v>-0.40140812888032279</v>
      </c>
      <c r="G11">
        <v>0.85719999999999996</v>
      </c>
      <c r="H11">
        <f t="shared" si="1"/>
        <v>85.72</v>
      </c>
      <c r="I11">
        <v>0.40140812888032301</v>
      </c>
      <c r="J11">
        <f t="shared" si="2"/>
        <v>3.6126731599229069</v>
      </c>
      <c r="K11">
        <f t="shared" si="3"/>
        <v>23.727582376101033</v>
      </c>
    </row>
    <row r="12" spans="1:11" x14ac:dyDescent="0.3">
      <c r="A12" t="s">
        <v>125</v>
      </c>
      <c r="B12">
        <v>1.19</v>
      </c>
      <c r="C12">
        <f>B12/B14</f>
        <v>1.5165804297402698E-2</v>
      </c>
      <c r="D12">
        <v>-6.0430342067399998</v>
      </c>
      <c r="E12">
        <f t="shared" si="0"/>
        <v>-9.1647474141928989E-2</v>
      </c>
      <c r="G12">
        <v>0.91505000000000003</v>
      </c>
      <c r="H12">
        <f t="shared" si="1"/>
        <v>91.50500000000001</v>
      </c>
      <c r="I12">
        <v>9.1647474141929003E-2</v>
      </c>
      <c r="J12">
        <f t="shared" si="2"/>
        <v>0.824827267277361</v>
      </c>
      <c r="K12">
        <f t="shared" si="3"/>
        <v>110.93837901606378</v>
      </c>
    </row>
    <row r="13" spans="1:11" x14ac:dyDescent="0.3">
      <c r="A13" t="s">
        <v>24</v>
      </c>
      <c r="B13">
        <v>0.16</v>
      </c>
      <c r="C13">
        <f>B13/B14</f>
        <v>2.039099737465909E-3</v>
      </c>
      <c r="D13">
        <v>-8.9378517560099997</v>
      </c>
      <c r="E13">
        <f t="shared" si="0"/>
        <v>-1.8225171169189206E-2</v>
      </c>
      <c r="G13">
        <v>0.9</v>
      </c>
      <c r="H13">
        <f t="shared" si="1"/>
        <v>90</v>
      </c>
      <c r="I13">
        <v>1.8225171169189199E-2</v>
      </c>
      <c r="J13">
        <f t="shared" si="2"/>
        <v>0.1640265405227028</v>
      </c>
      <c r="K13">
        <f t="shared" si="3"/>
        <v>548.69169168109818</v>
      </c>
    </row>
    <row r="14" spans="1:11" x14ac:dyDescent="0.3">
      <c r="B14">
        <f>SUM(B5:B13)</f>
        <v>78.465999999999994</v>
      </c>
      <c r="G14" s="10">
        <f>SUM(G5:G13)</f>
        <v>7.3467500000000001</v>
      </c>
      <c r="H14">
        <f>SUM(H5:H13)</f>
        <v>734.67500000000007</v>
      </c>
      <c r="J14">
        <f>SUM(J5:J13)</f>
        <v>17.862956338728381</v>
      </c>
      <c r="K14" s="8">
        <f t="shared" si="3"/>
        <v>41.128410441622329</v>
      </c>
    </row>
    <row r="16" spans="1:11" x14ac:dyDescent="0.3">
      <c r="I16">
        <f>COUNT(I5:I13)</f>
        <v>9</v>
      </c>
    </row>
    <row r="18" spans="9:9" x14ac:dyDescent="0.3">
      <c r="I18" s="9">
        <f>MAX(I5:I13)</f>
        <v>0.47360398682980298</v>
      </c>
    </row>
    <row r="19" spans="9:9" x14ac:dyDescent="0.3">
      <c r="I19" s="9">
        <f>MIN(I5:I13)</f>
        <v>1.7842160517927801E-2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1"/>
  <sheetViews>
    <sheetView workbookViewId="0">
      <selection activeCell="M16" sqref="M16"/>
    </sheetView>
  </sheetViews>
  <sheetFormatPr defaultRowHeight="14.4" x14ac:dyDescent="0.3"/>
  <cols>
    <col min="4" max="4" width="12" bestFit="1" customWidth="1"/>
    <col min="5" max="5" width="12" customWidth="1"/>
    <col min="6" max="6" width="12.88671875" customWidth="1"/>
    <col min="11" max="11" width="12" bestFit="1" customWidth="1"/>
    <col min="16" max="16" width="14.6640625" customWidth="1"/>
  </cols>
  <sheetData>
    <row r="1" spans="2:18" x14ac:dyDescent="0.3">
      <c r="E1" s="2" t="s">
        <v>28</v>
      </c>
      <c r="F1" s="2" t="s">
        <v>29</v>
      </c>
    </row>
    <row r="2" spans="2:18" x14ac:dyDescent="0.3">
      <c r="C2" t="s">
        <v>11</v>
      </c>
      <c r="D2" t="s">
        <v>12</v>
      </c>
      <c r="E2" t="s">
        <v>13</v>
      </c>
      <c r="F2" t="s">
        <v>14</v>
      </c>
      <c r="I2" t="s">
        <v>15</v>
      </c>
      <c r="J2" t="s">
        <v>16</v>
      </c>
      <c r="K2" t="s">
        <v>14</v>
      </c>
      <c r="L2" t="s">
        <v>17</v>
      </c>
      <c r="M2" t="s">
        <v>18</v>
      </c>
    </row>
    <row r="3" spans="2:18" x14ac:dyDescent="0.3">
      <c r="B3" t="s">
        <v>0</v>
      </c>
      <c r="C3">
        <v>73.3</v>
      </c>
      <c r="D3">
        <f>C3/C16</f>
        <v>0.85416143254874788</v>
      </c>
      <c r="E3">
        <v>-0.22741933583900001</v>
      </c>
      <c r="F3">
        <f>D3*E3</f>
        <v>-0.19425282568952504</v>
      </c>
      <c r="I3">
        <v>0.76634999999999998</v>
      </c>
      <c r="J3">
        <f>I3*100</f>
        <v>76.634999999999991</v>
      </c>
      <c r="K3">
        <v>0.19425282568952501</v>
      </c>
      <c r="L3">
        <f>13*K3</f>
        <v>2.5252867339638252</v>
      </c>
      <c r="M3">
        <f>I3/L3</f>
        <v>0.30347048899159901</v>
      </c>
      <c r="P3" t="s">
        <v>152</v>
      </c>
    </row>
    <row r="4" spans="2:18" x14ac:dyDescent="0.3">
      <c r="B4" t="s">
        <v>22</v>
      </c>
      <c r="C4">
        <v>2.8</v>
      </c>
      <c r="D4">
        <f>C4/C16</f>
        <v>3.2628267546200462E-2</v>
      </c>
      <c r="E4">
        <v>-4.9377337826099996</v>
      </c>
      <c r="F4">
        <f t="shared" ref="F4:F15" si="0">D4*E4</f>
        <v>-0.16110969893091151</v>
      </c>
      <c r="I4">
        <f>J4/100</f>
        <v>0.76455000000000017</v>
      </c>
      <c r="J4">
        <v>76.455000000000013</v>
      </c>
      <c r="K4">
        <v>0.16110969893091201</v>
      </c>
      <c r="L4">
        <f>13*K4</f>
        <v>2.0944260861018562</v>
      </c>
      <c r="M4">
        <f t="shared" ref="M4:M16" si="1">I4/L4</f>
        <v>0.36504033495064986</v>
      </c>
      <c r="P4" s="1" t="s">
        <v>154</v>
      </c>
      <c r="Q4" t="s">
        <v>156</v>
      </c>
      <c r="R4" t="s">
        <v>155</v>
      </c>
    </row>
    <row r="5" spans="2:18" x14ac:dyDescent="0.3">
      <c r="B5" t="s">
        <v>2</v>
      </c>
      <c r="C5">
        <v>6.5</v>
      </c>
      <c r="D5">
        <f>C5/C16</f>
        <v>7.5744192517965367E-2</v>
      </c>
      <c r="E5">
        <v>-3.7227209025299999</v>
      </c>
      <c r="F5">
        <f t="shared" si="0"/>
        <v>-0.28197448873188607</v>
      </c>
      <c r="I5">
        <v>0.76449999999999996</v>
      </c>
      <c r="J5">
        <f>100*I5</f>
        <v>76.449999999999989</v>
      </c>
      <c r="K5">
        <v>0.28197448873188602</v>
      </c>
      <c r="L5">
        <f t="shared" ref="L5:L15" si="2">13*K5</f>
        <v>3.6656683535145183</v>
      </c>
      <c r="M5">
        <f t="shared" si="1"/>
        <v>0.20855678317625853</v>
      </c>
      <c r="O5" t="s">
        <v>170</v>
      </c>
      <c r="P5" s="1">
        <v>96</v>
      </c>
      <c r="Q5">
        <v>116.49</v>
      </c>
      <c r="R5">
        <f>Q5/10</f>
        <v>11.648999999999999</v>
      </c>
    </row>
    <row r="6" spans="2:18" x14ac:dyDescent="0.3">
      <c r="B6" t="s">
        <v>3</v>
      </c>
      <c r="C6">
        <v>0.6</v>
      </c>
      <c r="D6">
        <f>C6/C16</f>
        <v>6.9917716170429566E-3</v>
      </c>
      <c r="E6">
        <v>-7.1601261449900004</v>
      </c>
      <c r="F6">
        <f t="shared" si="0"/>
        <v>-5.0061966754988287E-2</v>
      </c>
      <c r="I6">
        <v>0.80149999999999999</v>
      </c>
      <c r="J6">
        <f>100*I6</f>
        <v>80.150000000000006</v>
      </c>
      <c r="K6">
        <v>5.00619667549883E-2</v>
      </c>
      <c r="L6">
        <f t="shared" si="2"/>
        <v>0.65080556781484789</v>
      </c>
      <c r="M6">
        <f t="shared" si="1"/>
        <v>1.2315506191674503</v>
      </c>
    </row>
    <row r="7" spans="2:18" x14ac:dyDescent="0.3">
      <c r="B7" t="s">
        <v>23</v>
      </c>
      <c r="C7">
        <v>0.7</v>
      </c>
      <c r="D7">
        <f>C7/C16</f>
        <v>8.1570668865501156E-3</v>
      </c>
      <c r="E7">
        <v>-6.9377337826099996</v>
      </c>
      <c r="F7">
        <f t="shared" si="0"/>
        <v>-5.6591558505828109E-2</v>
      </c>
      <c r="I7">
        <f>J7/100</f>
        <v>0.88709999999999989</v>
      </c>
      <c r="J7">
        <v>88.71</v>
      </c>
      <c r="K7">
        <v>5.6591558505828102E-2</v>
      </c>
      <c r="L7">
        <f t="shared" si="2"/>
        <v>0.73569026057576536</v>
      </c>
      <c r="M7">
        <f t="shared" si="1"/>
        <v>1.2058063665349306</v>
      </c>
    </row>
    <row r="8" spans="2:18" x14ac:dyDescent="0.3">
      <c r="B8" t="s">
        <v>4</v>
      </c>
      <c r="C8">
        <v>0.7</v>
      </c>
      <c r="D8">
        <f>C8/C16</f>
        <v>8.1570668865501156E-3</v>
      </c>
      <c r="E8">
        <v>-6.9377337826099996</v>
      </c>
      <c r="F8">
        <f t="shared" si="0"/>
        <v>-5.6591558505828109E-2</v>
      </c>
      <c r="I8">
        <v>0.85719999999999996</v>
      </c>
      <c r="J8">
        <f>I8*100</f>
        <v>85.72</v>
      </c>
      <c r="K8">
        <v>5.6591558505828102E-2</v>
      </c>
      <c r="L8">
        <f t="shared" si="2"/>
        <v>0.73569026057576536</v>
      </c>
      <c r="M8">
        <f t="shared" si="1"/>
        <v>1.1651642626465366</v>
      </c>
    </row>
    <row r="9" spans="2:18" x14ac:dyDescent="0.3">
      <c r="B9" t="s">
        <v>5</v>
      </c>
      <c r="C9">
        <v>0.08</v>
      </c>
      <c r="D9">
        <f>C9/C16</f>
        <v>9.3223621560572763E-4</v>
      </c>
      <c r="E9">
        <v>-10.0670171533</v>
      </c>
      <c r="F9">
        <f t="shared" si="0"/>
        <v>-9.3848379734303381E-3</v>
      </c>
      <c r="I9">
        <v>0.87090000000000001</v>
      </c>
      <c r="J9">
        <f t="shared" ref="J9:J11" si="3">I9*100</f>
        <v>87.09</v>
      </c>
      <c r="K9">
        <v>9.3848379734303398E-3</v>
      </c>
      <c r="L9">
        <f t="shared" si="2"/>
        <v>0.12200289365459442</v>
      </c>
      <c r="M9">
        <f t="shared" si="1"/>
        <v>7.1383552792249976</v>
      </c>
    </row>
    <row r="10" spans="2:18" x14ac:dyDescent="0.3">
      <c r="B10" t="s">
        <v>24</v>
      </c>
      <c r="C10">
        <v>0.1</v>
      </c>
      <c r="D10">
        <f>C10/C16</f>
        <v>1.1652952695071594E-3</v>
      </c>
      <c r="E10">
        <v>-9.7450890583999996</v>
      </c>
      <c r="F10">
        <f t="shared" si="0"/>
        <v>-1.1355906180679498E-2</v>
      </c>
      <c r="I10">
        <v>0.9</v>
      </c>
      <c r="J10">
        <f t="shared" si="3"/>
        <v>90</v>
      </c>
      <c r="K10">
        <v>1.13559061806795E-2</v>
      </c>
      <c r="L10">
        <f t="shared" si="2"/>
        <v>0.1476267803488335</v>
      </c>
      <c r="M10">
        <f t="shared" si="1"/>
        <v>6.0964548429041958</v>
      </c>
    </row>
    <row r="11" spans="2:18" x14ac:dyDescent="0.3">
      <c r="B11" t="s">
        <v>7</v>
      </c>
      <c r="C11">
        <v>0.08</v>
      </c>
      <c r="D11">
        <f>C11/C16</f>
        <v>9.3223621560572763E-4</v>
      </c>
      <c r="E11">
        <v>-10.0670171533</v>
      </c>
      <c r="F11">
        <f t="shared" si="0"/>
        <v>-9.3848379734303381E-3</v>
      </c>
      <c r="I11">
        <v>0.91505000000000003</v>
      </c>
      <c r="J11">
        <f t="shared" si="3"/>
        <v>91.50500000000001</v>
      </c>
      <c r="K11">
        <v>9.3848379734303398E-3</v>
      </c>
      <c r="L11">
        <f t="shared" si="2"/>
        <v>0.12200289365459442</v>
      </c>
      <c r="M11">
        <f t="shared" si="1"/>
        <v>7.5002319419621468</v>
      </c>
    </row>
    <row r="12" spans="2:18" x14ac:dyDescent="0.3">
      <c r="B12" t="s">
        <v>25</v>
      </c>
      <c r="C12">
        <v>0.05</v>
      </c>
      <c r="D12">
        <f>C12/C16</f>
        <v>5.8264763475357972E-4</v>
      </c>
      <c r="E12">
        <v>-10.7450878203</v>
      </c>
      <c r="F12">
        <f t="shared" si="0"/>
        <v>-6.2606000037172928E-3</v>
      </c>
      <c r="I12">
        <f>J12/100</f>
        <v>0.88709999999999989</v>
      </c>
      <c r="J12" s="4">
        <v>88.71</v>
      </c>
      <c r="K12">
        <v>6.2606000037172902E-3</v>
      </c>
      <c r="L12">
        <f t="shared" si="2"/>
        <v>8.1387800048324771E-2</v>
      </c>
      <c r="M12">
        <f t="shared" si="1"/>
        <v>10.899668002738444</v>
      </c>
    </row>
    <row r="13" spans="2:18" x14ac:dyDescent="0.3">
      <c r="B13" t="s">
        <v>9</v>
      </c>
      <c r="C13">
        <v>0.9</v>
      </c>
      <c r="D13">
        <f>C13/C16</f>
        <v>1.0487657425564435E-2</v>
      </c>
      <c r="E13">
        <v>-6.5751637818299997</v>
      </c>
      <c r="F13">
        <f t="shared" si="0"/>
        <v>-6.8958065260811732E-2</v>
      </c>
      <c r="I13">
        <f>J13/100</f>
        <v>0.79975000000000007</v>
      </c>
      <c r="J13">
        <v>79.975000000000009</v>
      </c>
      <c r="K13">
        <v>6.8958065260811705E-2</v>
      </c>
      <c r="L13">
        <f t="shared" si="2"/>
        <v>0.89645484839055212</v>
      </c>
      <c r="M13">
        <f t="shared" si="1"/>
        <v>0.89212524360354473</v>
      </c>
    </row>
    <row r="14" spans="2:18" x14ac:dyDescent="0.3">
      <c r="B14" t="s">
        <v>26</v>
      </c>
      <c r="C14">
        <v>5.1000000000000004E-3</v>
      </c>
      <c r="D14">
        <f>C14/C16</f>
        <v>5.9430058744865138E-5</v>
      </c>
      <c r="E14">
        <v>-14.0384466659</v>
      </c>
      <c r="F14">
        <f t="shared" si="0"/>
        <v>-8.3430571004109312E-4</v>
      </c>
      <c r="I14">
        <f>1/2</f>
        <v>0.5</v>
      </c>
      <c r="J14">
        <f>100*I14</f>
        <v>50</v>
      </c>
      <c r="K14">
        <v>8.3430571004109301E-4</v>
      </c>
      <c r="L14">
        <f t="shared" si="2"/>
        <v>1.0845974230534209E-2</v>
      </c>
      <c r="M14">
        <f t="shared" si="1"/>
        <v>46.100054211116536</v>
      </c>
    </row>
    <row r="15" spans="2:18" x14ac:dyDescent="0.3">
      <c r="B15" t="s">
        <v>27</v>
      </c>
      <c r="C15">
        <v>6.0000000000000002E-5</v>
      </c>
      <c r="D15">
        <f>C15/C16</f>
        <v>6.9917716170429568E-7</v>
      </c>
      <c r="E15">
        <v>-14.0384466659</v>
      </c>
      <c r="F15">
        <f t="shared" si="0"/>
        <v>-9.8153612946010957E-6</v>
      </c>
      <c r="I15">
        <f>1/3</f>
        <v>0.33333333333333331</v>
      </c>
      <c r="J15">
        <f>I15*100</f>
        <v>33.333333333333329</v>
      </c>
      <c r="K15">
        <v>9.8153612946011008E-6</v>
      </c>
      <c r="L15">
        <f t="shared" si="2"/>
        <v>1.2759969682981431E-4</v>
      </c>
      <c r="M15">
        <f t="shared" si="1"/>
        <v>2612.3364052966017</v>
      </c>
    </row>
    <row r="16" spans="2:18" x14ac:dyDescent="0.3">
      <c r="C16">
        <f>SUM(C3:C15)</f>
        <v>85.815159999999992</v>
      </c>
      <c r="I16" s="10">
        <f>SUM(I3:I15)</f>
        <v>10.047333333333333</v>
      </c>
      <c r="J16">
        <f>SUM(J3:J15)</f>
        <v>1004.7333333333335</v>
      </c>
      <c r="L16">
        <f>SUM(L3:L15)</f>
        <v>11.788016052570839</v>
      </c>
      <c r="M16" s="1">
        <f t="shared" si="1"/>
        <v>0.85233454794474239</v>
      </c>
    </row>
    <row r="18" spans="1:11" x14ac:dyDescent="0.3">
      <c r="K18" s="9">
        <f>MAX(K3:K15)</f>
        <v>0.28197448873188602</v>
      </c>
    </row>
    <row r="19" spans="1:11" x14ac:dyDescent="0.3">
      <c r="F19">
        <f>COUNT(B3:B15)</f>
        <v>0</v>
      </c>
      <c r="K19">
        <f>MIN(K3:K15)</f>
        <v>9.8153612946011008E-6</v>
      </c>
    </row>
    <row r="21" spans="1:11" x14ac:dyDescent="0.3">
      <c r="A21" s="5" t="s">
        <v>36</v>
      </c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8D1A5-4268-425B-8462-78190E2D8AC2}">
  <dimension ref="A1:D6"/>
  <sheetViews>
    <sheetView tabSelected="1" workbookViewId="0">
      <selection activeCell="G3" sqref="G3"/>
    </sheetView>
  </sheetViews>
  <sheetFormatPr defaultRowHeight="14.4" x14ac:dyDescent="0.3"/>
  <cols>
    <col min="1" max="1" width="15.88671875" customWidth="1"/>
    <col min="2" max="2" width="23.21875" customWidth="1"/>
    <col min="3" max="3" width="21.21875" customWidth="1"/>
    <col min="4" max="4" width="37.109375" customWidth="1"/>
  </cols>
  <sheetData>
    <row r="1" spans="1:4" ht="15" thickBot="1" x14ac:dyDescent="0.35">
      <c r="A1" s="21" t="s">
        <v>219</v>
      </c>
    </row>
    <row r="2" spans="1:4" ht="30.6" thickBot="1" x14ac:dyDescent="0.35">
      <c r="A2" s="22" t="s">
        <v>200</v>
      </c>
      <c r="B2" s="22" t="s">
        <v>201</v>
      </c>
      <c r="C2" s="22" t="s">
        <v>202</v>
      </c>
      <c r="D2" s="22" t="s">
        <v>201</v>
      </c>
    </row>
    <row r="3" spans="1:4" ht="315" x14ac:dyDescent="0.3">
      <c r="A3" s="23" t="s">
        <v>203</v>
      </c>
      <c r="B3" s="23" t="s">
        <v>204</v>
      </c>
      <c r="C3" s="23" t="s">
        <v>205</v>
      </c>
      <c r="D3" s="23" t="s">
        <v>206</v>
      </c>
    </row>
    <row r="4" spans="1:4" ht="225" x14ac:dyDescent="0.3">
      <c r="A4" s="23" t="s">
        <v>207</v>
      </c>
      <c r="B4" s="23" t="s">
        <v>208</v>
      </c>
      <c r="C4" s="23" t="s">
        <v>209</v>
      </c>
      <c r="D4" s="23" t="s">
        <v>210</v>
      </c>
    </row>
    <row r="5" spans="1:4" ht="165" x14ac:dyDescent="0.3">
      <c r="A5" s="23" t="s">
        <v>211</v>
      </c>
      <c r="B5" s="23" t="s">
        <v>212</v>
      </c>
      <c r="C5" s="23" t="s">
        <v>213</v>
      </c>
      <c r="D5" s="23" t="s">
        <v>214</v>
      </c>
    </row>
    <row r="6" spans="1:4" ht="315.60000000000002" thickBot="1" x14ac:dyDescent="0.35">
      <c r="A6" s="24" t="s">
        <v>215</v>
      </c>
      <c r="B6" s="24" t="s">
        <v>216</v>
      </c>
      <c r="C6" s="24" t="s">
        <v>217</v>
      </c>
      <c r="D6" s="24" t="s">
        <v>218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20"/>
  <sheetViews>
    <sheetView workbookViewId="0">
      <selection activeCell="M15" sqref="M15"/>
    </sheetView>
  </sheetViews>
  <sheetFormatPr defaultRowHeight="14.4" x14ac:dyDescent="0.3"/>
  <cols>
    <col min="3" max="3" width="11" bestFit="1" customWidth="1"/>
  </cols>
  <sheetData>
    <row r="1" spans="1:18" x14ac:dyDescent="0.3">
      <c r="B1" t="s">
        <v>11</v>
      </c>
      <c r="C1" t="s">
        <v>12</v>
      </c>
      <c r="D1" t="s">
        <v>13</v>
      </c>
      <c r="E1" t="s">
        <v>14</v>
      </c>
      <c r="I1" t="s">
        <v>15</v>
      </c>
      <c r="J1" t="s">
        <v>16</v>
      </c>
      <c r="K1" t="s">
        <v>14</v>
      </c>
      <c r="L1" t="s">
        <v>17</v>
      </c>
      <c r="M1" t="s">
        <v>18</v>
      </c>
    </row>
    <row r="2" spans="1:18" x14ac:dyDescent="0.3">
      <c r="A2" t="s">
        <v>37</v>
      </c>
      <c r="B2">
        <v>30.117999999999999</v>
      </c>
      <c r="C2">
        <f>B2/B15</f>
        <v>0.3012703811143343</v>
      </c>
      <c r="D2">
        <v>-1.7308692516399999</v>
      </c>
      <c r="E2">
        <f>C2*D2</f>
        <v>-0.5214596391006654</v>
      </c>
      <c r="I2">
        <f>1/3</f>
        <v>0.33333333333333331</v>
      </c>
      <c r="J2">
        <f>100*I2</f>
        <v>33.333333333333329</v>
      </c>
      <c r="K2">
        <v>0.52145963910066495</v>
      </c>
      <c r="L2">
        <f>13*K2</f>
        <v>6.7789753083086444</v>
      </c>
      <c r="M2">
        <f>I2/L2</f>
        <v>4.9171639985881588E-2</v>
      </c>
      <c r="P2">
        <v>46</v>
      </c>
      <c r="Q2" t="s">
        <v>153</v>
      </c>
    </row>
    <row r="3" spans="1:18" x14ac:dyDescent="0.3">
      <c r="A3" t="s">
        <v>38</v>
      </c>
      <c r="B3">
        <v>36.786000000000001</v>
      </c>
      <c r="C3">
        <f>B3/B15</f>
        <v>0.3679703911173352</v>
      </c>
      <c r="D3">
        <v>-1.44233841142</v>
      </c>
      <c r="E3">
        <f t="shared" ref="E3:E14" si="0">C3*D3</f>
        <v>-0.53073782937377334</v>
      </c>
      <c r="I3">
        <f>1/6</f>
        <v>0.16666666666666666</v>
      </c>
      <c r="J3">
        <f t="shared" ref="J3:J14" si="1">100*I3</f>
        <v>16.666666666666664</v>
      </c>
      <c r="K3">
        <v>0.53073782937377301</v>
      </c>
      <c r="L3">
        <f t="shared" ref="L3:L14" si="2">13*K3</f>
        <v>6.8995917818590495</v>
      </c>
      <c r="M3">
        <f t="shared" ref="M3:M15" si="3">I3/L3</f>
        <v>2.4156018491540296E-2</v>
      </c>
      <c r="R3" t="s">
        <v>155</v>
      </c>
    </row>
    <row r="4" spans="1:18" x14ac:dyDescent="0.3">
      <c r="A4" t="s">
        <v>39</v>
      </c>
      <c r="B4">
        <v>32.854999999999997</v>
      </c>
      <c r="C4">
        <f>B4/B15</f>
        <v>0.32864859457837348</v>
      </c>
      <c r="D4">
        <v>-1.60538227747</v>
      </c>
      <c r="E4">
        <f t="shared" si="0"/>
        <v>-0.52760662925154389</v>
      </c>
      <c r="I4">
        <f>1/1</f>
        <v>1</v>
      </c>
      <c r="J4">
        <f t="shared" si="1"/>
        <v>100</v>
      </c>
      <c r="K4">
        <v>0.527606629251544</v>
      </c>
      <c r="L4">
        <f t="shared" si="2"/>
        <v>6.8588861802700718</v>
      </c>
      <c r="M4">
        <f t="shared" si="3"/>
        <v>0.1457962668744307</v>
      </c>
      <c r="P4" t="s">
        <v>171</v>
      </c>
      <c r="Q4">
        <v>37.93</v>
      </c>
      <c r="R4">
        <f>Q4/10</f>
        <v>3.7930000000000001</v>
      </c>
    </row>
    <row r="5" spans="1:18" x14ac:dyDescent="0.3">
      <c r="A5" t="s">
        <v>40</v>
      </c>
      <c r="B5">
        <v>2E-3</v>
      </c>
      <c r="C5">
        <f>B5/B15</f>
        <v>2.0006001800540163E-5</v>
      </c>
      <c r="D5">
        <v>-15.6092077308</v>
      </c>
      <c r="E5">
        <f t="shared" si="0"/>
        <v>-3.1227783796739021E-4</v>
      </c>
      <c r="I5">
        <f>1/2</f>
        <v>0.5</v>
      </c>
      <c r="J5">
        <f t="shared" si="1"/>
        <v>50</v>
      </c>
      <c r="K5">
        <v>3.1227783796738999E-4</v>
      </c>
      <c r="L5">
        <f t="shared" si="2"/>
        <v>4.0596118935760702E-3</v>
      </c>
      <c r="M5">
        <f t="shared" si="3"/>
        <v>123.16448298695745</v>
      </c>
    </row>
    <row r="6" spans="1:18" x14ac:dyDescent="0.3">
      <c r="A6" t="s">
        <v>41</v>
      </c>
      <c r="B6">
        <v>2.7E-2</v>
      </c>
      <c r="C6">
        <f>B6/B15</f>
        <v>2.7008102430729221E-4</v>
      </c>
      <c r="D6">
        <v>-11.854320228700001</v>
      </c>
      <c r="E6">
        <f t="shared" si="0"/>
        <v>-3.2016269498339506E-3</v>
      </c>
      <c r="I6">
        <f>1</f>
        <v>1</v>
      </c>
      <c r="J6">
        <f t="shared" si="1"/>
        <v>100</v>
      </c>
      <c r="K6">
        <v>3.2016269498339502E-3</v>
      </c>
      <c r="L6">
        <f t="shared" si="2"/>
        <v>4.1621150347841349E-2</v>
      </c>
      <c r="M6">
        <f t="shared" si="3"/>
        <v>24.026246070631835</v>
      </c>
    </row>
    <row r="7" spans="1:18" x14ac:dyDescent="0.3">
      <c r="A7" t="s">
        <v>42</v>
      </c>
      <c r="B7">
        <v>6.0000000000000001E-3</v>
      </c>
      <c r="C7">
        <f>B7/B15</f>
        <v>6.001800540162049E-5</v>
      </c>
      <c r="D7">
        <v>-14.0242452301</v>
      </c>
      <c r="E7">
        <f t="shared" si="0"/>
        <v>-8.4170722597379222E-4</v>
      </c>
      <c r="I7">
        <f>1/2</f>
        <v>0.5</v>
      </c>
      <c r="J7">
        <f t="shared" si="1"/>
        <v>50</v>
      </c>
      <c r="K7">
        <v>8.41707225973792E-4</v>
      </c>
      <c r="L7">
        <f t="shared" si="2"/>
        <v>1.0942193937659297E-2</v>
      </c>
      <c r="M7">
        <f t="shared" si="3"/>
        <v>45.694675386731234</v>
      </c>
    </row>
    <row r="8" spans="1:18" x14ac:dyDescent="0.3">
      <c r="A8" t="s">
        <v>43</v>
      </c>
      <c r="B8">
        <v>0.187</v>
      </c>
      <c r="C8">
        <f>B8/B15</f>
        <v>1.8705611683505052E-3</v>
      </c>
      <c r="D8">
        <v>-9.0623132709499998</v>
      </c>
      <c r="E8">
        <f t="shared" si="0"/>
        <v>-1.6951611300066519E-2</v>
      </c>
      <c r="I8">
        <f>1/2</f>
        <v>0.5</v>
      </c>
      <c r="J8">
        <f t="shared" si="1"/>
        <v>50</v>
      </c>
      <c r="K8">
        <v>1.6951611300066501E-2</v>
      </c>
      <c r="L8">
        <f t="shared" si="2"/>
        <v>0.22037094690086451</v>
      </c>
      <c r="M8">
        <f t="shared" si="3"/>
        <v>2.2689016271501918</v>
      </c>
    </row>
    <row r="9" spans="1:18" x14ac:dyDescent="0.3">
      <c r="A9" t="s">
        <v>44</v>
      </c>
      <c r="B9">
        <v>5.0000000000000001E-3</v>
      </c>
      <c r="C9">
        <f>B9/B15</f>
        <v>5.0015004501350405E-5</v>
      </c>
      <c r="D9">
        <v>-14.287279635899999</v>
      </c>
      <c r="E9">
        <f t="shared" si="0"/>
        <v>-7.1457835530159045E-4</v>
      </c>
      <c r="I9">
        <f>1/5</f>
        <v>0.2</v>
      </c>
      <c r="J9">
        <f t="shared" si="1"/>
        <v>20</v>
      </c>
      <c r="K9">
        <v>7.1457835530159002E-4</v>
      </c>
      <c r="L9">
        <f t="shared" si="2"/>
        <v>9.28951861892067E-3</v>
      </c>
      <c r="M9">
        <f t="shared" si="3"/>
        <v>21.529640900083326</v>
      </c>
    </row>
    <row r="10" spans="1:18" x14ac:dyDescent="0.3">
      <c r="A10" t="s">
        <v>27</v>
      </c>
      <c r="B10">
        <v>1.6E-2</v>
      </c>
      <c r="C10">
        <f>B10/B15</f>
        <v>1.6004801440432131E-4</v>
      </c>
      <c r="D10">
        <v>-12.6092077308</v>
      </c>
      <c r="E10">
        <f t="shared" si="0"/>
        <v>-2.018078660526158E-3</v>
      </c>
      <c r="I10">
        <v>1</v>
      </c>
      <c r="J10">
        <f t="shared" si="1"/>
        <v>100</v>
      </c>
      <c r="K10">
        <v>2.0180786605261602E-3</v>
      </c>
      <c r="L10">
        <f t="shared" si="2"/>
        <v>2.6235022586840084E-2</v>
      </c>
      <c r="M10">
        <f t="shared" si="3"/>
        <v>38.116986432541374</v>
      </c>
    </row>
    <row r="11" spans="1:18" x14ac:dyDescent="0.3">
      <c r="A11" t="s">
        <v>26</v>
      </c>
      <c r="B11">
        <v>0.01</v>
      </c>
      <c r="C11">
        <f>B11/B15</f>
        <v>1.0003000900270081E-4</v>
      </c>
      <c r="D11">
        <v>-13.287279635899999</v>
      </c>
      <c r="E11">
        <f t="shared" si="0"/>
        <v>-1.3291267016004801E-3</v>
      </c>
      <c r="I11">
        <v>1</v>
      </c>
      <c r="J11">
        <f t="shared" si="1"/>
        <v>100</v>
      </c>
      <c r="K11">
        <v>1.3291267016004801E-3</v>
      </c>
      <c r="L11">
        <f t="shared" si="2"/>
        <v>1.7278647120806241E-2</v>
      </c>
      <c r="M11">
        <f t="shared" si="3"/>
        <v>57.874901490165911</v>
      </c>
    </row>
    <row r="12" spans="1:18" x14ac:dyDescent="0.3">
      <c r="A12" t="s">
        <v>45</v>
      </c>
      <c r="B12">
        <v>0.01</v>
      </c>
      <c r="C12">
        <f>B12/B15</f>
        <v>1.0003000900270081E-4</v>
      </c>
      <c r="D12">
        <v>-13.287279635899999</v>
      </c>
      <c r="E12">
        <f t="shared" si="0"/>
        <v>-1.3291267016004801E-3</v>
      </c>
      <c r="I12">
        <f>1/5</f>
        <v>0.2</v>
      </c>
      <c r="J12">
        <f t="shared" si="1"/>
        <v>20</v>
      </c>
      <c r="K12">
        <v>1.3291267016004801E-3</v>
      </c>
      <c r="L12">
        <f t="shared" si="2"/>
        <v>1.7278647120806241E-2</v>
      </c>
      <c r="M12">
        <f t="shared" si="3"/>
        <v>11.574980298033182</v>
      </c>
    </row>
    <row r="13" spans="1:18" x14ac:dyDescent="0.3">
      <c r="A13" t="s">
        <v>46</v>
      </c>
      <c r="B13">
        <v>6.0000000000000001E-3</v>
      </c>
      <c r="C13">
        <f>B13/B15</f>
        <v>6.001800540162049E-5</v>
      </c>
      <c r="D13">
        <v>-14.0242452301</v>
      </c>
      <c r="E13">
        <f t="shared" si="0"/>
        <v>-8.4170722597379222E-4</v>
      </c>
      <c r="I13">
        <f>1/5</f>
        <v>0.2</v>
      </c>
      <c r="J13">
        <f t="shared" si="1"/>
        <v>20</v>
      </c>
      <c r="K13">
        <v>8.41707225973792E-4</v>
      </c>
      <c r="L13">
        <f t="shared" si="2"/>
        <v>1.0942193937659297E-2</v>
      </c>
      <c r="M13">
        <f t="shared" si="3"/>
        <v>18.277870154692494</v>
      </c>
    </row>
    <row r="14" spans="1:18" x14ac:dyDescent="0.3">
      <c r="A14" t="s">
        <v>47</v>
      </c>
      <c r="B14">
        <v>4.0000000000000001E-3</v>
      </c>
      <c r="C14">
        <f>B14/B15</f>
        <v>4.0012003601080326E-5</v>
      </c>
      <c r="D14">
        <v>-14.6092077308</v>
      </c>
      <c r="E14">
        <f t="shared" si="0"/>
        <v>-5.8454367233370008E-4</v>
      </c>
      <c r="I14">
        <f>1/4</f>
        <v>0.25</v>
      </c>
      <c r="J14">
        <f t="shared" si="1"/>
        <v>25</v>
      </c>
      <c r="K14">
        <v>5.8454367233369998E-4</v>
      </c>
      <c r="L14">
        <f t="shared" si="2"/>
        <v>7.5990677403381E-3</v>
      </c>
      <c r="M14">
        <f t="shared" si="3"/>
        <v>32.898772394530191</v>
      </c>
    </row>
    <row r="15" spans="1:18" x14ac:dyDescent="0.3">
      <c r="A15" t="s">
        <v>48</v>
      </c>
      <c r="B15">
        <v>99.97</v>
      </c>
      <c r="I15" s="10">
        <f>SUM(I2:I14)</f>
        <v>6.8500000000000005</v>
      </c>
      <c r="J15">
        <f>SUM(J2:J14)</f>
        <v>685</v>
      </c>
      <c r="L15">
        <f>SUM(L2:L14)</f>
        <v>20.903070270643077</v>
      </c>
      <c r="M15" s="1">
        <f t="shared" si="3"/>
        <v>0.32770305564251745</v>
      </c>
    </row>
    <row r="17" spans="10:11" x14ac:dyDescent="0.3">
      <c r="J17">
        <f>COUNT(K2:K14)</f>
        <v>13</v>
      </c>
    </row>
    <row r="19" spans="10:11" x14ac:dyDescent="0.3">
      <c r="K19" s="9">
        <f>MAX(K2:K14)</f>
        <v>0.53073782937377301</v>
      </c>
    </row>
    <row r="20" spans="10:11" x14ac:dyDescent="0.3">
      <c r="K20">
        <f>MIN(K2:K14)</f>
        <v>3.1227783796738999E-4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2"/>
  <sheetViews>
    <sheetView workbookViewId="0">
      <selection activeCell="M16" sqref="M16"/>
    </sheetView>
  </sheetViews>
  <sheetFormatPr defaultRowHeight="14.4" x14ac:dyDescent="0.3"/>
  <sheetData>
    <row r="1" spans="2:13" x14ac:dyDescent="0.3">
      <c r="E1" s="2" t="s">
        <v>30</v>
      </c>
      <c r="F1" s="2"/>
      <c r="G1" s="2"/>
      <c r="H1" s="2"/>
      <c r="I1" s="2"/>
    </row>
    <row r="3" spans="2:13" x14ac:dyDescent="0.3">
      <c r="D3" t="s">
        <v>34</v>
      </c>
      <c r="F3" t="s">
        <v>31</v>
      </c>
      <c r="I3" t="s">
        <v>32</v>
      </c>
      <c r="M3" t="s">
        <v>33</v>
      </c>
    </row>
    <row r="4" spans="2:13" x14ac:dyDescent="0.3">
      <c r="C4" t="s">
        <v>11</v>
      </c>
      <c r="D4" t="s">
        <v>12</v>
      </c>
      <c r="E4" t="s">
        <v>13</v>
      </c>
      <c r="F4" t="s">
        <v>14</v>
      </c>
      <c r="I4" t="s">
        <v>15</v>
      </c>
      <c r="J4" t="s">
        <v>16</v>
      </c>
      <c r="K4" t="s">
        <v>14</v>
      </c>
      <c r="L4" t="s">
        <v>17</v>
      </c>
      <c r="M4" s="2" t="s">
        <v>18</v>
      </c>
    </row>
    <row r="5" spans="2:13" x14ac:dyDescent="0.3">
      <c r="B5" t="s">
        <v>0</v>
      </c>
      <c r="C5">
        <v>49.78</v>
      </c>
      <c r="D5">
        <f>C5/C16</f>
        <v>0.49784978497849791</v>
      </c>
      <c r="E5">
        <v>-1.0062175877899999</v>
      </c>
      <c r="F5">
        <f>D5*E5</f>
        <v>-0.50094520972283429</v>
      </c>
      <c r="I5">
        <v>0.76634999999999998</v>
      </c>
      <c r="J5">
        <f>I5*100</f>
        <v>76.634999999999991</v>
      </c>
      <c r="K5">
        <v>0.50094520972283396</v>
      </c>
      <c r="L5">
        <f>11*K5</f>
        <v>5.5103973069511731</v>
      </c>
      <c r="M5">
        <f>I5/L5</f>
        <v>0.13907345646987673</v>
      </c>
    </row>
    <row r="6" spans="2:13" x14ac:dyDescent="0.3">
      <c r="B6" t="s">
        <v>1</v>
      </c>
      <c r="C6">
        <v>13.89</v>
      </c>
      <c r="D6">
        <f>C6/C16</f>
        <v>0.13891389138913893</v>
      </c>
      <c r="E6">
        <v>-2.8477372228900002</v>
      </c>
      <c r="F6">
        <f>D6*E6</f>
        <v>-0.39559025928534958</v>
      </c>
      <c r="I6">
        <v>0.71850000000000003</v>
      </c>
      <c r="J6">
        <f>I6*100</f>
        <v>71.850000000000009</v>
      </c>
      <c r="K6">
        <v>0.39559025928535002</v>
      </c>
      <c r="L6">
        <f t="shared" ref="L6:L15" si="0">11*K6</f>
        <v>4.3514928521388505</v>
      </c>
      <c r="M6">
        <f t="shared" ref="M6:M16" si="1">I6/L6</f>
        <v>0.16511574864401815</v>
      </c>
    </row>
    <row r="7" spans="2:13" x14ac:dyDescent="0.3">
      <c r="B7" t="s">
        <v>2</v>
      </c>
      <c r="C7">
        <v>11.97</v>
      </c>
      <c r="D7">
        <f>C7/C16</f>
        <v>0.11971197119711972</v>
      </c>
      <c r="E7">
        <v>-3.0623606682600002</v>
      </c>
      <c r="F7">
        <f t="shared" ref="F7:F15" si="2">D7*E7</f>
        <v>-0.36660123211393347</v>
      </c>
      <c r="I7">
        <v>0.76449999999999996</v>
      </c>
      <c r="J7">
        <f>I7*100</f>
        <v>76.449999999999989</v>
      </c>
      <c r="K7">
        <v>0.36660123211393297</v>
      </c>
      <c r="L7">
        <f t="shared" si="0"/>
        <v>4.0326135532532623</v>
      </c>
      <c r="M7">
        <f t="shared" si="1"/>
        <v>0.18957928646131955</v>
      </c>
    </row>
    <row r="8" spans="2:13" x14ac:dyDescent="0.3">
      <c r="B8" t="s">
        <v>3</v>
      </c>
      <c r="C8">
        <v>9.1300000000000008</v>
      </c>
      <c r="D8">
        <f>C8/C16</f>
        <v>9.1309130913091327E-2</v>
      </c>
      <c r="E8">
        <v>-3.4530970514699999</v>
      </c>
      <c r="F8">
        <f t="shared" si="2"/>
        <v>-0.31529929072828389</v>
      </c>
      <c r="I8">
        <v>0.80149999999999999</v>
      </c>
      <c r="J8">
        <v>80.150000000000006</v>
      </c>
      <c r="K8">
        <v>0.315299290728284</v>
      </c>
      <c r="L8">
        <f t="shared" si="0"/>
        <v>3.4682921980111239</v>
      </c>
      <c r="M8">
        <f t="shared" si="1"/>
        <v>0.23109356254920405</v>
      </c>
    </row>
    <row r="9" spans="2:13" x14ac:dyDescent="0.3">
      <c r="B9" t="s">
        <v>4</v>
      </c>
      <c r="C9">
        <v>3.89</v>
      </c>
      <c r="D9">
        <f>C9/C16</f>
        <v>3.8903890389038909E-2</v>
      </c>
      <c r="E9">
        <v>-4.6839417722699999</v>
      </c>
      <c r="F9">
        <f t="shared" si="2"/>
        <v>-0.18222355729703271</v>
      </c>
      <c r="I9">
        <v>0.85719999999999996</v>
      </c>
      <c r="J9">
        <v>85.725000000000009</v>
      </c>
      <c r="K9">
        <v>0.18222355729703299</v>
      </c>
      <c r="L9">
        <f t="shared" si="0"/>
        <v>2.0044591302673629</v>
      </c>
      <c r="M9">
        <f t="shared" si="1"/>
        <v>0.42764653419781284</v>
      </c>
    </row>
    <row r="10" spans="2:13" x14ac:dyDescent="0.3">
      <c r="B10" t="s">
        <v>5</v>
      </c>
      <c r="C10">
        <v>0.9</v>
      </c>
      <c r="D10">
        <f>C10/C16</f>
        <v>9.0009000900090012E-3</v>
      </c>
      <c r="E10">
        <v>-6.7957150209300003</v>
      </c>
      <c r="F10">
        <f t="shared" si="2"/>
        <v>-6.1167551943564359E-2</v>
      </c>
      <c r="I10">
        <v>0.87090000000000001</v>
      </c>
      <c r="J10">
        <v>87.093000000000004</v>
      </c>
      <c r="K10">
        <v>6.1167551943564401E-2</v>
      </c>
      <c r="L10">
        <f t="shared" si="0"/>
        <v>0.6728430713792084</v>
      </c>
      <c r="M10">
        <f t="shared" si="1"/>
        <v>1.2943582791375263</v>
      </c>
    </row>
    <row r="11" spans="2:13" x14ac:dyDescent="0.3">
      <c r="B11" t="s">
        <v>6</v>
      </c>
      <c r="C11">
        <v>0.27</v>
      </c>
      <c r="D11">
        <f>C11/C16</f>
        <v>2.7002700270027007E-3</v>
      </c>
      <c r="E11">
        <v>-8.5326806150899994</v>
      </c>
      <c r="F11">
        <f t="shared" si="2"/>
        <v>-2.3040541714914493E-2</v>
      </c>
      <c r="I11">
        <f>1*0.5+1/2*0.5</f>
        <v>0.75</v>
      </c>
      <c r="J11">
        <f>I11*100</f>
        <v>75</v>
      </c>
      <c r="K11">
        <v>2.30405417149145E-2</v>
      </c>
      <c r="L11">
        <f t="shared" si="0"/>
        <v>0.25344595886405952</v>
      </c>
      <c r="M11">
        <f t="shared" si="1"/>
        <v>2.9592107262687763</v>
      </c>
    </row>
    <row r="12" spans="2:13" x14ac:dyDescent="0.3">
      <c r="B12" t="s">
        <v>7</v>
      </c>
      <c r="C12">
        <v>0.25</v>
      </c>
      <c r="D12">
        <f>C12/C16</f>
        <v>2.5002500250025004E-3</v>
      </c>
      <c r="E12">
        <v>-8.6437119274800001</v>
      </c>
      <c r="F12">
        <f t="shared" si="2"/>
        <v>-2.1611440962796279E-2</v>
      </c>
      <c r="I12">
        <v>0.91505000000000003</v>
      </c>
      <c r="J12">
        <v>91.50500000000001</v>
      </c>
      <c r="K12">
        <v>2.16114409627963E-2</v>
      </c>
      <c r="L12">
        <f t="shared" si="0"/>
        <v>0.23772585059075929</v>
      </c>
      <c r="M12">
        <f t="shared" si="1"/>
        <v>3.8491817264553272</v>
      </c>
    </row>
    <row r="13" spans="2:13" x14ac:dyDescent="0.3">
      <c r="B13" t="s">
        <v>8</v>
      </c>
      <c r="C13">
        <v>0.23</v>
      </c>
      <c r="D13">
        <f>C13/C16</f>
        <v>2.3002300230023005E-3</v>
      </c>
      <c r="E13">
        <v>-8.7640061611999993</v>
      </c>
      <c r="F13">
        <f t="shared" si="2"/>
        <v>-2.0159230093769378E-2</v>
      </c>
      <c r="I13">
        <v>1</v>
      </c>
      <c r="J13">
        <v>100</v>
      </c>
      <c r="K13">
        <v>2.0159230093769399E-2</v>
      </c>
      <c r="L13">
        <f t="shared" si="0"/>
        <v>0.22175153103146339</v>
      </c>
      <c r="M13">
        <f t="shared" si="1"/>
        <v>4.5095517282273656</v>
      </c>
    </row>
    <row r="14" spans="2:13" x14ac:dyDescent="0.3">
      <c r="B14" t="s">
        <v>9</v>
      </c>
      <c r="C14">
        <v>9.5500000000000007</v>
      </c>
      <c r="D14">
        <f>C14/C16</f>
        <v>9.5509550955095515E-2</v>
      </c>
      <c r="E14">
        <v>-3.3882111792299998</v>
      </c>
      <c r="F14">
        <f t="shared" si="2"/>
        <v>-0.32360652826929193</v>
      </c>
      <c r="I14">
        <v>0.79969999999999997</v>
      </c>
      <c r="J14">
        <v>79.97</v>
      </c>
      <c r="K14">
        <v>0.32360652826929198</v>
      </c>
      <c r="L14">
        <f t="shared" si="0"/>
        <v>3.5596718109622119</v>
      </c>
      <c r="M14">
        <f t="shared" si="1"/>
        <v>0.22465554199049426</v>
      </c>
    </row>
    <row r="15" spans="2:13" x14ac:dyDescent="0.3">
      <c r="B15" t="s">
        <v>10</v>
      </c>
      <c r="C15">
        <v>0.13</v>
      </c>
      <c r="D15">
        <f>C15/C16</f>
        <v>1.3001300130013002E-3</v>
      </c>
      <c r="E15">
        <v>-9.5871283991199991</v>
      </c>
      <c r="F15">
        <f t="shared" si="2"/>
        <v>-1.2464513370193019E-2</v>
      </c>
      <c r="I15">
        <v>0.84209999999999996</v>
      </c>
      <c r="J15">
        <v>84.210000000000008</v>
      </c>
      <c r="K15">
        <v>1.2464513370193E-2</v>
      </c>
      <c r="L15">
        <f t="shared" si="0"/>
        <v>0.137109647072123</v>
      </c>
      <c r="M15">
        <f t="shared" si="1"/>
        <v>6.1417997783703351</v>
      </c>
    </row>
    <row r="16" spans="2:13" x14ac:dyDescent="0.3">
      <c r="C16">
        <f>SUM(C5:C15)</f>
        <v>99.99</v>
      </c>
      <c r="I16" s="10">
        <f>SUM(I5:I15)</f>
        <v>9.085799999999999</v>
      </c>
      <c r="J16">
        <f>SUM(J5:J15)</f>
        <v>908.58800000000008</v>
      </c>
      <c r="L16">
        <f>SUM(L5:L15)</f>
        <v>24.449802910521598</v>
      </c>
      <c r="M16" s="1">
        <f t="shared" si="1"/>
        <v>0.37161035748431592</v>
      </c>
    </row>
    <row r="18" spans="1:11" x14ac:dyDescent="0.3">
      <c r="D18" t="s">
        <v>19</v>
      </c>
      <c r="K18" s="9">
        <f>MAX(K5:K15)</f>
        <v>0.50094520972283396</v>
      </c>
    </row>
    <row r="19" spans="1:11" x14ac:dyDescent="0.3">
      <c r="K19" s="9">
        <f>MIN(K5:K15)</f>
        <v>1.2464513370193E-2</v>
      </c>
    </row>
    <row r="20" spans="1:11" s="2" customFormat="1" x14ac:dyDescent="0.3">
      <c r="D20" s="2" t="s">
        <v>35</v>
      </c>
      <c r="E20" s="2" t="s">
        <v>0</v>
      </c>
      <c r="F20" s="2">
        <v>0.76634999999999998</v>
      </c>
      <c r="G20" s="2" t="s">
        <v>20</v>
      </c>
    </row>
    <row r="22" spans="1:11" x14ac:dyDescent="0.3">
      <c r="A22" s="3" t="s">
        <v>21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L20"/>
  <sheetViews>
    <sheetView workbookViewId="0">
      <selection activeCell="L13" sqref="L13"/>
    </sheetView>
  </sheetViews>
  <sheetFormatPr defaultRowHeight="14.4" x14ac:dyDescent="0.3"/>
  <sheetData>
    <row r="3" spans="1:12" x14ac:dyDescent="0.3">
      <c r="C3" t="s">
        <v>34</v>
      </c>
      <c r="E3" t="s">
        <v>31</v>
      </c>
      <c r="H3" t="s">
        <v>32</v>
      </c>
      <c r="L3" t="s">
        <v>33</v>
      </c>
    </row>
    <row r="4" spans="1:12" x14ac:dyDescent="0.3">
      <c r="B4" t="s">
        <v>11</v>
      </c>
      <c r="C4" t="s">
        <v>12</v>
      </c>
      <c r="D4" t="s">
        <v>13</v>
      </c>
      <c r="E4" t="s">
        <v>14</v>
      </c>
      <c r="H4" t="s">
        <v>15</v>
      </c>
      <c r="I4" t="s">
        <v>16</v>
      </c>
      <c r="J4" t="s">
        <v>14</v>
      </c>
      <c r="K4" t="s">
        <v>17</v>
      </c>
      <c r="L4" t="s">
        <v>18</v>
      </c>
    </row>
    <row r="5" spans="1:12" x14ac:dyDescent="0.3">
      <c r="A5" t="s">
        <v>76</v>
      </c>
      <c r="B5">
        <v>12</v>
      </c>
      <c r="C5">
        <f>B5/B14</f>
        <v>0.10503282275711159</v>
      </c>
      <c r="D5">
        <v>-3.2510878509999999</v>
      </c>
      <c r="E5">
        <f>C5*D5</f>
        <v>-0.34147093402188183</v>
      </c>
      <c r="H5">
        <v>0.76449999999999996</v>
      </c>
      <c r="I5">
        <f>100*H5</f>
        <v>76.449999999999989</v>
      </c>
      <c r="J5">
        <v>0.341470934021882</v>
      </c>
      <c r="K5">
        <f>8*J5</f>
        <v>2.731767472175056</v>
      </c>
      <c r="L5">
        <f>H5/K5</f>
        <v>0.27985544442818139</v>
      </c>
    </row>
    <row r="6" spans="1:12" x14ac:dyDescent="0.3">
      <c r="A6" t="s">
        <v>9</v>
      </c>
      <c r="B6">
        <v>9</v>
      </c>
      <c r="C6">
        <f>B6/B14</f>
        <v>7.8774617067833702E-2</v>
      </c>
      <c r="D6">
        <v>-3.6661253548600001</v>
      </c>
      <c r="E6">
        <f t="shared" ref="E6:E12" si="0">C6*D6</f>
        <v>-0.28879762095177247</v>
      </c>
      <c r="H6">
        <v>0.79969999999999997</v>
      </c>
      <c r="I6">
        <f t="shared" ref="I6:I12" si="1">100*H6</f>
        <v>79.97</v>
      </c>
      <c r="J6">
        <v>0.28879762095177203</v>
      </c>
      <c r="K6">
        <f t="shared" ref="K6:K12" si="2">8*J6</f>
        <v>2.3103809676141762</v>
      </c>
      <c r="L6">
        <f t="shared" ref="L6:L13" si="3">H6/K6</f>
        <v>0.3461333915098051</v>
      </c>
    </row>
    <row r="7" spans="1:12" x14ac:dyDescent="0.3">
      <c r="A7" t="s">
        <v>77</v>
      </c>
      <c r="B7">
        <v>17</v>
      </c>
      <c r="C7">
        <f>B7/B14</f>
        <v>0.1487964989059081</v>
      </c>
      <c r="D7">
        <v>-2.7485875128999999</v>
      </c>
      <c r="E7">
        <f t="shared" si="0"/>
        <v>-0.4089801988560175</v>
      </c>
      <c r="H7">
        <v>0.85719999999999996</v>
      </c>
      <c r="I7">
        <f t="shared" si="1"/>
        <v>85.72</v>
      </c>
      <c r="J7">
        <v>0.408980198856017</v>
      </c>
      <c r="K7">
        <f t="shared" si="2"/>
        <v>3.271841590848136</v>
      </c>
      <c r="L7">
        <f t="shared" si="3"/>
        <v>0.26199312411631587</v>
      </c>
    </row>
    <row r="8" spans="1:12" x14ac:dyDescent="0.3">
      <c r="A8" t="s">
        <v>0</v>
      </c>
      <c r="B8">
        <v>42</v>
      </c>
      <c r="C8">
        <f>B8/B14</f>
        <v>0.36761487964989059</v>
      </c>
      <c r="D8">
        <v>-1.44373293091</v>
      </c>
      <c r="E8">
        <f t="shared" si="0"/>
        <v>-0.53073770764306349</v>
      </c>
      <c r="H8">
        <v>0.76634999999999998</v>
      </c>
      <c r="I8">
        <f t="shared" si="1"/>
        <v>76.634999999999991</v>
      </c>
      <c r="J8">
        <v>0.53073770764306305</v>
      </c>
      <c r="K8">
        <f t="shared" si="2"/>
        <v>4.2459016611445044</v>
      </c>
      <c r="L8">
        <f t="shared" si="3"/>
        <v>0.18049169791497865</v>
      </c>
    </row>
    <row r="9" spans="1:12" x14ac:dyDescent="0.3">
      <c r="A9" t="s">
        <v>78</v>
      </c>
      <c r="B9">
        <v>24</v>
      </c>
      <c r="C9">
        <f>B9/B14</f>
        <v>0.21006564551422319</v>
      </c>
      <c r="D9">
        <v>-2.2510878509999999</v>
      </c>
      <c r="E9">
        <f t="shared" si="0"/>
        <v>-0.47287622252954042</v>
      </c>
      <c r="H9">
        <v>0.76455000000000017</v>
      </c>
      <c r="I9">
        <f t="shared" si="1"/>
        <v>76.455000000000013</v>
      </c>
      <c r="J9">
        <v>0.47287622252953998</v>
      </c>
      <c r="K9">
        <f t="shared" si="2"/>
        <v>3.7830097802363198</v>
      </c>
      <c r="L9">
        <f t="shared" si="3"/>
        <v>0.20210098424652756</v>
      </c>
    </row>
    <row r="10" spans="1:12" x14ac:dyDescent="0.3">
      <c r="A10" t="s">
        <v>7</v>
      </c>
      <c r="B10">
        <v>1.8</v>
      </c>
      <c r="C10">
        <f>B10/B14</f>
        <v>1.575492341356674E-2</v>
      </c>
      <c r="D10">
        <v>-5.9880534863700001</v>
      </c>
      <c r="E10">
        <f t="shared" si="0"/>
        <v>-9.434132407410066E-2</v>
      </c>
      <c r="H10">
        <v>0.91505000000000003</v>
      </c>
      <c r="I10">
        <f t="shared" si="1"/>
        <v>91.50500000000001</v>
      </c>
      <c r="J10">
        <v>9.4341324074100702E-2</v>
      </c>
      <c r="K10">
        <f t="shared" si="2"/>
        <v>0.75473059259280562</v>
      </c>
      <c r="L10">
        <f t="shared" si="3"/>
        <v>1.2124193837915491</v>
      </c>
    </row>
    <row r="11" spans="1:12" x14ac:dyDescent="0.3">
      <c r="A11" t="s">
        <v>79</v>
      </c>
      <c r="B11">
        <v>5</v>
      </c>
      <c r="C11">
        <f>B11/B14</f>
        <v>4.3763676148796497E-2</v>
      </c>
      <c r="D11">
        <v>-4.5141222650800001</v>
      </c>
      <c r="E11">
        <f t="shared" si="0"/>
        <v>-0.19755458490503283</v>
      </c>
      <c r="H11">
        <v>0.80149999999999999</v>
      </c>
      <c r="I11">
        <f t="shared" si="1"/>
        <v>80.150000000000006</v>
      </c>
      <c r="J11">
        <v>0.197554584905033</v>
      </c>
      <c r="K11">
        <f t="shared" si="2"/>
        <v>1.580436679240264</v>
      </c>
      <c r="L11">
        <f t="shared" si="3"/>
        <v>0.50713831849643687</v>
      </c>
    </row>
    <row r="12" spans="1:12" x14ac:dyDescent="0.3">
      <c r="A12" t="s">
        <v>25</v>
      </c>
      <c r="B12">
        <v>1.1499999999999999</v>
      </c>
      <c r="C12">
        <f>B12/B14</f>
        <v>1.0065645514223193E-2</v>
      </c>
      <c r="D12">
        <v>-6.6344164242600003</v>
      </c>
      <c r="E12">
        <f t="shared" si="0"/>
        <v>-6.6779683920341351E-2</v>
      </c>
      <c r="H12">
        <v>0.88709999999999989</v>
      </c>
      <c r="I12">
        <f t="shared" si="1"/>
        <v>88.71</v>
      </c>
      <c r="J12">
        <v>6.6779683920341407E-2</v>
      </c>
      <c r="K12">
        <f t="shared" si="2"/>
        <v>0.53423747136273125</v>
      </c>
      <c r="L12">
        <f t="shared" si="3"/>
        <v>1.6604975269465618</v>
      </c>
    </row>
    <row r="13" spans="1:12" x14ac:dyDescent="0.3">
      <c r="A13" t="s">
        <v>80</v>
      </c>
      <c r="B13">
        <v>2.2999999999999998</v>
      </c>
      <c r="H13" s="10">
        <f>SUM(H5:H12)</f>
        <v>6.5559500000000011</v>
      </c>
      <c r="I13">
        <f>SUM(I5:I12)</f>
        <v>655.59500000000003</v>
      </c>
      <c r="K13">
        <f>SUM(K5:K12)</f>
        <v>19.212306215213996</v>
      </c>
      <c r="L13" s="1">
        <f t="shared" si="3"/>
        <v>0.34123701374322374</v>
      </c>
    </row>
    <row r="14" spans="1:12" x14ac:dyDescent="0.3">
      <c r="B14">
        <f>SUM(B5:B13)</f>
        <v>114.25</v>
      </c>
    </row>
    <row r="15" spans="1:12" x14ac:dyDescent="0.3">
      <c r="J15" s="9">
        <f>MAX(J5:J12)</f>
        <v>0.53073770764306305</v>
      </c>
    </row>
    <row r="16" spans="1:12" x14ac:dyDescent="0.3">
      <c r="C16">
        <v>51</v>
      </c>
      <c r="J16" s="9">
        <f>MIN(J5:J12)</f>
        <v>6.6779683920341407E-2</v>
      </c>
    </row>
    <row r="18" spans="1:10" x14ac:dyDescent="0.3">
      <c r="J18" t="s">
        <v>127</v>
      </c>
    </row>
    <row r="19" spans="1:10" x14ac:dyDescent="0.3">
      <c r="A19" t="s">
        <v>81</v>
      </c>
    </row>
    <row r="20" spans="1:10" x14ac:dyDescent="0.3">
      <c r="A20" t="s">
        <v>82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1"/>
  <sheetViews>
    <sheetView workbookViewId="0">
      <selection activeCell="Q17" sqref="Q17"/>
    </sheetView>
  </sheetViews>
  <sheetFormatPr defaultRowHeight="14.4" x14ac:dyDescent="0.3"/>
  <cols>
    <col min="9" max="9" width="12" bestFit="1" customWidth="1"/>
  </cols>
  <sheetData>
    <row r="1" spans="1:17" x14ac:dyDescent="0.3">
      <c r="A1" t="s">
        <v>90</v>
      </c>
    </row>
    <row r="2" spans="1:17" x14ac:dyDescent="0.3">
      <c r="A2" t="s">
        <v>83</v>
      </c>
      <c r="I2" t="s">
        <v>34</v>
      </c>
      <c r="K2" t="s">
        <v>31</v>
      </c>
      <c r="M2" t="s">
        <v>32</v>
      </c>
      <c r="Q2" t="s">
        <v>33</v>
      </c>
    </row>
    <row r="3" spans="1:17" x14ac:dyDescent="0.3">
      <c r="D3" t="s">
        <v>128</v>
      </c>
      <c r="H3" t="s">
        <v>11</v>
      </c>
      <c r="I3" t="s">
        <v>12</v>
      </c>
      <c r="J3" t="s">
        <v>13</v>
      </c>
      <c r="K3" t="s">
        <v>14</v>
      </c>
      <c r="M3" t="s">
        <v>15</v>
      </c>
      <c r="N3" t="s">
        <v>16</v>
      </c>
      <c r="O3" t="s">
        <v>14</v>
      </c>
      <c r="P3" t="s">
        <v>17</v>
      </c>
      <c r="Q3" t="s">
        <v>18</v>
      </c>
    </row>
    <row r="4" spans="1:17" x14ac:dyDescent="0.3">
      <c r="A4" t="s">
        <v>84</v>
      </c>
      <c r="B4" t="s">
        <v>67</v>
      </c>
      <c r="C4">
        <v>3.33</v>
      </c>
      <c r="G4" t="s">
        <v>67</v>
      </c>
      <c r="H4">
        <v>3.33</v>
      </c>
      <c r="I4">
        <f>H4/H17</f>
        <v>0.12633399977995882</v>
      </c>
      <c r="J4">
        <v>-2.9846851340699998</v>
      </c>
      <c r="K4">
        <f>I4*J4</f>
        <v>-0.37706721107084573</v>
      </c>
      <c r="M4">
        <v>0.33333333333333331</v>
      </c>
      <c r="N4">
        <f>100*M4</f>
        <v>33.333333333333329</v>
      </c>
      <c r="O4">
        <v>0.37706721107084601</v>
      </c>
      <c r="P4">
        <f>13*O4</f>
        <v>4.9018737439209978</v>
      </c>
      <c r="Q4">
        <f>M4/P4</f>
        <v>6.8001207445767611E-2</v>
      </c>
    </row>
    <row r="5" spans="1:17" x14ac:dyDescent="0.3">
      <c r="B5" t="s">
        <v>68</v>
      </c>
      <c r="C5">
        <v>13.4</v>
      </c>
      <c r="G5" t="s">
        <v>68</v>
      </c>
      <c r="H5">
        <v>13.4</v>
      </c>
      <c r="I5">
        <f>H5/H17</f>
        <v>0.50837105016560002</v>
      </c>
      <c r="J5">
        <v>-0.97604621877499997</v>
      </c>
      <c r="K5">
        <f t="shared" ref="K5:K16" si="0">I5*J5</f>
        <v>-0.49619364124880971</v>
      </c>
      <c r="M5">
        <v>0.5</v>
      </c>
      <c r="N5">
        <f t="shared" ref="N5:N16" si="1">100*M5</f>
        <v>50</v>
      </c>
      <c r="O5">
        <v>0.49619364124880999</v>
      </c>
      <c r="P5">
        <f t="shared" ref="P5:P16" si="2">13*O5</f>
        <v>6.4505173362345296</v>
      </c>
      <c r="Q5">
        <f t="shared" ref="Q5:Q17" si="3">M5/P5</f>
        <v>7.7513162733684471E-2</v>
      </c>
    </row>
    <row r="6" spans="1:17" x14ac:dyDescent="0.3">
      <c r="B6" t="s">
        <v>37</v>
      </c>
      <c r="C6">
        <v>1.5</v>
      </c>
      <c r="G6" t="s">
        <v>37</v>
      </c>
      <c r="H6">
        <v>1.5</v>
      </c>
      <c r="I6">
        <f>H6/H17</f>
        <v>5.6907207108089559E-2</v>
      </c>
      <c r="J6">
        <v>-4.1352448158900001</v>
      </c>
      <c r="K6">
        <f t="shared" si="0"/>
        <v>-0.23532523318050591</v>
      </c>
      <c r="M6">
        <v>0.33333333333333331</v>
      </c>
      <c r="N6">
        <f t="shared" si="1"/>
        <v>33.333333333333329</v>
      </c>
      <c r="O6">
        <v>0.23532523318050599</v>
      </c>
      <c r="P6">
        <f t="shared" si="2"/>
        <v>3.0592280313465778</v>
      </c>
      <c r="Q6">
        <f t="shared" si="3"/>
        <v>0.10895994999974234</v>
      </c>
    </row>
    <row r="7" spans="1:17" x14ac:dyDescent="0.3">
      <c r="B7" t="s">
        <v>69</v>
      </c>
      <c r="C7">
        <v>1.4</v>
      </c>
      <c r="G7" t="s">
        <v>69</v>
      </c>
      <c r="H7">
        <v>1.4</v>
      </c>
      <c r="I7">
        <f>H7/H17</f>
        <v>5.3113393300883584E-2</v>
      </c>
      <c r="J7">
        <v>-4.2347804948799999</v>
      </c>
      <c r="K7">
        <f t="shared" si="0"/>
        <v>-0.22492356196747185</v>
      </c>
      <c r="M7">
        <v>1</v>
      </c>
      <c r="N7">
        <f t="shared" si="1"/>
        <v>100</v>
      </c>
      <c r="O7">
        <v>0.22492356196747201</v>
      </c>
      <c r="P7">
        <f t="shared" si="2"/>
        <v>2.9240063055771364</v>
      </c>
      <c r="Q7">
        <f t="shared" si="3"/>
        <v>0.34199652650975437</v>
      </c>
    </row>
    <row r="8" spans="1:17" x14ac:dyDescent="0.3">
      <c r="B8" t="s">
        <v>70</v>
      </c>
      <c r="C8">
        <v>1.4</v>
      </c>
      <c r="G8" t="s">
        <v>70</v>
      </c>
      <c r="H8">
        <v>1.4</v>
      </c>
      <c r="I8">
        <f>H8/H17</f>
        <v>5.3113393300883584E-2</v>
      </c>
      <c r="J8">
        <v>-4.2347804948799999</v>
      </c>
      <c r="K8">
        <f t="shared" si="0"/>
        <v>-0.22492356196747185</v>
      </c>
      <c r="M8">
        <v>0.5</v>
      </c>
      <c r="N8">
        <f t="shared" si="1"/>
        <v>50</v>
      </c>
      <c r="O8">
        <v>0.22492356196747201</v>
      </c>
      <c r="P8">
        <f t="shared" si="2"/>
        <v>2.9240063055771364</v>
      </c>
      <c r="Q8">
        <f t="shared" si="3"/>
        <v>0.17099826325487719</v>
      </c>
    </row>
    <row r="9" spans="1:17" x14ac:dyDescent="0.3">
      <c r="B9" t="s">
        <v>71</v>
      </c>
      <c r="C9">
        <v>0.5</v>
      </c>
      <c r="G9" t="s">
        <v>71</v>
      </c>
      <c r="H9">
        <v>0.5</v>
      </c>
      <c r="I9">
        <f>H9/H17</f>
        <v>1.8969069036029854E-2</v>
      </c>
      <c r="J9">
        <v>-5.7202073166199998</v>
      </c>
      <c r="K9">
        <f t="shared" si="0"/>
        <v>-0.10850700748936785</v>
      </c>
      <c r="M9">
        <v>1</v>
      </c>
      <c r="N9">
        <f t="shared" si="1"/>
        <v>100</v>
      </c>
      <c r="O9">
        <v>0.10850700748936799</v>
      </c>
      <c r="P9">
        <f t="shared" si="2"/>
        <v>1.4105910973617839</v>
      </c>
      <c r="Q9">
        <f t="shared" si="3"/>
        <v>0.70892266502340129</v>
      </c>
    </row>
    <row r="10" spans="1:17" x14ac:dyDescent="0.3">
      <c r="B10" t="s">
        <v>12</v>
      </c>
      <c r="C10">
        <v>4.7</v>
      </c>
      <c r="G10" t="s">
        <v>12</v>
      </c>
      <c r="H10">
        <v>4.7</v>
      </c>
      <c r="I10">
        <f>H10/H17</f>
        <v>0.17830924893868064</v>
      </c>
      <c r="J10">
        <v>-2.4875465565899999</v>
      </c>
      <c r="K10">
        <f t="shared" si="0"/>
        <v>-0.44355255820556411</v>
      </c>
      <c r="M10">
        <v>0.2</v>
      </c>
      <c r="N10">
        <f t="shared" si="1"/>
        <v>20</v>
      </c>
      <c r="O10">
        <v>0.443552558205564</v>
      </c>
      <c r="P10">
        <f t="shared" si="2"/>
        <v>5.7661832566723321</v>
      </c>
      <c r="Q10">
        <f t="shared" si="3"/>
        <v>3.4684988509265685E-2</v>
      </c>
    </row>
    <row r="11" spans="1:17" x14ac:dyDescent="0.3">
      <c r="B11" t="s">
        <v>72</v>
      </c>
      <c r="C11">
        <v>0.1</v>
      </c>
      <c r="G11" t="s">
        <v>72</v>
      </c>
      <c r="H11">
        <v>0.1</v>
      </c>
      <c r="I11">
        <f>H11/H17</f>
        <v>3.7938138072059709E-3</v>
      </c>
      <c r="J11">
        <v>-8.0421353354500003</v>
      </c>
      <c r="K11">
        <f t="shared" si="0"/>
        <v>-3.0510364075049232E-2</v>
      </c>
      <c r="M11">
        <v>0.25</v>
      </c>
      <c r="N11">
        <f t="shared" si="1"/>
        <v>25</v>
      </c>
      <c r="O11">
        <v>3.0510364075049201E-2</v>
      </c>
      <c r="P11">
        <f t="shared" si="2"/>
        <v>0.39663473297563961</v>
      </c>
      <c r="Q11">
        <f t="shared" si="3"/>
        <v>0.6303028434359389</v>
      </c>
    </row>
    <row r="12" spans="1:17" x14ac:dyDescent="0.3">
      <c r="B12" t="s">
        <v>85</v>
      </c>
      <c r="C12">
        <v>6</v>
      </c>
      <c r="D12">
        <v>5.9999999999999995E-4</v>
      </c>
      <c r="G12" t="s">
        <v>26</v>
      </c>
      <c r="H12">
        <v>5.9999999999999995E-4</v>
      </c>
      <c r="I12">
        <f>H12/H17</f>
        <v>2.2762882843235823E-5</v>
      </c>
      <c r="J12">
        <v>-15.422956105300001</v>
      </c>
      <c r="K12">
        <f t="shared" si="0"/>
        <v>-3.5107094292131257E-4</v>
      </c>
      <c r="M12">
        <v>1</v>
      </c>
      <c r="N12">
        <f t="shared" si="1"/>
        <v>100</v>
      </c>
      <c r="O12">
        <v>3.5107094292131301E-4</v>
      </c>
      <c r="P12">
        <f t="shared" si="2"/>
        <v>4.5639222579770692E-3</v>
      </c>
      <c r="Q12">
        <f t="shared" si="3"/>
        <v>219.10977958753486</v>
      </c>
    </row>
    <row r="13" spans="1:17" x14ac:dyDescent="0.3">
      <c r="B13" t="s">
        <v>86</v>
      </c>
      <c r="C13">
        <v>4</v>
      </c>
      <c r="D13">
        <v>4.0000000000000002E-4</v>
      </c>
      <c r="G13" t="s">
        <v>41</v>
      </c>
      <c r="H13">
        <v>4.0000000000000002E-4</v>
      </c>
      <c r="I13">
        <f>H13/H17</f>
        <v>1.5175255228823883E-5</v>
      </c>
      <c r="J13">
        <v>-16.007915437099999</v>
      </c>
      <c r="K13">
        <f t="shared" si="0"/>
        <v>-2.4292420243942232E-4</v>
      </c>
      <c r="M13">
        <v>1</v>
      </c>
      <c r="N13">
        <f t="shared" si="1"/>
        <v>100</v>
      </c>
      <c r="O13">
        <v>2.4292420243942199E-4</v>
      </c>
      <c r="P13">
        <f t="shared" si="2"/>
        <v>3.1580146317124859E-3</v>
      </c>
      <c r="Q13">
        <f t="shared" si="3"/>
        <v>316.65464433194643</v>
      </c>
    </row>
    <row r="14" spans="1:17" x14ac:dyDescent="0.3">
      <c r="B14" t="s">
        <v>87</v>
      </c>
      <c r="C14">
        <v>83</v>
      </c>
      <c r="D14">
        <v>8.3000000000000001E-3</v>
      </c>
      <c r="G14" t="s">
        <v>39</v>
      </c>
      <c r="H14">
        <v>8.3000000000000001E-3</v>
      </c>
      <c r="I14">
        <f>H14/H17</f>
        <v>3.1488654599809554E-4</v>
      </c>
      <c r="J14">
        <v>-11.632878182000001</v>
      </c>
      <c r="K14">
        <f t="shared" si="0"/>
        <v>-3.6630368307465854E-3</v>
      </c>
      <c r="M14">
        <v>1</v>
      </c>
      <c r="N14">
        <f t="shared" si="1"/>
        <v>100</v>
      </c>
      <c r="O14">
        <v>3.6630368307465902E-3</v>
      </c>
      <c r="P14">
        <f t="shared" si="2"/>
        <v>4.761947879970567E-2</v>
      </c>
      <c r="Q14">
        <f t="shared" si="3"/>
        <v>20.999809851051559</v>
      </c>
    </row>
    <row r="15" spans="1:17" x14ac:dyDescent="0.3">
      <c r="B15" t="s">
        <v>88</v>
      </c>
      <c r="C15">
        <v>180</v>
      </c>
      <c r="D15">
        <v>1.7999999999999999E-2</v>
      </c>
      <c r="G15" t="s">
        <v>40</v>
      </c>
      <c r="H15">
        <v>1.7999999999999999E-2</v>
      </c>
      <c r="I15">
        <f>H15/H17</f>
        <v>6.8288648529707461E-4</v>
      </c>
      <c r="J15">
        <v>-10.5160676224</v>
      </c>
      <c r="K15">
        <f t="shared" si="0"/>
        <v>-7.1812804578070995E-3</v>
      </c>
      <c r="M15">
        <v>0.5</v>
      </c>
      <c r="N15">
        <f t="shared" si="1"/>
        <v>50</v>
      </c>
      <c r="O15">
        <v>7.1812804578071003E-3</v>
      </c>
      <c r="P15">
        <f t="shared" si="2"/>
        <v>9.3356645951492304E-2</v>
      </c>
      <c r="Q15">
        <f t="shared" si="3"/>
        <v>5.3558050945810303</v>
      </c>
    </row>
    <row r="16" spans="1:17" x14ac:dyDescent="0.3">
      <c r="B16" t="s">
        <v>89</v>
      </c>
      <c r="C16">
        <v>14</v>
      </c>
      <c r="D16">
        <v>1.4E-3</v>
      </c>
      <c r="G16" t="s">
        <v>42</v>
      </c>
      <c r="H16">
        <v>1.4E-3</v>
      </c>
      <c r="I16">
        <f>H16/H17</f>
        <v>5.3113393300883585E-5</v>
      </c>
      <c r="J16">
        <v>-14.200564589400001</v>
      </c>
      <c r="K16">
        <f t="shared" si="0"/>
        <v>-7.5424017213140265E-4</v>
      </c>
      <c r="M16">
        <v>0.5</v>
      </c>
      <c r="N16">
        <f t="shared" si="1"/>
        <v>50</v>
      </c>
      <c r="O16">
        <v>7.5424017213140298E-4</v>
      </c>
      <c r="P16">
        <f t="shared" si="2"/>
        <v>9.805122237708238E-3</v>
      </c>
      <c r="Q16">
        <f t="shared" si="3"/>
        <v>50.993754884270118</v>
      </c>
    </row>
    <row r="17" spans="8:17" x14ac:dyDescent="0.3">
      <c r="H17">
        <f>SUM(H4:H16)</f>
        <v>26.358699999999995</v>
      </c>
      <c r="M17" s="10">
        <f>SUM(M4:M16)</f>
        <v>8.1166666666666671</v>
      </c>
      <c r="N17">
        <f>SUM(N4:N16)</f>
        <v>811.66666666666663</v>
      </c>
      <c r="P17">
        <f>SUM(P4:P16)</f>
        <v>27.991543993544727</v>
      </c>
      <c r="Q17" s="1">
        <f t="shared" si="3"/>
        <v>0.2899685229417317</v>
      </c>
    </row>
    <row r="19" spans="8:17" x14ac:dyDescent="0.3">
      <c r="O19">
        <f>COUNT(O4:O16)</f>
        <v>13</v>
      </c>
    </row>
    <row r="20" spans="8:17" x14ac:dyDescent="0.3">
      <c r="K20" s="9">
        <f>MAX(O4:O16)</f>
        <v>0.49619364124880999</v>
      </c>
    </row>
    <row r="21" spans="8:17" x14ac:dyDescent="0.3">
      <c r="K21">
        <f>MIN(O4:O16)</f>
        <v>2.4292420243942199E-4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S20"/>
  <sheetViews>
    <sheetView topLeftCell="B1" workbookViewId="0">
      <selection activeCell="L15" sqref="L15"/>
    </sheetView>
  </sheetViews>
  <sheetFormatPr defaultRowHeight="14.4" x14ac:dyDescent="0.3"/>
  <sheetData>
    <row r="1" spans="2:19" s="2" customFormat="1" x14ac:dyDescent="0.3">
      <c r="B1" s="2" t="s">
        <v>51</v>
      </c>
      <c r="D1" s="2" t="s">
        <v>50</v>
      </c>
      <c r="H1" s="2" t="s">
        <v>49</v>
      </c>
    </row>
    <row r="2" spans="2:19" ht="17.25" customHeight="1" x14ac:dyDescent="0.3"/>
    <row r="3" spans="2:19" x14ac:dyDescent="0.3">
      <c r="B3" t="s">
        <v>55</v>
      </c>
      <c r="D3" t="s">
        <v>34</v>
      </c>
      <c r="F3" t="s">
        <v>31</v>
      </c>
      <c r="H3" t="s">
        <v>32</v>
      </c>
      <c r="L3" t="s">
        <v>33</v>
      </c>
    </row>
    <row r="4" spans="2:19" x14ac:dyDescent="0.3">
      <c r="C4" t="s">
        <v>11</v>
      </c>
      <c r="D4" t="s">
        <v>12</v>
      </c>
      <c r="E4" t="s">
        <v>13</v>
      </c>
      <c r="F4" t="s">
        <v>14</v>
      </c>
      <c r="H4" t="s">
        <v>15</v>
      </c>
      <c r="I4" t="s">
        <v>16</v>
      </c>
      <c r="J4" t="s">
        <v>14</v>
      </c>
      <c r="K4" t="s">
        <v>17</v>
      </c>
      <c r="L4" t="s">
        <v>18</v>
      </c>
    </row>
    <row r="5" spans="2:19" x14ac:dyDescent="0.3">
      <c r="B5" t="s">
        <v>37</v>
      </c>
      <c r="C5">
        <v>18.02</v>
      </c>
      <c r="D5">
        <f>C5/C15</f>
        <v>6.1686977954265365E-2</v>
      </c>
      <c r="E5">
        <v>-4.0188902183500002</v>
      </c>
      <c r="F5">
        <f>D5*E5</f>
        <v>-0.24791319229996919</v>
      </c>
      <c r="H5">
        <v>0.33333333333333331</v>
      </c>
      <c r="I5">
        <f>100*H5</f>
        <v>33.333333333333329</v>
      </c>
      <c r="J5">
        <v>0.247913192299969</v>
      </c>
      <c r="K5">
        <f>10*J5</f>
        <v>2.4791319229996898</v>
      </c>
      <c r="L5">
        <f>H5/K5</f>
        <v>0.13445566580821888</v>
      </c>
    </row>
    <row r="6" spans="2:19" x14ac:dyDescent="0.3">
      <c r="B6" t="s">
        <v>52</v>
      </c>
      <c r="C6">
        <v>31.05</v>
      </c>
      <c r="D6">
        <f>C6/C15</f>
        <v>0.10629193482130632</v>
      </c>
      <c r="E6">
        <v>-3.2338959596999999</v>
      </c>
      <c r="F6">
        <f t="shared" ref="F6:F14" si="0">D6*E6</f>
        <v>-0.34373705856731823</v>
      </c>
      <c r="H6">
        <v>0.2</v>
      </c>
      <c r="I6">
        <f t="shared" ref="I6:I14" si="1">100*H6</f>
        <v>20</v>
      </c>
      <c r="J6">
        <v>0.34373705856731801</v>
      </c>
      <c r="K6">
        <f t="shared" ref="K6:K14" si="2">10*J6</f>
        <v>3.4373705856731802</v>
      </c>
      <c r="L6">
        <f t="shared" ref="L6:L15" si="3">H6/K6</f>
        <v>5.8184008681982625E-2</v>
      </c>
      <c r="Q6" t="s">
        <v>154</v>
      </c>
      <c r="R6" t="s">
        <v>174</v>
      </c>
      <c r="S6" t="s">
        <v>155</v>
      </c>
    </row>
    <row r="7" spans="2:19" x14ac:dyDescent="0.3">
      <c r="B7" t="s">
        <v>53</v>
      </c>
      <c r="C7">
        <v>13.39</v>
      </c>
      <c r="D7">
        <f>C7/C15</f>
        <v>4.5837327125838698E-2</v>
      </c>
      <c r="E7">
        <v>-4.44733327387</v>
      </c>
      <c r="F7">
        <f t="shared" si="0"/>
        <v>-0.20385387011200637</v>
      </c>
      <c r="H7">
        <v>0.5</v>
      </c>
      <c r="I7">
        <f t="shared" si="1"/>
        <v>50</v>
      </c>
      <c r="J7">
        <v>0.20385387011200601</v>
      </c>
      <c r="K7">
        <f t="shared" si="2"/>
        <v>2.0385387011200602</v>
      </c>
      <c r="L7">
        <f t="shared" si="3"/>
        <v>0.24527373442813652</v>
      </c>
      <c r="P7" t="s">
        <v>173</v>
      </c>
      <c r="Q7">
        <v>270</v>
      </c>
      <c r="R7">
        <v>327.92</v>
      </c>
      <c r="S7">
        <f>R7/10</f>
        <v>32.792000000000002</v>
      </c>
    </row>
    <row r="8" spans="2:19" x14ac:dyDescent="0.3">
      <c r="B8" t="s">
        <v>41</v>
      </c>
      <c r="C8">
        <v>9.5</v>
      </c>
      <c r="D8">
        <f>C8/C15</f>
        <v>3.2520881829385187E-2</v>
      </c>
      <c r="E8">
        <v>-4.9424898044500001</v>
      </c>
      <c r="F8">
        <f t="shared" si="0"/>
        <v>-0.16073412687345956</v>
      </c>
      <c r="H8">
        <v>1</v>
      </c>
      <c r="I8">
        <f t="shared" si="1"/>
        <v>100</v>
      </c>
      <c r="J8">
        <v>0.16073412687346</v>
      </c>
      <c r="K8">
        <f t="shared" si="2"/>
        <v>1.6073412687346</v>
      </c>
      <c r="L8">
        <f t="shared" si="3"/>
        <v>0.6221454145747547</v>
      </c>
    </row>
    <row r="9" spans="2:19" x14ac:dyDescent="0.3">
      <c r="B9" t="s">
        <v>40</v>
      </c>
      <c r="C9">
        <v>14.43</v>
      </c>
      <c r="D9">
        <f>C9/C15</f>
        <v>4.9397507873476652E-2</v>
      </c>
      <c r="E9">
        <v>-4.3394179270500004</v>
      </c>
      <c r="F9">
        <f t="shared" si="0"/>
        <v>-0.21435643121775813</v>
      </c>
      <c r="H9">
        <v>0.5</v>
      </c>
      <c r="I9">
        <f t="shared" si="1"/>
        <v>50</v>
      </c>
      <c r="J9">
        <v>0.21435643121775799</v>
      </c>
      <c r="K9">
        <f t="shared" si="2"/>
        <v>2.1435643121775798</v>
      </c>
      <c r="L9">
        <f t="shared" si="3"/>
        <v>0.23325635585529303</v>
      </c>
    </row>
    <row r="10" spans="2:19" x14ac:dyDescent="0.3">
      <c r="B10" s="1" t="s">
        <v>39</v>
      </c>
      <c r="C10">
        <v>157.02000000000001</v>
      </c>
      <c r="D10">
        <f>C10/C15</f>
        <v>0.53751882787895389</v>
      </c>
      <c r="E10">
        <v>-0.89561280514099995</v>
      </c>
      <c r="F10">
        <f t="shared" si="0"/>
        <v>-0.48140874525277222</v>
      </c>
      <c r="H10">
        <v>1</v>
      </c>
      <c r="I10">
        <f t="shared" si="1"/>
        <v>100</v>
      </c>
      <c r="J10">
        <v>0.481408745252772</v>
      </c>
      <c r="K10">
        <f t="shared" si="2"/>
        <v>4.81408745252772</v>
      </c>
      <c r="L10">
        <f t="shared" si="3"/>
        <v>0.20772368800133298</v>
      </c>
    </row>
    <row r="11" spans="2:19" x14ac:dyDescent="0.3">
      <c r="B11" t="s">
        <v>44</v>
      </c>
      <c r="C11">
        <v>8.16</v>
      </c>
      <c r="D11">
        <f>C11/C15</f>
        <v>2.7933725866082431E-2</v>
      </c>
      <c r="E11">
        <v>-5.1618481663500004</v>
      </c>
      <c r="F11">
        <f t="shared" si="0"/>
        <v>-0.14418965164116118</v>
      </c>
      <c r="H11">
        <v>0.2</v>
      </c>
      <c r="I11">
        <f t="shared" si="1"/>
        <v>20</v>
      </c>
      <c r="J11">
        <v>0.14418965164116099</v>
      </c>
      <c r="K11">
        <f t="shared" si="2"/>
        <v>1.4418965164116098</v>
      </c>
      <c r="L11">
        <f t="shared" si="3"/>
        <v>0.1387062093039326</v>
      </c>
    </row>
    <row r="12" spans="2:19" x14ac:dyDescent="0.3">
      <c r="B12" t="s">
        <v>54</v>
      </c>
      <c r="C12">
        <v>0.84</v>
      </c>
      <c r="D12">
        <f>C12/C15</f>
        <v>2.8755306038614268E-3</v>
      </c>
      <c r="E12">
        <v>-8.4419558937100003</v>
      </c>
      <c r="F12">
        <f t="shared" si="0"/>
        <v>-2.4275102528811449E-2</v>
      </c>
      <c r="H12">
        <v>0.25</v>
      </c>
      <c r="I12">
        <f t="shared" si="1"/>
        <v>25</v>
      </c>
      <c r="J12">
        <v>2.4275102528811401E-2</v>
      </c>
      <c r="K12">
        <f t="shared" si="2"/>
        <v>0.24275102528811401</v>
      </c>
      <c r="L12">
        <f t="shared" si="3"/>
        <v>1.0298617676414854</v>
      </c>
    </row>
    <row r="13" spans="2:19" x14ac:dyDescent="0.3">
      <c r="B13" t="s">
        <v>46</v>
      </c>
      <c r="C13">
        <v>0.82</v>
      </c>
      <c r="D13">
        <f>C13/C15</f>
        <v>2.8070655894837735E-3</v>
      </c>
      <c r="E13">
        <v>-8.4767212996300003</v>
      </c>
      <c r="F13">
        <f t="shared" si="0"/>
        <v>-2.3794712671835545E-2</v>
      </c>
      <c r="H13">
        <v>0.2</v>
      </c>
      <c r="I13">
        <f t="shared" si="1"/>
        <v>20</v>
      </c>
      <c r="J13">
        <v>2.37947126718355E-2</v>
      </c>
      <c r="K13">
        <f t="shared" si="2"/>
        <v>0.237947126718355</v>
      </c>
      <c r="L13">
        <f t="shared" si="3"/>
        <v>0.84052286219336902</v>
      </c>
    </row>
    <row r="14" spans="2:19" x14ac:dyDescent="0.3">
      <c r="B14" t="s">
        <v>42</v>
      </c>
      <c r="C14">
        <v>38.89</v>
      </c>
      <c r="D14">
        <f>C14/C15</f>
        <v>0.13313022045734629</v>
      </c>
      <c r="E14">
        <v>-2.90909000076</v>
      </c>
      <c r="F14">
        <f t="shared" si="0"/>
        <v>-0.38728779313144052</v>
      </c>
      <c r="H14">
        <v>0.5</v>
      </c>
      <c r="I14">
        <f t="shared" si="1"/>
        <v>50</v>
      </c>
      <c r="J14">
        <v>0.38728779313144102</v>
      </c>
      <c r="K14">
        <f t="shared" si="2"/>
        <v>3.8728779313144104</v>
      </c>
      <c r="L14">
        <f t="shared" si="3"/>
        <v>0.1291029587989895</v>
      </c>
    </row>
    <row r="15" spans="2:19" x14ac:dyDescent="0.3">
      <c r="C15">
        <f>SUM(C5:C14)</f>
        <v>292.12</v>
      </c>
      <c r="H15" s="10">
        <f>SUM(H5:H14)</f>
        <v>4.6833333333333336</v>
      </c>
      <c r="I15">
        <f>SUM(I5:I14)</f>
        <v>468.33333333333331</v>
      </c>
      <c r="K15">
        <f>SUM(K5:K14)</f>
        <v>22.31550684296532</v>
      </c>
      <c r="L15" s="1">
        <f t="shared" si="3"/>
        <v>0.20986901020398266</v>
      </c>
    </row>
    <row r="17" spans="1:10" x14ac:dyDescent="0.3">
      <c r="A17" t="s">
        <v>56</v>
      </c>
      <c r="J17">
        <f>COUNT(J5:J14)</f>
        <v>10</v>
      </c>
    </row>
    <row r="18" spans="1:10" x14ac:dyDescent="0.3">
      <c r="A18" t="s">
        <v>57</v>
      </c>
    </row>
    <row r="19" spans="1:10" x14ac:dyDescent="0.3">
      <c r="A19" t="s">
        <v>49</v>
      </c>
      <c r="J19" s="9">
        <f>MAX(J5:J14)</f>
        <v>0.481408745252772</v>
      </c>
    </row>
    <row r="20" spans="1:10" x14ac:dyDescent="0.3">
      <c r="J20" s="9">
        <f>MIN(J5:J14)</f>
        <v>2.37947126718355E-2</v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17"/>
  <sheetViews>
    <sheetView workbookViewId="0">
      <selection activeCell="K12" sqref="K12"/>
    </sheetView>
  </sheetViews>
  <sheetFormatPr defaultRowHeight="14.4" x14ac:dyDescent="0.3"/>
  <sheetData>
    <row r="1" spans="1:11" s="2" customFormat="1" x14ac:dyDescent="0.3"/>
    <row r="2" spans="1:11" x14ac:dyDescent="0.3">
      <c r="C2" t="s">
        <v>34</v>
      </c>
      <c r="E2" t="s">
        <v>31</v>
      </c>
      <c r="G2" t="s">
        <v>32</v>
      </c>
      <c r="K2" t="s">
        <v>33</v>
      </c>
    </row>
    <row r="3" spans="1:11" x14ac:dyDescent="0.3">
      <c r="A3" t="s">
        <v>60</v>
      </c>
      <c r="B3" t="s">
        <v>11</v>
      </c>
      <c r="C3" t="s">
        <v>12</v>
      </c>
      <c r="D3" t="s">
        <v>13</v>
      </c>
      <c r="E3" t="s">
        <v>14</v>
      </c>
      <c r="G3" t="s">
        <v>15</v>
      </c>
      <c r="H3" t="s">
        <v>16</v>
      </c>
      <c r="I3" t="s">
        <v>14</v>
      </c>
      <c r="J3" t="s">
        <v>17</v>
      </c>
      <c r="K3" t="s">
        <v>18</v>
      </c>
    </row>
    <row r="4" spans="1:11" x14ac:dyDescent="0.3">
      <c r="A4" t="s">
        <v>67</v>
      </c>
      <c r="B4">
        <v>0.31</v>
      </c>
      <c r="C4">
        <f>B4/B12</f>
        <v>1.030311087476735E-2</v>
      </c>
      <c r="D4">
        <v>-6.6007761682300004</v>
      </c>
      <c r="E4">
        <f>C4*D4</f>
        <v>-6.8008528720795672E-2</v>
      </c>
      <c r="G4">
        <v>0.33329999999999999</v>
      </c>
      <c r="H4">
        <f>100*G4</f>
        <v>33.33</v>
      </c>
      <c r="I4">
        <v>6.80085287207957E-2</v>
      </c>
      <c r="J4">
        <f>8*I4</f>
        <v>0.5440682297663656</v>
      </c>
      <c r="K4">
        <f>G4/J4</f>
        <v>0.61260698891226573</v>
      </c>
    </row>
    <row r="5" spans="1:11" x14ac:dyDescent="0.3">
      <c r="A5" t="s">
        <v>68</v>
      </c>
      <c r="B5">
        <v>1.2709999999999999</v>
      </c>
      <c r="C5">
        <f>B5/B12</f>
        <v>4.2242754586546132E-2</v>
      </c>
      <c r="D5">
        <v>-4.5651522619099998</v>
      </c>
      <c r="E5">
        <f t="shared" ref="E5:E11" si="0">C5*D5</f>
        <v>-0.1928446066500801</v>
      </c>
      <c r="G5">
        <v>0.5</v>
      </c>
      <c r="H5">
        <f t="shared" ref="H5:H11" si="1">100*G5</f>
        <v>50</v>
      </c>
      <c r="I5">
        <v>0.19284460665007999</v>
      </c>
      <c r="J5">
        <f t="shared" ref="J5:J11" si="2">8*I5</f>
        <v>1.5427568532006399</v>
      </c>
      <c r="K5">
        <f t="shared" ref="K5:K12" si="3">G5/J5</f>
        <v>0.3240951410863534</v>
      </c>
    </row>
    <row r="6" spans="1:11" x14ac:dyDescent="0.3">
      <c r="A6" t="s">
        <v>37</v>
      </c>
      <c r="B6">
        <v>28.2</v>
      </c>
      <c r="C6">
        <f>B6/B12</f>
        <v>0.93725073118851376</v>
      </c>
      <c r="D6">
        <v>-9.3493049157000005E-2</v>
      </c>
      <c r="E6">
        <f t="shared" si="0"/>
        <v>-8.762642868344192E-2</v>
      </c>
      <c r="G6">
        <v>0.33333333333333331</v>
      </c>
      <c r="H6">
        <f t="shared" si="1"/>
        <v>33.333333333333329</v>
      </c>
      <c r="I6">
        <v>8.7626428683441906E-2</v>
      </c>
      <c r="J6">
        <f t="shared" si="2"/>
        <v>0.70101142946753525</v>
      </c>
      <c r="K6">
        <f t="shared" si="3"/>
        <v>0.47550342165822052</v>
      </c>
    </row>
    <row r="7" spans="1:11" x14ac:dyDescent="0.3">
      <c r="A7" t="s">
        <v>69</v>
      </c>
      <c r="B7">
        <v>0.06</v>
      </c>
      <c r="C7">
        <f>B7/B12</f>
        <v>1.9941504918904547E-3</v>
      </c>
      <c r="D7">
        <v>-8.9700103512999991</v>
      </c>
      <c r="E7">
        <f t="shared" si="0"/>
        <v>-1.7887550554307362E-2</v>
      </c>
      <c r="G7">
        <v>1</v>
      </c>
      <c r="H7">
        <f t="shared" si="1"/>
        <v>100</v>
      </c>
      <c r="I7">
        <v>1.7887550554307401E-2</v>
      </c>
      <c r="J7">
        <f t="shared" si="2"/>
        <v>0.14310040443445921</v>
      </c>
      <c r="K7">
        <f t="shared" si="3"/>
        <v>6.9881004456420364</v>
      </c>
    </row>
    <row r="8" spans="1:11" x14ac:dyDescent="0.3">
      <c r="A8" t="s">
        <v>70</v>
      </c>
      <c r="B8">
        <v>0.05</v>
      </c>
      <c r="C8">
        <f>B8/B12</f>
        <v>1.6617920765753791E-3</v>
      </c>
      <c r="D8">
        <v>-9.2330444677399992</v>
      </c>
      <c r="E8">
        <f t="shared" si="0"/>
        <v>-1.534340013915847E-2</v>
      </c>
      <c r="G8">
        <v>0.5</v>
      </c>
      <c r="H8">
        <f t="shared" si="1"/>
        <v>50</v>
      </c>
      <c r="I8">
        <v>1.5343400139158501E-2</v>
      </c>
      <c r="J8">
        <f t="shared" si="2"/>
        <v>0.12274720111326801</v>
      </c>
      <c r="K8">
        <f t="shared" si="3"/>
        <v>4.0734126356055373</v>
      </c>
    </row>
    <row r="9" spans="1:11" x14ac:dyDescent="0.3">
      <c r="A9" t="s">
        <v>71</v>
      </c>
      <c r="B9">
        <v>1.4E-2</v>
      </c>
      <c r="C9">
        <f>B9/B12</f>
        <v>4.6530178144110616E-4</v>
      </c>
      <c r="D9">
        <v>-11.069544991300001</v>
      </c>
      <c r="E9">
        <f t="shared" si="0"/>
        <v>-5.1506790041943645E-3</v>
      </c>
      <c r="G9">
        <v>1</v>
      </c>
      <c r="H9">
        <f t="shared" si="1"/>
        <v>100</v>
      </c>
      <c r="I9">
        <v>5.1506790041943602E-3</v>
      </c>
      <c r="J9">
        <f t="shared" si="2"/>
        <v>4.1205432033554881E-2</v>
      </c>
      <c r="K9">
        <f t="shared" si="3"/>
        <v>24.26864494918215</v>
      </c>
    </row>
    <row r="10" spans="1:11" x14ac:dyDescent="0.3">
      <c r="A10" t="s">
        <v>12</v>
      </c>
      <c r="B10">
        <v>0.16500000000000001</v>
      </c>
      <c r="C10">
        <f>B10/B12</f>
        <v>5.483913852698751E-3</v>
      </c>
      <c r="D10">
        <v>-7.5105783380400002</v>
      </c>
      <c r="E10">
        <f t="shared" si="0"/>
        <v>-4.118736458975672E-2</v>
      </c>
      <c r="G10">
        <v>0.2</v>
      </c>
      <c r="H10">
        <f t="shared" si="1"/>
        <v>20</v>
      </c>
      <c r="I10">
        <v>4.1187364589756699E-2</v>
      </c>
      <c r="J10">
        <f t="shared" si="2"/>
        <v>0.32949891671805359</v>
      </c>
      <c r="K10">
        <f t="shared" si="3"/>
        <v>0.60698226868872074</v>
      </c>
    </row>
    <row r="11" spans="1:11" x14ac:dyDescent="0.3">
      <c r="A11" t="s">
        <v>72</v>
      </c>
      <c r="B11">
        <v>1.7999999999999999E-2</v>
      </c>
      <c r="C11">
        <f>B11/B12</f>
        <v>5.9824514756713642E-4</v>
      </c>
      <c r="D11">
        <v>-10.7069759455</v>
      </c>
      <c r="E11">
        <f t="shared" si="0"/>
        <v>-6.4053964045134278E-3</v>
      </c>
      <c r="G11">
        <v>0.25</v>
      </c>
      <c r="H11">
        <f t="shared" si="1"/>
        <v>25</v>
      </c>
      <c r="I11">
        <v>6.4053964045134304E-3</v>
      </c>
      <c r="J11">
        <f t="shared" si="2"/>
        <v>5.1243171236107443E-2</v>
      </c>
      <c r="K11">
        <f t="shared" si="3"/>
        <v>4.8786988386823857</v>
      </c>
    </row>
    <row r="12" spans="1:11" x14ac:dyDescent="0.3">
      <c r="B12">
        <f>SUM(B4:B11)</f>
        <v>30.087999999999997</v>
      </c>
      <c r="G12" s="10">
        <f>SUM(G4:G11)</f>
        <v>4.1166333333333336</v>
      </c>
      <c r="H12">
        <f>SUM(H4:H11)</f>
        <v>411.6633333333333</v>
      </c>
      <c r="J12">
        <f>SUM(J4:J11)</f>
        <v>3.4756316379699839</v>
      </c>
      <c r="K12" s="1">
        <f t="shared" si="3"/>
        <v>1.184427396839367</v>
      </c>
    </row>
    <row r="14" spans="1:11" x14ac:dyDescent="0.3">
      <c r="I14">
        <f>COUNT(I4:I11)</f>
        <v>8</v>
      </c>
    </row>
    <row r="16" spans="1:11" x14ac:dyDescent="0.3">
      <c r="I16" s="9">
        <f>MAX(I4:I11)</f>
        <v>0.19284460665007999</v>
      </c>
    </row>
    <row r="17" spans="9:9" x14ac:dyDescent="0.3">
      <c r="I17" s="9">
        <f>MIN(I4:I11)</f>
        <v>5.1506790041943602E-3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K19"/>
  <sheetViews>
    <sheetView workbookViewId="0">
      <selection activeCell="K15" sqref="K15"/>
    </sheetView>
  </sheetViews>
  <sheetFormatPr defaultRowHeight="14.4" x14ac:dyDescent="0.3"/>
  <cols>
    <col min="3" max="3" width="11" bestFit="1" customWidth="1"/>
  </cols>
  <sheetData>
    <row r="1" spans="1:11" s="2" customFormat="1" x14ac:dyDescent="0.3">
      <c r="F1" s="2" t="s">
        <v>75</v>
      </c>
    </row>
    <row r="2" spans="1:11" x14ac:dyDescent="0.3">
      <c r="C2" t="s">
        <v>34</v>
      </c>
      <c r="E2" t="s">
        <v>31</v>
      </c>
      <c r="G2" t="s">
        <v>32</v>
      </c>
      <c r="K2" t="s">
        <v>33</v>
      </c>
    </row>
    <row r="3" spans="1:11" x14ac:dyDescent="0.3">
      <c r="B3" t="s">
        <v>11</v>
      </c>
      <c r="C3" t="s">
        <v>12</v>
      </c>
      <c r="D3" t="s">
        <v>13</v>
      </c>
      <c r="E3" t="s">
        <v>14</v>
      </c>
      <c r="G3" t="s">
        <v>15</v>
      </c>
      <c r="H3" t="s">
        <v>16</v>
      </c>
      <c r="I3" t="s">
        <v>14</v>
      </c>
      <c r="J3" t="s">
        <v>17</v>
      </c>
      <c r="K3" t="s">
        <v>18</v>
      </c>
    </row>
    <row r="4" spans="1:11" x14ac:dyDescent="0.3">
      <c r="A4" t="s">
        <v>24</v>
      </c>
      <c r="B4">
        <v>0.24</v>
      </c>
      <c r="C4">
        <f>B4/B15</f>
        <v>2.3192887514495554E-3</v>
      </c>
      <c r="D4">
        <v>-8.7521016833500003</v>
      </c>
      <c r="E4">
        <f>C4*D4</f>
        <v>-2.0298650985736376E-2</v>
      </c>
      <c r="G4">
        <v>0.9</v>
      </c>
      <c r="H4">
        <f>100*G4</f>
        <v>90</v>
      </c>
      <c r="I4">
        <v>2.02986509857364E-2</v>
      </c>
      <c r="J4">
        <f>11*I4</f>
        <v>0.22328516084310041</v>
      </c>
      <c r="K4">
        <f>G4/J4</f>
        <v>4.0307201634076275</v>
      </c>
    </row>
    <row r="5" spans="1:11" x14ac:dyDescent="0.3">
      <c r="A5" t="s">
        <v>98</v>
      </c>
      <c r="B5">
        <v>19.87</v>
      </c>
      <c r="C5">
        <f>B5/B15</f>
        <v>0.19201778121376115</v>
      </c>
      <c r="D5">
        <v>-2.3806881830400002</v>
      </c>
      <c r="E5">
        <f t="shared" ref="E5:E14" si="0">C5*D5</f>
        <v>-0.4571344626691613</v>
      </c>
      <c r="G5">
        <v>0.76634999999999998</v>
      </c>
      <c r="H5">
        <f t="shared" ref="H5:H14" si="1">100*G5</f>
        <v>76.634999999999991</v>
      </c>
      <c r="I5">
        <v>0.45713446266916102</v>
      </c>
      <c r="J5">
        <f t="shared" ref="J5:J14" si="2">11*I5</f>
        <v>5.0284790893607711</v>
      </c>
      <c r="K5">
        <f t="shared" ref="K5:K15" si="3">G5/J5</f>
        <v>0.15240194627068038</v>
      </c>
    </row>
    <row r="6" spans="1:11" x14ac:dyDescent="0.3">
      <c r="A6" t="s">
        <v>124</v>
      </c>
      <c r="B6">
        <v>1.29</v>
      </c>
      <c r="C6">
        <f>B6/B15</f>
        <v>1.2466177039041362E-2</v>
      </c>
      <c r="D6">
        <v>-6.3258370877800001</v>
      </c>
      <c r="E6">
        <f t="shared" si="0"/>
        <v>-7.8859005056399312E-2</v>
      </c>
      <c r="G6">
        <v>0.6905</v>
      </c>
      <c r="H6">
        <f t="shared" si="1"/>
        <v>69.05</v>
      </c>
      <c r="I6">
        <v>7.8859005056399298E-2</v>
      </c>
      <c r="J6">
        <f t="shared" si="2"/>
        <v>0.86744905562039232</v>
      </c>
      <c r="K6">
        <f t="shared" si="3"/>
        <v>0.79601216408744624</v>
      </c>
    </row>
    <row r="7" spans="1:11" x14ac:dyDescent="0.3">
      <c r="A7" t="s">
        <v>129</v>
      </c>
      <c r="B7">
        <v>0.01</v>
      </c>
      <c r="C7">
        <f>B7/B15</f>
        <v>9.6637031310398152E-5</v>
      </c>
      <c r="D7">
        <v>-13.337064806100001</v>
      </c>
      <c r="E7">
        <f t="shared" si="0"/>
        <v>-1.2888543492558951E-3</v>
      </c>
      <c r="G7">
        <v>0.82499999999999996</v>
      </c>
      <c r="H7">
        <f t="shared" si="1"/>
        <v>82.5</v>
      </c>
      <c r="I7">
        <v>1.2888543492558999E-3</v>
      </c>
      <c r="J7">
        <f t="shared" si="2"/>
        <v>1.4177397841814899E-2</v>
      </c>
      <c r="K7">
        <f t="shared" si="3"/>
        <v>58.191214580064916</v>
      </c>
    </row>
    <row r="8" spans="1:11" x14ac:dyDescent="0.3">
      <c r="A8" t="s">
        <v>2</v>
      </c>
      <c r="B8">
        <v>22.79</v>
      </c>
      <c r="C8">
        <f>B8/B15</f>
        <v>0.2202357943563974</v>
      </c>
      <c r="D8">
        <v>-2.18287913175</v>
      </c>
      <c r="E8">
        <f t="shared" si="0"/>
        <v>-0.48074811956496433</v>
      </c>
      <c r="G8">
        <v>0.76449999999999996</v>
      </c>
      <c r="H8">
        <f t="shared" si="1"/>
        <v>76.449999999999989</v>
      </c>
      <c r="I8">
        <v>0.48074811956496399</v>
      </c>
      <c r="J8">
        <f t="shared" si="2"/>
        <v>5.288229315214604</v>
      </c>
      <c r="K8">
        <f t="shared" si="3"/>
        <v>0.14456634809698593</v>
      </c>
    </row>
    <row r="9" spans="1:11" x14ac:dyDescent="0.3">
      <c r="A9" t="s">
        <v>96</v>
      </c>
      <c r="B9">
        <v>45.18</v>
      </c>
      <c r="C9">
        <f>B9/B15</f>
        <v>0.43660610746037887</v>
      </c>
      <c r="D9">
        <v>-1.1955957848100001</v>
      </c>
      <c r="E9">
        <f t="shared" si="0"/>
        <v>-0.52200442170193084</v>
      </c>
      <c r="G9">
        <v>0.76455000000000017</v>
      </c>
      <c r="H9">
        <f t="shared" si="1"/>
        <v>76.455000000000013</v>
      </c>
      <c r="I9">
        <v>0.52200442170193095</v>
      </c>
      <c r="J9">
        <f t="shared" si="2"/>
        <v>5.7420486387212408</v>
      </c>
      <c r="K9">
        <f t="shared" si="3"/>
        <v>0.13314934235218637</v>
      </c>
    </row>
    <row r="10" spans="1:11" x14ac:dyDescent="0.3">
      <c r="A10" t="s">
        <v>3</v>
      </c>
      <c r="B10">
        <v>0.83</v>
      </c>
      <c r="C10">
        <f>B10/B15</f>
        <v>8.0208735987630456E-3</v>
      </c>
      <c r="D10">
        <v>-6.9620248351700003</v>
      </c>
      <c r="E10">
        <f t="shared" si="0"/>
        <v>-5.5841521194347703E-2</v>
      </c>
      <c r="G10">
        <v>0.80149999999999999</v>
      </c>
      <c r="H10">
        <f t="shared" si="1"/>
        <v>80.150000000000006</v>
      </c>
      <c r="I10">
        <v>5.5841521194347703E-2</v>
      </c>
      <c r="J10">
        <f t="shared" si="2"/>
        <v>0.6142567331378247</v>
      </c>
      <c r="K10">
        <f t="shared" si="3"/>
        <v>1.304829001882772</v>
      </c>
    </row>
    <row r="11" spans="1:11" x14ac:dyDescent="0.3">
      <c r="A11" t="s">
        <v>4</v>
      </c>
      <c r="B11">
        <v>3.32</v>
      </c>
      <c r="C11">
        <f>B11/B15</f>
        <v>3.2083494395052183E-2</v>
      </c>
      <c r="D11">
        <v>-4.9620249250999997</v>
      </c>
      <c r="E11">
        <f t="shared" si="0"/>
        <v>-0.15919909887255507</v>
      </c>
      <c r="G11">
        <v>0.85719999999999996</v>
      </c>
      <c r="H11">
        <f t="shared" si="1"/>
        <v>85.72</v>
      </c>
      <c r="I11">
        <v>0.15919909887255501</v>
      </c>
      <c r="J11">
        <f t="shared" si="2"/>
        <v>1.751190087598105</v>
      </c>
      <c r="K11">
        <f t="shared" si="3"/>
        <v>0.48949568985724284</v>
      </c>
    </row>
    <row r="12" spans="1:11" x14ac:dyDescent="0.3">
      <c r="A12" t="s">
        <v>5</v>
      </c>
      <c r="B12">
        <v>6.87</v>
      </c>
      <c r="C12">
        <f>B12/B15</f>
        <v>6.6389640510243528E-2</v>
      </c>
      <c r="D12">
        <v>-3.9128980392199999</v>
      </c>
      <c r="E12">
        <f t="shared" si="0"/>
        <v>-0.25977589417705255</v>
      </c>
      <c r="G12">
        <v>0.87090000000000001</v>
      </c>
      <c r="H12">
        <f t="shared" si="1"/>
        <v>87.09</v>
      </c>
      <c r="I12">
        <v>0.25977589417705299</v>
      </c>
      <c r="J12">
        <f t="shared" si="2"/>
        <v>2.857534835947583</v>
      </c>
      <c r="K12">
        <f t="shared" si="3"/>
        <v>0.30477318737960446</v>
      </c>
    </row>
    <row r="13" spans="1:11" x14ac:dyDescent="0.3">
      <c r="A13" t="s">
        <v>125</v>
      </c>
      <c r="B13">
        <v>2.52</v>
      </c>
      <c r="C13">
        <f>B13/B15</f>
        <v>2.4352531890220335E-2</v>
      </c>
      <c r="D13">
        <v>-5.3597844086800004</v>
      </c>
      <c r="E13">
        <f t="shared" si="0"/>
        <v>-0.13052432073708545</v>
      </c>
      <c r="G13">
        <v>0.91505000000000003</v>
      </c>
      <c r="H13">
        <f t="shared" si="1"/>
        <v>91.50500000000001</v>
      </c>
      <c r="I13">
        <v>0.130524320737085</v>
      </c>
      <c r="J13">
        <f t="shared" si="2"/>
        <v>1.435767528107935</v>
      </c>
      <c r="K13">
        <f t="shared" si="3"/>
        <v>0.63732462399805045</v>
      </c>
    </row>
    <row r="14" spans="1:11" x14ac:dyDescent="0.3">
      <c r="A14" t="s">
        <v>130</v>
      </c>
      <c r="B14">
        <v>0.56000000000000005</v>
      </c>
      <c r="C14">
        <f>B14/B15</f>
        <v>5.4116737533822972E-3</v>
      </c>
      <c r="D14">
        <v>-7.5297093508800002</v>
      </c>
      <c r="E14">
        <f t="shared" si="0"/>
        <v>-4.0748330464754554E-2</v>
      </c>
      <c r="G14">
        <v>0.16666666666666666</v>
      </c>
      <c r="H14">
        <f t="shared" si="1"/>
        <v>16.666666666666664</v>
      </c>
      <c r="I14">
        <v>4.0748330464754602E-2</v>
      </c>
      <c r="J14">
        <f t="shared" si="2"/>
        <v>0.44823163511230063</v>
      </c>
      <c r="K14">
        <f t="shared" si="3"/>
        <v>0.37183155674612245</v>
      </c>
    </row>
    <row r="15" spans="1:11" x14ac:dyDescent="0.3">
      <c r="A15" t="s">
        <v>74</v>
      </c>
      <c r="B15">
        <f>SUM(B4:B14)</f>
        <v>103.47999999999999</v>
      </c>
      <c r="G15" s="10">
        <f>SUM(G4:G14)</f>
        <v>8.3222166666666659</v>
      </c>
      <c r="H15">
        <f>SUM(H4:H14)</f>
        <v>832.22166666666669</v>
      </c>
      <c r="J15">
        <f>SUM(J4:J14)</f>
        <v>24.270649477505671</v>
      </c>
      <c r="K15" s="1">
        <f t="shared" si="3"/>
        <v>0.34289221120266256</v>
      </c>
    </row>
    <row r="17" spans="9:9" x14ac:dyDescent="0.3">
      <c r="I17">
        <f>COUNT(I4:I14)</f>
        <v>11</v>
      </c>
    </row>
    <row r="18" spans="9:9" x14ac:dyDescent="0.3">
      <c r="I18" s="9">
        <f>MAX(I4:I14)</f>
        <v>0.52200442170193095</v>
      </c>
    </row>
    <row r="19" spans="9:9" x14ac:dyDescent="0.3">
      <c r="I19">
        <f>MIN(I4:I14)</f>
        <v>1.2888543492558999E-3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cover sheet</vt:lpstr>
      <vt:lpstr>Metallurgical Mining waste</vt:lpstr>
      <vt:lpstr>Al amar tailings waste</vt:lpstr>
      <vt:lpstr>Copper tailings</vt:lpstr>
      <vt:lpstr>sulfidic mine tailings-EU</vt:lpstr>
      <vt:lpstr>Phosphate Mines Utah, USA</vt:lpstr>
      <vt:lpstr>Uranium mine USA</vt:lpstr>
      <vt:lpstr>Elizabath copper mine, USA</vt:lpstr>
      <vt:lpstr>kyanite mine waste, USA</vt:lpstr>
      <vt:lpstr>copper mine waste, USA</vt:lpstr>
      <vt:lpstr>Jincheng, Shanxi Province,China</vt:lpstr>
      <vt:lpstr>Australia</vt:lpstr>
      <vt:lpstr>São Pedro da Cova,PORTUGAL</vt:lpstr>
      <vt:lpstr>Pahang</vt:lpstr>
      <vt:lpstr>southern Poland</vt:lpstr>
      <vt:lpstr>Sheet3</vt:lpstr>
      <vt:lpstr>Morocco</vt:lpstr>
      <vt:lpstr>copper mine waste rocks Morocoo</vt:lpstr>
      <vt:lpstr>Moroccan solid mining wastes</vt:lpstr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2024-09-13T06:38:25Z</dcterms:modified>
</cp:coreProperties>
</file>