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75" windowWidth="19440" windowHeight="14625"/>
  </bookViews>
  <sheets>
    <sheet name="Table S5" sheetId="4" r:id="rId1"/>
  </sheets>
  <calcPr calcId="124519"/>
</workbook>
</file>

<file path=xl/calcChain.xml><?xml version="1.0" encoding="utf-8"?>
<calcChain xmlns="http://schemas.openxmlformats.org/spreadsheetml/2006/main">
  <c r="I83" i="4"/>
  <c r="I84" s="1"/>
  <c r="G83"/>
  <c r="G84" s="1"/>
  <c r="E83"/>
  <c r="E84" s="1"/>
  <c r="C83"/>
  <c r="C84" s="1"/>
  <c r="I82"/>
  <c r="G82"/>
  <c r="E82"/>
  <c r="C82"/>
  <c r="G69" l="1"/>
  <c r="G66"/>
  <c r="G67"/>
  <c r="D22"/>
  <c r="F70"/>
  <c r="F69"/>
  <c r="E70"/>
  <c r="E69"/>
  <c r="D70"/>
  <c r="D69"/>
  <c r="C70"/>
  <c r="C69"/>
  <c r="B70"/>
  <c r="B69"/>
  <c r="K70"/>
  <c r="J70"/>
  <c r="I70"/>
  <c r="H70"/>
  <c r="G70"/>
  <c r="J69"/>
  <c r="I69"/>
  <c r="H69"/>
  <c r="K69"/>
  <c r="K67"/>
  <c r="K66"/>
  <c r="J67"/>
  <c r="J66"/>
  <c r="I67"/>
  <c r="I66"/>
  <c r="H67"/>
  <c r="H66"/>
  <c r="F67"/>
  <c r="F66"/>
  <c r="E67"/>
  <c r="E66"/>
  <c r="D67"/>
  <c r="D66"/>
  <c r="C67"/>
  <c r="C66"/>
  <c r="B67"/>
  <c r="B66"/>
  <c r="K59"/>
  <c r="K58"/>
  <c r="K56"/>
  <c r="K55"/>
  <c r="J59"/>
  <c r="J58"/>
  <c r="I59"/>
  <c r="I58"/>
  <c r="J56"/>
  <c r="J55"/>
  <c r="I56"/>
  <c r="I55"/>
  <c r="H59"/>
  <c r="H58"/>
  <c r="H56"/>
  <c r="H55"/>
  <c r="G59"/>
  <c r="G58"/>
  <c r="G56"/>
  <c r="G55"/>
  <c r="F59"/>
  <c r="F58"/>
  <c r="F56"/>
  <c r="F55"/>
  <c r="E59"/>
  <c r="E58"/>
  <c r="E56"/>
  <c r="E55"/>
  <c r="D55"/>
  <c r="D59"/>
  <c r="D58"/>
  <c r="D56"/>
  <c r="C59"/>
  <c r="C58"/>
  <c r="B59"/>
  <c r="B58"/>
  <c r="B56"/>
  <c r="B55"/>
  <c r="C56"/>
  <c r="C55"/>
  <c r="H40"/>
  <c r="G40"/>
  <c r="K39"/>
  <c r="J39"/>
  <c r="I39"/>
  <c r="H39"/>
  <c r="F39"/>
  <c r="E39"/>
  <c r="D39"/>
  <c r="C39"/>
  <c r="B39"/>
  <c r="K40"/>
  <c r="J40"/>
  <c r="I40"/>
  <c r="F40"/>
  <c r="E40"/>
  <c r="D40"/>
  <c r="C40"/>
  <c r="B40"/>
  <c r="K42"/>
  <c r="J42"/>
  <c r="I42"/>
  <c r="H42"/>
  <c r="F42"/>
  <c r="E42"/>
  <c r="D42"/>
  <c r="C42"/>
  <c r="B42"/>
  <c r="K43"/>
  <c r="J43"/>
  <c r="I43"/>
  <c r="H43"/>
  <c r="F43"/>
  <c r="E43"/>
  <c r="D43"/>
  <c r="C43"/>
  <c r="B43"/>
  <c r="K45"/>
  <c r="J45"/>
  <c r="I45"/>
  <c r="H45"/>
  <c r="F45"/>
  <c r="E45"/>
  <c r="D45"/>
  <c r="C45"/>
  <c r="K46"/>
  <c r="J46"/>
  <c r="I46"/>
  <c r="H46"/>
  <c r="F49"/>
  <c r="F46"/>
  <c r="E46"/>
  <c r="D46"/>
  <c r="C46"/>
  <c r="B46"/>
  <c r="K48"/>
  <c r="J48"/>
  <c r="I48"/>
  <c r="H48"/>
  <c r="F48"/>
  <c r="E48"/>
  <c r="D48"/>
  <c r="C48"/>
  <c r="B48"/>
  <c r="G43"/>
  <c r="B49"/>
  <c r="G39"/>
  <c r="G42"/>
  <c r="G45"/>
  <c r="B45"/>
  <c r="G46"/>
  <c r="G48"/>
  <c r="E49"/>
  <c r="D49"/>
  <c r="C49"/>
  <c r="F31"/>
  <c r="E31"/>
  <c r="D31"/>
  <c r="C31"/>
  <c r="B31"/>
  <c r="F30"/>
  <c r="E30"/>
  <c r="D30"/>
  <c r="C30"/>
  <c r="B30"/>
  <c r="F28"/>
  <c r="E28"/>
  <c r="D28"/>
  <c r="C28"/>
  <c r="B28"/>
  <c r="F27"/>
  <c r="E27"/>
  <c r="D27"/>
  <c r="C27"/>
  <c r="B27"/>
  <c r="F25"/>
  <c r="E25"/>
  <c r="D25"/>
  <c r="C25"/>
  <c r="B25"/>
  <c r="F24"/>
  <c r="E24"/>
  <c r="D24"/>
  <c r="C24"/>
  <c r="B24"/>
  <c r="F22"/>
  <c r="E22"/>
  <c r="C22"/>
  <c r="B22"/>
  <c r="F21"/>
  <c r="E21"/>
  <c r="D21"/>
  <c r="C21"/>
  <c r="B21"/>
</calcChain>
</file>

<file path=xl/sharedStrings.xml><?xml version="1.0" encoding="utf-8"?>
<sst xmlns="http://schemas.openxmlformats.org/spreadsheetml/2006/main" count="99" uniqueCount="37">
  <si>
    <t>BAPSx2_3hrbiotinpulsonNidigest1</t>
  </si>
  <si>
    <t>y7</t>
  </si>
  <si>
    <t>y6</t>
  </si>
  <si>
    <t>y5</t>
  </si>
  <si>
    <t>y4</t>
  </si>
  <si>
    <t>y8</t>
  </si>
  <si>
    <t>BAPGFP_3hrbiotinpulsonNidigest1</t>
  </si>
  <si>
    <t>BAPGFP_3hrbiotinpulsonNidigest10</t>
  </si>
  <si>
    <t>BAPSx2_3hrbiotinpulsonNidigest10</t>
  </si>
  <si>
    <t>BAPGFP_9hrbiotinpulsonNidigest1</t>
  </si>
  <si>
    <t>BAPSx2_9hrbiotinpulsonNidigest1</t>
  </si>
  <si>
    <t>BAPGFP_9hrbiotinpulsonNidigest1'</t>
  </si>
  <si>
    <t>BAPSx2_9hrbiotinpulsonNidigest1'</t>
  </si>
  <si>
    <t>Propionylated</t>
  </si>
  <si>
    <t>Biotinylated</t>
  </si>
  <si>
    <t>Average</t>
  </si>
  <si>
    <t>Ratio 9hr/3hr</t>
  </si>
  <si>
    <t>BAPGFP_9hr/3hr ratio</t>
  </si>
  <si>
    <t>BAPSx2_9hr/3hr ratio</t>
  </si>
  <si>
    <t>Recalculation with ionization coefficient</t>
  </si>
  <si>
    <t>Normalized</t>
  </si>
  <si>
    <t>BAPGFP_3hrbiotinpulson Average</t>
  </si>
  <si>
    <t>BAPSx2_3hrbiotinpulson Average</t>
  </si>
  <si>
    <t>BAPGFP_9hrbiotinpulson Average</t>
  </si>
  <si>
    <t>BAPSx2_9hrbiotinpulson Average</t>
  </si>
  <si>
    <t>Total amount of BAP</t>
  </si>
  <si>
    <t>BAPGFP_9/3</t>
  </si>
  <si>
    <t>BAPSox2_9/3</t>
  </si>
  <si>
    <t>BAPSox2/BAPGFP_3</t>
  </si>
  <si>
    <t>BAPSox2/BAPGFP_9</t>
  </si>
  <si>
    <t>Mean</t>
  </si>
  <si>
    <t>St. dev.</t>
  </si>
  <si>
    <t>BAPSox2/BAPGFP_3hr ratio</t>
  </si>
  <si>
    <t>BAPSox2/BAPGFP_ 9hr ratio</t>
  </si>
  <si>
    <t>Calculation ratios of biotinylation levels</t>
  </si>
  <si>
    <r>
      <rPr>
        <b/>
        <sz val="11"/>
        <color theme="1"/>
        <rFont val="Calibri"/>
        <family val="2"/>
        <charset val="204"/>
        <scheme val="minor"/>
      </rPr>
      <t>Table S5</t>
    </r>
    <r>
      <rPr>
        <sz val="11"/>
        <color theme="1"/>
        <rFont val="Calibri"/>
        <family val="2"/>
        <scheme val="minor"/>
      </rPr>
      <t xml:space="preserve"> Calculation ratios of biotinylation levels</t>
    </r>
  </si>
  <si>
    <t>St. error of the mean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</si>
</sst>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b/>
      <sz val="11"/>
      <color rgb="FF00000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3" tint="0.39994506668294322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rgb="FF538ED5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2" borderId="1" xfId="0" applyFill="1" applyBorder="1"/>
    <xf numFmtId="0" fontId="0" fillId="2" borderId="2" xfId="0" applyFill="1" applyBorder="1"/>
    <xf numFmtId="0" fontId="0" fillId="3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3" borderId="4" xfId="0" applyFill="1" applyBorder="1"/>
    <xf numFmtId="0" fontId="0" fillId="0" borderId="0" xfId="0" applyFill="1" applyBorder="1"/>
    <xf numFmtId="0" fontId="1" fillId="0" borderId="0" xfId="0" applyFont="1"/>
    <xf numFmtId="0" fontId="1" fillId="3" borderId="2" xfId="0" applyFont="1" applyFill="1" applyBorder="1"/>
    <xf numFmtId="0" fontId="2" fillId="0" borderId="0" xfId="0" applyFont="1"/>
    <xf numFmtId="0" fontId="2" fillId="2" borderId="1" xfId="0" applyFont="1" applyFill="1" applyBorder="1"/>
    <xf numFmtId="0" fontId="2" fillId="2" borderId="2" xfId="0" applyFont="1" applyFill="1" applyBorder="1"/>
    <xf numFmtId="0" fontId="2" fillId="3" borderId="2" xfId="0" applyFont="1" applyFill="1" applyBorder="1"/>
    <xf numFmtId="0" fontId="1" fillId="3" borderId="4" xfId="0" applyFont="1" applyFill="1" applyBorder="1"/>
    <xf numFmtId="0" fontId="1" fillId="3" borderId="0" xfId="0" applyFont="1" applyFill="1"/>
    <xf numFmtId="0" fontId="1" fillId="4" borderId="1" xfId="0" applyFont="1" applyFill="1" applyBorder="1"/>
    <xf numFmtId="0" fontId="1" fillId="4" borderId="2" xfId="0" applyFont="1" applyFill="1" applyBorder="1"/>
    <xf numFmtId="0" fontId="1" fillId="4" borderId="3" xfId="0" applyFont="1" applyFill="1" applyBorder="1"/>
    <xf numFmtId="0" fontId="1" fillId="4" borderId="4" xfId="0" applyFont="1" applyFill="1" applyBorder="1"/>
    <xf numFmtId="0" fontId="2" fillId="5" borderId="1" xfId="0" applyFont="1" applyFill="1" applyBorder="1"/>
    <xf numFmtId="0" fontId="2" fillId="5" borderId="2" xfId="0" applyFont="1" applyFill="1" applyBorder="1"/>
    <xf numFmtId="0" fontId="1" fillId="5" borderId="0" xfId="0" applyFont="1" applyFill="1" applyBorder="1"/>
    <xf numFmtId="0" fontId="1" fillId="2" borderId="0" xfId="0" applyFont="1" applyFill="1" applyBorder="1"/>
    <xf numFmtId="0" fontId="1" fillId="3" borderId="0" xfId="0" applyFont="1" applyFill="1" applyBorder="1"/>
    <xf numFmtId="0" fontId="2" fillId="4" borderId="1" xfId="0" applyFont="1" applyFill="1" applyBorder="1"/>
    <xf numFmtId="0" fontId="2" fillId="4" borderId="2" xfId="0" applyFont="1" applyFill="1" applyBorder="1"/>
    <xf numFmtId="0" fontId="0" fillId="4" borderId="2" xfId="0" applyFill="1" applyBorder="1"/>
    <xf numFmtId="0" fontId="0" fillId="4" borderId="4" xfId="0" applyFill="1" applyBorder="1"/>
    <xf numFmtId="0" fontId="1" fillId="4" borderId="0" xfId="0" applyFont="1" applyFill="1"/>
    <xf numFmtId="0" fontId="4" fillId="6" borderId="0" xfId="0" applyFont="1" applyFill="1" applyAlignment="1">
      <alignment horizontal="right"/>
    </xf>
    <xf numFmtId="0" fontId="1" fillId="0" borderId="0" xfId="0" applyFont="1" applyFill="1"/>
    <xf numFmtId="0" fontId="3" fillId="0" borderId="0" xfId="0" applyFont="1" applyFill="1"/>
    <xf numFmtId="0" fontId="0" fillId="0" borderId="0" xfId="0" applyFill="1"/>
    <xf numFmtId="0" fontId="5" fillId="0" borderId="0" xfId="0" applyFont="1"/>
    <xf numFmtId="0" fontId="1" fillId="7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-0.249977111117893"/>
  </sheetPr>
  <dimension ref="A1:M84"/>
  <sheetViews>
    <sheetView tabSelected="1" topLeftCell="A53" workbookViewId="0">
      <selection activeCell="D86" sqref="D86"/>
    </sheetView>
  </sheetViews>
  <sheetFormatPr defaultRowHeight="15"/>
  <cols>
    <col min="1" max="1" width="35" customWidth="1"/>
    <col min="2" max="11" width="11.42578125" customWidth="1"/>
    <col min="13" max="13" width="14.28515625" customWidth="1"/>
  </cols>
  <sheetData>
    <row r="1" spans="1:11">
      <c r="A1" s="34" t="s">
        <v>35</v>
      </c>
    </row>
    <row r="2" spans="1:11">
      <c r="A2" s="8" t="s">
        <v>34</v>
      </c>
    </row>
    <row r="3" spans="1:11" s="10" customFormat="1">
      <c r="B3" s="11" t="s">
        <v>1</v>
      </c>
      <c r="C3" s="12" t="s">
        <v>2</v>
      </c>
      <c r="D3" s="12" t="s">
        <v>3</v>
      </c>
      <c r="E3" s="12" t="s">
        <v>4</v>
      </c>
      <c r="F3" s="12" t="s">
        <v>5</v>
      </c>
      <c r="G3" s="13" t="s">
        <v>1</v>
      </c>
      <c r="H3" s="13" t="s">
        <v>2</v>
      </c>
      <c r="I3" s="13" t="s">
        <v>4</v>
      </c>
      <c r="J3" s="13" t="s">
        <v>3</v>
      </c>
      <c r="K3" s="13" t="s">
        <v>5</v>
      </c>
    </row>
    <row r="4" spans="1:11">
      <c r="A4" t="s">
        <v>6</v>
      </c>
      <c r="B4" s="1">
        <v>99638608</v>
      </c>
      <c r="C4" s="2">
        <v>68497400</v>
      </c>
      <c r="D4" s="2">
        <v>35888944</v>
      </c>
      <c r="E4" s="2">
        <v>30966798</v>
      </c>
      <c r="F4" s="2">
        <v>15002946</v>
      </c>
      <c r="G4" s="3">
        <v>15474.9</v>
      </c>
      <c r="H4" s="3">
        <v>8308.2999999999993</v>
      </c>
      <c r="I4" s="3">
        <v>5246.3</v>
      </c>
      <c r="J4" s="3">
        <v>4222.8999999999996</v>
      </c>
      <c r="K4" s="3">
        <v>3638.9</v>
      </c>
    </row>
    <row r="5" spans="1:11">
      <c r="A5" t="s">
        <v>0</v>
      </c>
      <c r="B5" s="1">
        <v>117227416</v>
      </c>
      <c r="C5" s="2">
        <v>80567632</v>
      </c>
      <c r="D5" s="2">
        <v>45438864</v>
      </c>
      <c r="E5" s="2">
        <v>37194104</v>
      </c>
      <c r="F5" s="2">
        <v>20829526</v>
      </c>
      <c r="G5" s="3">
        <v>26847144</v>
      </c>
      <c r="H5" s="3">
        <v>25993966</v>
      </c>
      <c r="I5" s="3">
        <v>23279912</v>
      </c>
      <c r="J5" s="3">
        <v>16960196</v>
      </c>
      <c r="K5" s="3">
        <v>1451855</v>
      </c>
    </row>
    <row r="6" spans="1:11">
      <c r="B6" s="1"/>
      <c r="C6" s="2"/>
      <c r="D6" s="2"/>
      <c r="E6" s="2"/>
      <c r="F6" s="2"/>
      <c r="G6" s="3"/>
      <c r="H6" s="3"/>
      <c r="I6" s="3"/>
      <c r="J6" s="3"/>
      <c r="K6" s="3"/>
    </row>
    <row r="7" spans="1:11">
      <c r="A7" t="s">
        <v>7</v>
      </c>
      <c r="B7" s="1">
        <v>83346184</v>
      </c>
      <c r="C7" s="2">
        <v>61389208</v>
      </c>
      <c r="D7" s="2">
        <v>31940970</v>
      </c>
      <c r="E7" s="2">
        <v>29071066</v>
      </c>
      <c r="F7" s="2">
        <v>12620305</v>
      </c>
      <c r="G7" s="3">
        <v>14741.2</v>
      </c>
      <c r="H7" s="3">
        <v>13192.6</v>
      </c>
      <c r="I7" s="3">
        <v>12882.9</v>
      </c>
      <c r="J7" s="3">
        <v>6765.7</v>
      </c>
      <c r="K7" s="3">
        <v>4620.2</v>
      </c>
    </row>
    <row r="8" spans="1:11">
      <c r="A8" t="s">
        <v>8</v>
      </c>
      <c r="B8" s="1">
        <v>82818496</v>
      </c>
      <c r="C8" s="2">
        <v>56709784</v>
      </c>
      <c r="D8" s="2">
        <v>30287482</v>
      </c>
      <c r="E8" s="2">
        <v>24623888</v>
      </c>
      <c r="F8" s="2">
        <v>11143471</v>
      </c>
      <c r="G8" s="3">
        <v>13971557</v>
      </c>
      <c r="H8" s="3">
        <v>13204490</v>
      </c>
      <c r="I8" s="3">
        <v>10888729</v>
      </c>
      <c r="J8" s="3">
        <v>8635688</v>
      </c>
      <c r="K8" s="3">
        <v>585452</v>
      </c>
    </row>
    <row r="9" spans="1:11">
      <c r="B9" s="1"/>
      <c r="C9" s="2"/>
      <c r="D9" s="2"/>
      <c r="E9" s="2"/>
      <c r="F9" s="2"/>
      <c r="G9" s="3"/>
      <c r="H9" s="3"/>
      <c r="I9" s="3"/>
      <c r="J9" s="3"/>
      <c r="K9" s="3"/>
    </row>
    <row r="10" spans="1:11">
      <c r="A10" t="s">
        <v>9</v>
      </c>
      <c r="B10" s="1">
        <v>189214032</v>
      </c>
      <c r="C10" s="2">
        <v>127286808</v>
      </c>
      <c r="D10" s="2">
        <v>67021868</v>
      </c>
      <c r="E10" s="2">
        <v>56774128</v>
      </c>
      <c r="F10" s="2">
        <v>39329220</v>
      </c>
      <c r="G10" s="3">
        <v>107517.3</v>
      </c>
      <c r="H10" s="3">
        <v>101898.4</v>
      </c>
      <c r="I10" s="3">
        <v>74777.8</v>
      </c>
      <c r="J10" s="3">
        <v>52052.5</v>
      </c>
      <c r="K10" s="3">
        <v>34335.300000000003</v>
      </c>
    </row>
    <row r="11" spans="1:11">
      <c r="A11" t="s">
        <v>10</v>
      </c>
      <c r="B11" s="1">
        <v>44691548</v>
      </c>
      <c r="C11" s="2">
        <v>30064280</v>
      </c>
      <c r="D11" s="2">
        <v>15352761</v>
      </c>
      <c r="E11" s="2">
        <v>13380872</v>
      </c>
      <c r="F11" s="2">
        <v>4835684</v>
      </c>
      <c r="G11" s="3">
        <v>37943164</v>
      </c>
      <c r="H11" s="3">
        <v>35586940</v>
      </c>
      <c r="I11" s="3">
        <v>29119622</v>
      </c>
      <c r="J11" s="3">
        <v>23451432</v>
      </c>
      <c r="K11" s="3">
        <v>2788467</v>
      </c>
    </row>
    <row r="12" spans="1:11">
      <c r="B12" s="1"/>
      <c r="C12" s="2"/>
      <c r="D12" s="2"/>
      <c r="E12" s="2"/>
      <c r="F12" s="2"/>
      <c r="G12" s="3"/>
      <c r="H12" s="3"/>
      <c r="I12" s="3"/>
      <c r="J12" s="3"/>
      <c r="K12" s="3"/>
    </row>
    <row r="13" spans="1:11">
      <c r="A13" t="s">
        <v>11</v>
      </c>
      <c r="B13" s="1">
        <v>194715568</v>
      </c>
      <c r="C13" s="2">
        <v>125813256</v>
      </c>
      <c r="D13" s="2">
        <v>66426488</v>
      </c>
      <c r="E13" s="2">
        <v>57692068</v>
      </c>
      <c r="F13" s="2">
        <v>39959944</v>
      </c>
      <c r="G13" s="3">
        <v>81118.5</v>
      </c>
      <c r="H13" s="3">
        <v>68174.399999999994</v>
      </c>
      <c r="I13" s="3">
        <v>67680.899999999994</v>
      </c>
      <c r="J13" s="3">
        <v>30317.9</v>
      </c>
      <c r="K13" s="3">
        <v>18947.400000000001</v>
      </c>
    </row>
    <row r="14" spans="1:11">
      <c r="A14" t="s">
        <v>12</v>
      </c>
      <c r="B14" s="4">
        <v>45879156</v>
      </c>
      <c r="C14" s="5">
        <v>31271422</v>
      </c>
      <c r="D14" s="5">
        <v>15685512</v>
      </c>
      <c r="E14" s="5">
        <v>14044597</v>
      </c>
      <c r="F14" s="5">
        <v>5188337</v>
      </c>
      <c r="G14" s="6">
        <v>41907684</v>
      </c>
      <c r="H14" s="6">
        <v>38795440</v>
      </c>
      <c r="I14" s="6">
        <v>32244212</v>
      </c>
      <c r="J14" s="6">
        <v>25433160</v>
      </c>
      <c r="K14" s="6">
        <v>2634369</v>
      </c>
    </row>
    <row r="15" spans="1:11">
      <c r="B15" s="7"/>
      <c r="C15" s="7"/>
      <c r="D15" s="7"/>
      <c r="E15" s="7"/>
      <c r="F15" s="7"/>
      <c r="G15" s="7"/>
      <c r="H15" s="7"/>
      <c r="I15" s="7"/>
      <c r="J15" s="7"/>
      <c r="K15" s="7"/>
    </row>
    <row r="16" spans="1:11">
      <c r="B16" s="7"/>
      <c r="C16" s="7"/>
      <c r="D16" s="7"/>
      <c r="E16" s="7"/>
      <c r="F16" s="7"/>
      <c r="G16" s="7"/>
      <c r="H16" s="7"/>
      <c r="I16" s="7"/>
      <c r="J16" s="7"/>
      <c r="K16" s="7"/>
    </row>
    <row r="17" spans="1:11">
      <c r="B17" s="7"/>
      <c r="C17" s="23" t="s">
        <v>13</v>
      </c>
      <c r="D17" s="7"/>
      <c r="E17" s="7"/>
      <c r="F17" s="7"/>
      <c r="G17" s="7"/>
      <c r="H17" s="24" t="s">
        <v>14</v>
      </c>
      <c r="I17" s="7"/>
      <c r="J17" s="7"/>
      <c r="K17" s="7"/>
    </row>
    <row r="18" spans="1:11">
      <c r="A18" s="8" t="s">
        <v>19</v>
      </c>
      <c r="B18" s="7"/>
      <c r="C18" s="7"/>
      <c r="D18" s="7"/>
      <c r="E18" s="7"/>
      <c r="F18" s="7"/>
      <c r="G18" s="7"/>
      <c r="H18" s="7"/>
      <c r="I18" s="7"/>
      <c r="J18" s="7"/>
      <c r="K18" s="7"/>
    </row>
    <row r="19" spans="1:11" ht="13.5" customHeight="1">
      <c r="B19" s="7"/>
      <c r="C19" s="7"/>
      <c r="D19" s="7"/>
      <c r="E19" s="7"/>
      <c r="F19" s="7"/>
      <c r="G19" s="7"/>
      <c r="H19" s="7"/>
      <c r="I19" s="7"/>
      <c r="J19" s="7"/>
      <c r="K19" s="7"/>
    </row>
    <row r="20" spans="1:11" s="10" customFormat="1">
      <c r="B20" s="20" t="s">
        <v>1</v>
      </c>
      <c r="C20" s="21" t="s">
        <v>2</v>
      </c>
      <c r="D20" s="21" t="s">
        <v>3</v>
      </c>
      <c r="E20" s="21" t="s">
        <v>4</v>
      </c>
      <c r="F20" s="21" t="s">
        <v>5</v>
      </c>
      <c r="G20" s="13" t="s">
        <v>1</v>
      </c>
      <c r="H20" s="13" t="s">
        <v>2</v>
      </c>
      <c r="I20" s="13" t="s">
        <v>4</v>
      </c>
      <c r="J20" s="13" t="s">
        <v>3</v>
      </c>
      <c r="K20" s="13" t="s">
        <v>5</v>
      </c>
    </row>
    <row r="21" spans="1:11">
      <c r="A21" t="s">
        <v>6</v>
      </c>
      <c r="B21" s="16">
        <f>99638608+11.9*G21</f>
        <v>99822759.310000002</v>
      </c>
      <c r="C21" s="17">
        <f>68497400+11.9*H21</f>
        <v>68596268.769999996</v>
      </c>
      <c r="D21" s="17">
        <f>35888944+11.9*J21</f>
        <v>35939196.509999998</v>
      </c>
      <c r="E21" s="17">
        <f>30966798+11.9*I21</f>
        <v>31029228.969999999</v>
      </c>
      <c r="F21" s="17">
        <f>15002946+11.9*K21</f>
        <v>15046248.91</v>
      </c>
      <c r="G21" s="3">
        <v>15474.9</v>
      </c>
      <c r="H21" s="3">
        <v>8308.2999999999993</v>
      </c>
      <c r="I21" s="3">
        <v>5246.3</v>
      </c>
      <c r="J21" s="3">
        <v>4222.8999999999996</v>
      </c>
      <c r="K21" s="3">
        <v>3638.9</v>
      </c>
    </row>
    <row r="22" spans="1:11">
      <c r="A22" t="s">
        <v>0</v>
      </c>
      <c r="B22" s="16">
        <f>117227416+11.9*G22</f>
        <v>436708429.60000002</v>
      </c>
      <c r="C22" s="17">
        <f>80567632+11.9*H22</f>
        <v>389895827.40000004</v>
      </c>
      <c r="D22" s="17">
        <f>45438864+11.9*J22</f>
        <v>247265196.40000001</v>
      </c>
      <c r="E22" s="17">
        <f>37194104+11.9*I22</f>
        <v>314225056.80000001</v>
      </c>
      <c r="F22" s="17">
        <f>20829526+11.9*K22</f>
        <v>38106600.5</v>
      </c>
      <c r="G22" s="3">
        <v>26847144</v>
      </c>
      <c r="H22" s="3">
        <v>25993966</v>
      </c>
      <c r="I22" s="3">
        <v>23279912</v>
      </c>
      <c r="J22" s="3">
        <v>16960196</v>
      </c>
      <c r="K22" s="3">
        <v>1451855</v>
      </c>
    </row>
    <row r="23" spans="1:11">
      <c r="B23" s="16"/>
      <c r="C23" s="17"/>
      <c r="D23" s="17"/>
      <c r="E23" s="17"/>
      <c r="F23" s="17"/>
      <c r="G23" s="3"/>
      <c r="H23" s="3"/>
      <c r="I23" s="3"/>
      <c r="J23" s="3"/>
      <c r="K23" s="3"/>
    </row>
    <row r="24" spans="1:11">
      <c r="A24" t="s">
        <v>7</v>
      </c>
      <c r="B24" s="16">
        <f>83346184+11.9*G24</f>
        <v>83521604.280000001</v>
      </c>
      <c r="C24" s="17">
        <f>61389208+11.9*H24</f>
        <v>61546199.939999998</v>
      </c>
      <c r="D24" s="17">
        <f>31940970+11.9*J24</f>
        <v>32021481.829999998</v>
      </c>
      <c r="E24" s="17">
        <f>29071066+11.9*I24</f>
        <v>29224372.510000002</v>
      </c>
      <c r="F24" s="17">
        <f>12620305+11.9*K24</f>
        <v>12675285.380000001</v>
      </c>
      <c r="G24" s="3">
        <v>14741.2</v>
      </c>
      <c r="H24" s="3">
        <v>13192.6</v>
      </c>
      <c r="I24" s="3">
        <v>12882.9</v>
      </c>
      <c r="J24" s="3">
        <v>6765.7</v>
      </c>
      <c r="K24" s="3">
        <v>4620.2</v>
      </c>
    </row>
    <row r="25" spans="1:11">
      <c r="A25" t="s">
        <v>8</v>
      </c>
      <c r="B25" s="16">
        <f>82818496+11.9*G25</f>
        <v>249080024.30000001</v>
      </c>
      <c r="C25" s="17">
        <f>56709784+11.9*H25</f>
        <v>213843215</v>
      </c>
      <c r="D25" s="17">
        <f>30287482+11.9*J25</f>
        <v>133052169.2</v>
      </c>
      <c r="E25" s="17">
        <f>24623888+11.9*I25</f>
        <v>154199763.10000002</v>
      </c>
      <c r="F25" s="17">
        <f>11143471+11.9*K25</f>
        <v>18110349.800000001</v>
      </c>
      <c r="G25" s="3">
        <v>13971557</v>
      </c>
      <c r="H25" s="3">
        <v>13204490</v>
      </c>
      <c r="I25" s="3">
        <v>10888729</v>
      </c>
      <c r="J25" s="3">
        <v>8635688</v>
      </c>
      <c r="K25" s="3">
        <v>585452</v>
      </c>
    </row>
    <row r="26" spans="1:11">
      <c r="B26" s="16"/>
      <c r="C26" s="17"/>
      <c r="D26" s="17"/>
      <c r="E26" s="17"/>
      <c r="F26" s="17"/>
      <c r="G26" s="3"/>
      <c r="H26" s="3"/>
      <c r="I26" s="3"/>
      <c r="J26" s="3"/>
      <c r="K26" s="3"/>
    </row>
    <row r="27" spans="1:11">
      <c r="A27" t="s">
        <v>9</v>
      </c>
      <c r="B27" s="16">
        <f>189214032+11.9*G27</f>
        <v>190493487.87</v>
      </c>
      <c r="C27" s="17">
        <f>127286808+11.9*H27</f>
        <v>128499398.95999999</v>
      </c>
      <c r="D27" s="17">
        <f>67021868+11.9*J27</f>
        <v>67641292.75</v>
      </c>
      <c r="E27" s="17">
        <f>56774128+11.9*I27</f>
        <v>57663983.82</v>
      </c>
      <c r="F27" s="17">
        <f>39329220+11.9*K27</f>
        <v>39737810.07</v>
      </c>
      <c r="G27" s="3">
        <v>107517.3</v>
      </c>
      <c r="H27" s="3">
        <v>101898.4</v>
      </c>
      <c r="I27" s="3">
        <v>74777.8</v>
      </c>
      <c r="J27" s="3">
        <v>52052.5</v>
      </c>
      <c r="K27" s="3">
        <v>34335.300000000003</v>
      </c>
    </row>
    <row r="28" spans="1:11">
      <c r="A28" t="s">
        <v>10</v>
      </c>
      <c r="B28" s="16">
        <f>44691548+11.9*G28</f>
        <v>496215199.60000002</v>
      </c>
      <c r="C28" s="17">
        <f>30064280+11.9*H28</f>
        <v>453548866</v>
      </c>
      <c r="D28" s="17">
        <f>15352761+11.9*J28</f>
        <v>294424801.80000001</v>
      </c>
      <c r="E28" s="17">
        <f>13380872+11.9*I28</f>
        <v>359904373.80000001</v>
      </c>
      <c r="F28" s="17">
        <f>4835684+11.9*K28</f>
        <v>38018441.299999997</v>
      </c>
      <c r="G28" s="3">
        <v>37943164</v>
      </c>
      <c r="H28" s="3">
        <v>35586940</v>
      </c>
      <c r="I28" s="3">
        <v>29119622</v>
      </c>
      <c r="J28" s="3">
        <v>23451432</v>
      </c>
      <c r="K28" s="3">
        <v>2788467</v>
      </c>
    </row>
    <row r="29" spans="1:11">
      <c r="B29" s="16"/>
      <c r="C29" s="17"/>
      <c r="D29" s="17"/>
      <c r="E29" s="17"/>
      <c r="F29" s="17"/>
      <c r="G29" s="3"/>
      <c r="H29" s="3"/>
      <c r="I29" s="3"/>
      <c r="J29" s="3"/>
      <c r="K29" s="3"/>
    </row>
    <row r="30" spans="1:11">
      <c r="A30" t="s">
        <v>11</v>
      </c>
      <c r="B30" s="16">
        <f>194715568+11.9*G30</f>
        <v>195680878.15000001</v>
      </c>
      <c r="C30" s="17">
        <f>125813256+11.9*H30</f>
        <v>126624531.36</v>
      </c>
      <c r="D30" s="17">
        <f>66426488+11.9*J30</f>
        <v>66787271.009999998</v>
      </c>
      <c r="E30" s="17">
        <f>57692068+11.9*I30</f>
        <v>58497470.710000001</v>
      </c>
      <c r="F30" s="17">
        <f>39959944+11.9*K30</f>
        <v>40185418.060000002</v>
      </c>
      <c r="G30" s="3">
        <v>81118.5</v>
      </c>
      <c r="H30" s="3">
        <v>68174.399999999994</v>
      </c>
      <c r="I30" s="3">
        <v>67680.899999999994</v>
      </c>
      <c r="J30" s="3">
        <v>30317.9</v>
      </c>
      <c r="K30" s="3">
        <v>18947.400000000001</v>
      </c>
    </row>
    <row r="31" spans="1:11">
      <c r="A31" t="s">
        <v>12</v>
      </c>
      <c r="B31" s="18">
        <f>45879156+11.9*G31</f>
        <v>544580595.60000002</v>
      </c>
      <c r="C31" s="19">
        <f>31271422+11.9*H31</f>
        <v>492937158</v>
      </c>
      <c r="D31" s="19">
        <f>15685512+11.9*J31</f>
        <v>318340116</v>
      </c>
      <c r="E31" s="19">
        <f>14044597+11.9*I31</f>
        <v>397750719.80000001</v>
      </c>
      <c r="F31" s="19">
        <f>5188337+11.9*K31</f>
        <v>36537328.100000001</v>
      </c>
      <c r="G31" s="6">
        <v>41907684</v>
      </c>
      <c r="H31" s="6">
        <v>38795440</v>
      </c>
      <c r="I31" s="6">
        <v>32244212</v>
      </c>
      <c r="J31" s="6">
        <v>25433160</v>
      </c>
      <c r="K31" s="6">
        <v>2634369</v>
      </c>
    </row>
    <row r="32" spans="1:11">
      <c r="B32" s="7"/>
      <c r="C32" s="7"/>
      <c r="D32" s="7"/>
      <c r="E32" s="7"/>
      <c r="F32" s="7"/>
      <c r="G32" s="7"/>
      <c r="H32" s="7"/>
      <c r="I32" s="7"/>
      <c r="J32" s="7"/>
      <c r="K32" s="7"/>
    </row>
    <row r="33" spans="1:11">
      <c r="B33" s="7"/>
      <c r="C33" s="7"/>
      <c r="D33" s="7"/>
      <c r="E33" s="7"/>
      <c r="F33" s="7"/>
      <c r="G33" s="7"/>
      <c r="H33" s="7"/>
      <c r="I33" s="7"/>
      <c r="J33" s="7"/>
      <c r="K33" s="7"/>
    </row>
    <row r="34" spans="1:11">
      <c r="A34" s="8"/>
      <c r="B34" s="7"/>
      <c r="C34" s="7"/>
      <c r="D34" s="7"/>
      <c r="E34" s="7"/>
      <c r="F34" s="7"/>
      <c r="G34" s="7"/>
      <c r="H34" s="7"/>
      <c r="I34" s="7"/>
      <c r="J34" s="7"/>
      <c r="K34" s="7"/>
    </row>
    <row r="35" spans="1:11">
      <c r="B35" s="7"/>
      <c r="C35" s="22" t="s">
        <v>25</v>
      </c>
      <c r="D35" s="7"/>
      <c r="E35" s="7"/>
      <c r="F35" s="7"/>
      <c r="G35" s="7"/>
      <c r="H35" s="24" t="s">
        <v>14</v>
      </c>
      <c r="I35" s="7"/>
      <c r="J35" s="7"/>
      <c r="K35" s="7"/>
    </row>
    <row r="36" spans="1:11">
      <c r="A36" s="8" t="s">
        <v>20</v>
      </c>
    </row>
    <row r="38" spans="1:11" s="10" customFormat="1">
      <c r="B38" s="25" t="s">
        <v>1</v>
      </c>
      <c r="C38" s="26" t="s">
        <v>2</v>
      </c>
      <c r="D38" s="26" t="s">
        <v>3</v>
      </c>
      <c r="E38" s="26" t="s">
        <v>4</v>
      </c>
      <c r="F38" s="26" t="s">
        <v>5</v>
      </c>
      <c r="G38" s="13" t="s">
        <v>1</v>
      </c>
      <c r="H38" s="13" t="s">
        <v>2</v>
      </c>
      <c r="I38" s="13" t="s">
        <v>4</v>
      </c>
      <c r="J38" s="13" t="s">
        <v>3</v>
      </c>
      <c r="K38" s="13" t="s">
        <v>5</v>
      </c>
    </row>
    <row r="39" spans="1:11">
      <c r="A39" t="s">
        <v>6</v>
      </c>
      <c r="B39" s="16">
        <f>(99638608+11.9*G21)*5.455</f>
        <v>544533152.03604996</v>
      </c>
      <c r="C39" s="17">
        <f>(68497400+11.9*H21)*5.455</f>
        <v>374192646.14034998</v>
      </c>
      <c r="D39" s="17">
        <f>(35888944+11.9*J21)*5.455</f>
        <v>196048316.96204999</v>
      </c>
      <c r="E39" s="17">
        <f>(30966798+11.9*I21)*5.455</f>
        <v>169264444.03134999</v>
      </c>
      <c r="F39" s="17">
        <f>(15002946+11.9*K21)*5.455</f>
        <v>82077287.804049999</v>
      </c>
      <c r="G39" s="9">
        <f>15474.9*5.455</f>
        <v>84415.579499999993</v>
      </c>
      <c r="H39" s="9">
        <f>8308.3*5.455</f>
        <v>45321.7765</v>
      </c>
      <c r="I39" s="9">
        <f>5246.3*5.455</f>
        <v>28618.566500000001</v>
      </c>
      <c r="J39" s="9">
        <f>4222.9*5.455</f>
        <v>23035.9195</v>
      </c>
      <c r="K39" s="9">
        <f>3638.9*5.455</f>
        <v>19850.199500000002</v>
      </c>
    </row>
    <row r="40" spans="1:11">
      <c r="A40" t="s">
        <v>0</v>
      </c>
      <c r="B40" s="16">
        <f>(117227416+11.9*G22)*1.247</f>
        <v>544575411.71120012</v>
      </c>
      <c r="C40" s="17">
        <f>(80567632+11.9*H22)*1.247</f>
        <v>486200096.76780009</v>
      </c>
      <c r="D40" s="17">
        <f>(45438864+11.9*J22)*1.247</f>
        <v>308339699.91080004</v>
      </c>
      <c r="E40" s="17">
        <f>(37194104+11.9*I22)*1.247</f>
        <v>391838645.82960004</v>
      </c>
      <c r="F40" s="17">
        <f>(20829526+11.9*K22)*1.247</f>
        <v>47518930.823500007</v>
      </c>
      <c r="G40" s="9">
        <f>26847144*1.247</f>
        <v>33478388.568000004</v>
      </c>
      <c r="H40" s="9">
        <f>25993966*1.247</f>
        <v>32414475.602000002</v>
      </c>
      <c r="I40" s="9">
        <f>23279912*1.247</f>
        <v>29030050.264000002</v>
      </c>
      <c r="J40" s="9">
        <f>16960196*1.247</f>
        <v>21149364.412</v>
      </c>
      <c r="K40" s="9">
        <f>1451855*1.247</f>
        <v>1810463.1850000001</v>
      </c>
    </row>
    <row r="41" spans="1:11">
      <c r="B41" s="16"/>
      <c r="C41" s="27"/>
      <c r="D41" s="27"/>
      <c r="E41" s="27"/>
      <c r="F41" s="27"/>
      <c r="G41" s="9"/>
      <c r="H41" s="3"/>
      <c r="I41" s="3"/>
      <c r="J41" s="3"/>
      <c r="K41" s="3"/>
    </row>
    <row r="42" spans="1:11">
      <c r="A42" t="s">
        <v>7</v>
      </c>
      <c r="B42" s="16">
        <f>(83346184+11.9*G24)*6.52</f>
        <v>544560859.90559995</v>
      </c>
      <c r="C42" s="17">
        <f>(61389208+11.9*H24)*6.52</f>
        <v>401281223.60879993</v>
      </c>
      <c r="D42" s="17">
        <f>(31940970+11.9*J24)*6.52</f>
        <v>208780061.53159997</v>
      </c>
      <c r="E42" s="17">
        <f>(29071066+11.9*I24)*6.52</f>
        <v>190542908.76519999</v>
      </c>
      <c r="F42" s="17">
        <f>(12620305+11.9*K24)*6.52</f>
        <v>82642860.677599996</v>
      </c>
      <c r="G42" s="9">
        <f>14741.2*6.52</f>
        <v>96112.623999999996</v>
      </c>
      <c r="H42" s="9">
        <f>13192.6*6.52</f>
        <v>86015.751999999993</v>
      </c>
      <c r="I42" s="9">
        <f>12882.9*6.52</f>
        <v>83996.507999999987</v>
      </c>
      <c r="J42" s="9">
        <f>6765.7*6.52</f>
        <v>44112.363999999994</v>
      </c>
      <c r="K42" s="9">
        <f>4620.2*6.52</f>
        <v>30123.703999999998</v>
      </c>
    </row>
    <row r="43" spans="1:11">
      <c r="A43" t="s">
        <v>8</v>
      </c>
      <c r="B43" s="16">
        <f>(82818496+11.9*G25)*2.186</f>
        <v>544488933.11979997</v>
      </c>
      <c r="C43" s="17">
        <f>(56709784+11.9*H25)*2.186</f>
        <v>467461267.99000001</v>
      </c>
      <c r="D43" s="17">
        <f>(30287482+11.9*J25)*2.186</f>
        <v>290852041.87120003</v>
      </c>
      <c r="E43" s="17">
        <f>(24623888+11.9*I25)*2.186</f>
        <v>337080682.13660002</v>
      </c>
      <c r="F43" s="17">
        <f>(11143471+11.9*K25)*2.186</f>
        <v>39589224.662799999</v>
      </c>
      <c r="G43" s="9">
        <f>13971557*2.186</f>
        <v>30541823.601999998</v>
      </c>
      <c r="H43" s="9">
        <f>13204490*2.186</f>
        <v>28865015.140000001</v>
      </c>
      <c r="I43" s="9">
        <f>10888729*2.186</f>
        <v>23802761.594000001</v>
      </c>
      <c r="J43" s="9">
        <f>8635688*2.186</f>
        <v>18877613.967999998</v>
      </c>
      <c r="K43" s="9">
        <f>585452*2.186</f>
        <v>1279798.0719999999</v>
      </c>
    </row>
    <row r="44" spans="1:11">
      <c r="B44" s="16"/>
      <c r="C44" s="27"/>
      <c r="D44" s="27"/>
      <c r="E44" s="27"/>
      <c r="F44" s="27"/>
      <c r="G44" s="9"/>
      <c r="H44" s="3"/>
      <c r="I44" s="3"/>
      <c r="J44" s="3"/>
      <c r="K44" s="3"/>
    </row>
    <row r="45" spans="1:11">
      <c r="A45" t="s">
        <v>9</v>
      </c>
      <c r="B45" s="16">
        <f>(189214032+11.9*G27)*2.858</f>
        <v>544430388.33246005</v>
      </c>
      <c r="C45" s="17">
        <f>(127286808+11.9*H27)*2.858</f>
        <v>367251282.22767997</v>
      </c>
      <c r="D45" s="17">
        <f>(67021868+11.9*J27)*2.858</f>
        <v>193318814.67950001</v>
      </c>
      <c r="E45" s="17">
        <f>(56774128+11.9*I27)*2.858</f>
        <v>164803665.75756001</v>
      </c>
      <c r="F45" s="17">
        <f>(39329220+11.9*K27)*2.858</f>
        <v>113570661.18006</v>
      </c>
      <c r="G45" s="9">
        <f>107517.3*2.858</f>
        <v>307284.44340000005</v>
      </c>
      <c r="H45" s="9">
        <f>101898.4*2.858</f>
        <v>291225.62719999999</v>
      </c>
      <c r="I45" s="9">
        <f>74777.8*2.858</f>
        <v>213714.95240000001</v>
      </c>
      <c r="J45" s="9">
        <f>52052.5*2.858</f>
        <v>148766.04500000001</v>
      </c>
      <c r="K45" s="9">
        <f>34335.3*2.858</f>
        <v>98130.287400000016</v>
      </c>
    </row>
    <row r="46" spans="1:11">
      <c r="A46" t="s">
        <v>10</v>
      </c>
      <c r="B46" s="16">
        <f>(44691548+11.9*G28)*1.097</f>
        <v>544348073.9612</v>
      </c>
      <c r="C46" s="17">
        <f>(30064280+11.9*H28)*1.097</f>
        <v>497543106.00199997</v>
      </c>
      <c r="D46" s="17">
        <f>(15352761+11.9*J28)*1.097</f>
        <v>322984007.57459998</v>
      </c>
      <c r="E46" s="17">
        <f>(13380872+11.9*I28)*1.097</f>
        <v>394815098.05860001</v>
      </c>
      <c r="F46" s="17">
        <f>(4835684+11.9*K28)*1.097</f>
        <v>41706230.106099993</v>
      </c>
      <c r="G46" s="9">
        <f>37943164*1.097</f>
        <v>41623650.908</v>
      </c>
      <c r="H46" s="9">
        <f>35586940*1.097</f>
        <v>39038873.18</v>
      </c>
      <c r="I46" s="9">
        <f>29119622*1.097</f>
        <v>31944225.333999999</v>
      </c>
      <c r="J46" s="9">
        <f>23451432*1.097</f>
        <v>25726220.903999999</v>
      </c>
      <c r="K46" s="9">
        <f>2788467*1.097</f>
        <v>3058948.2990000001</v>
      </c>
    </row>
    <row r="47" spans="1:11">
      <c r="B47" s="16"/>
      <c r="C47" s="27"/>
      <c r="D47" s="27"/>
      <c r="E47" s="27"/>
      <c r="F47" s="27"/>
      <c r="G47" s="9"/>
      <c r="H47" s="3"/>
      <c r="I47" s="3"/>
      <c r="J47" s="3"/>
      <c r="K47" s="3"/>
    </row>
    <row r="48" spans="1:11">
      <c r="A48" t="s">
        <v>11</v>
      </c>
      <c r="B48" s="16">
        <f>(194715568+11.9*G30)*2.783</f>
        <v>544579883.89145005</v>
      </c>
      <c r="C48" s="17">
        <f>(125813256+11.9*H30)*2.783</f>
        <v>352396070.77487999</v>
      </c>
      <c r="D48" s="17">
        <f>(66426488+11.9*J30)*2.783</f>
        <v>185868975.22082999</v>
      </c>
      <c r="E48" s="17">
        <f>(57692068+11.9*I30)*2.783</f>
        <v>162798460.98593</v>
      </c>
      <c r="F48" s="17">
        <f>(39959944+11.9*K30)*2.783</f>
        <v>111836018.46098</v>
      </c>
      <c r="G48" s="9">
        <f>81118.5*2.783</f>
        <v>225752.7855</v>
      </c>
      <c r="H48" s="9">
        <f>68174.4*2.783</f>
        <v>189729.35519999999</v>
      </c>
      <c r="I48" s="9">
        <f>67680.9*2.783</f>
        <v>188355.94469999999</v>
      </c>
      <c r="J48" s="9">
        <f>30317.9*2.783</f>
        <v>84374.715700000001</v>
      </c>
      <c r="K48" s="9">
        <f>18947.4*2.783</f>
        <v>52730.614200000004</v>
      </c>
    </row>
    <row r="49" spans="1:11">
      <c r="A49" t="s">
        <v>12</v>
      </c>
      <c r="B49" s="18">
        <f>45879156+11.9*G49</f>
        <v>544580595.60000002</v>
      </c>
      <c r="C49" s="28">
        <f>31271422+11.9*H49</f>
        <v>492937158</v>
      </c>
      <c r="D49" s="28">
        <f>15685512+11.9*J49</f>
        <v>318340116</v>
      </c>
      <c r="E49" s="28">
        <f>14044597+11.9*I49</f>
        <v>397750719.80000001</v>
      </c>
      <c r="F49" s="28">
        <f>5188337+11.9*K49</f>
        <v>36537328.100000001</v>
      </c>
      <c r="G49" s="14">
        <v>41907684</v>
      </c>
      <c r="H49" s="6">
        <v>38795440</v>
      </c>
      <c r="I49" s="6">
        <v>32244212</v>
      </c>
      <c r="J49" s="6">
        <v>25433160</v>
      </c>
      <c r="K49" s="6">
        <v>2634369</v>
      </c>
    </row>
    <row r="52" spans="1:11">
      <c r="A52" s="8" t="s">
        <v>15</v>
      </c>
    </row>
    <row r="54" spans="1:11" s="10" customFormat="1">
      <c r="B54" s="25" t="s">
        <v>1</v>
      </c>
      <c r="C54" s="26" t="s">
        <v>2</v>
      </c>
      <c r="D54" s="26" t="s">
        <v>3</v>
      </c>
      <c r="E54" s="26" t="s">
        <v>4</v>
      </c>
      <c r="F54" s="26" t="s">
        <v>5</v>
      </c>
      <c r="G54" s="13" t="s">
        <v>1</v>
      </c>
      <c r="H54" s="13" t="s">
        <v>2</v>
      </c>
      <c r="I54" s="13" t="s">
        <v>4</v>
      </c>
      <c r="J54" s="13" t="s">
        <v>3</v>
      </c>
      <c r="K54" s="13" t="s">
        <v>5</v>
      </c>
    </row>
    <row r="55" spans="1:11">
      <c r="A55" t="s">
        <v>21</v>
      </c>
      <c r="B55" s="16">
        <f t="shared" ref="B55:K55" si="0">(B39+B42)/2</f>
        <v>544547005.97082496</v>
      </c>
      <c r="C55" s="17">
        <f t="shared" si="0"/>
        <v>387736934.87457496</v>
      </c>
      <c r="D55" s="17">
        <f t="shared" si="0"/>
        <v>202414189.24682498</v>
      </c>
      <c r="E55" s="17">
        <f t="shared" si="0"/>
        <v>179903676.39827499</v>
      </c>
      <c r="F55" s="17">
        <f t="shared" si="0"/>
        <v>82360074.240824997</v>
      </c>
      <c r="G55" s="9">
        <f t="shared" si="0"/>
        <v>90264.101750000002</v>
      </c>
      <c r="H55" s="9">
        <f t="shared" si="0"/>
        <v>65668.764249999993</v>
      </c>
      <c r="I55" s="9">
        <f t="shared" si="0"/>
        <v>56307.537249999994</v>
      </c>
      <c r="J55" s="9">
        <f t="shared" si="0"/>
        <v>33574.141749999995</v>
      </c>
      <c r="K55" s="9">
        <f t="shared" si="0"/>
        <v>24986.95175</v>
      </c>
    </row>
    <row r="56" spans="1:11">
      <c r="A56" t="s">
        <v>22</v>
      </c>
      <c r="B56" s="16">
        <f t="shared" ref="B56:K56" si="1">(B40+B43)/2</f>
        <v>544532172.41550004</v>
      </c>
      <c r="C56" s="17">
        <f t="shared" si="1"/>
        <v>476830682.37890005</v>
      </c>
      <c r="D56" s="17">
        <f t="shared" si="1"/>
        <v>299595870.89100003</v>
      </c>
      <c r="E56" s="17">
        <f t="shared" si="1"/>
        <v>364459663.98310006</v>
      </c>
      <c r="F56" s="17">
        <f t="shared" si="1"/>
        <v>43554077.743150003</v>
      </c>
      <c r="G56" s="9">
        <f t="shared" si="1"/>
        <v>32010106.085000001</v>
      </c>
      <c r="H56" s="9">
        <f t="shared" si="1"/>
        <v>30639745.370999999</v>
      </c>
      <c r="I56" s="9">
        <f t="shared" si="1"/>
        <v>26416405.929000001</v>
      </c>
      <c r="J56" s="9">
        <f t="shared" si="1"/>
        <v>20013489.189999998</v>
      </c>
      <c r="K56" s="9">
        <f t="shared" si="1"/>
        <v>1545130.6285000001</v>
      </c>
    </row>
    <row r="57" spans="1:11">
      <c r="B57" s="16"/>
      <c r="C57" s="17"/>
      <c r="D57" s="27"/>
      <c r="E57" s="27"/>
      <c r="F57" s="27"/>
      <c r="G57" s="9"/>
      <c r="H57" s="3"/>
      <c r="I57" s="3"/>
      <c r="J57" s="3"/>
      <c r="K57" s="9"/>
    </row>
    <row r="58" spans="1:11">
      <c r="A58" t="s">
        <v>23</v>
      </c>
      <c r="B58" s="16">
        <f t="shared" ref="B58:K58" si="2">(B45+B48)/2</f>
        <v>544505136.11195505</v>
      </c>
      <c r="C58" s="17">
        <f t="shared" si="2"/>
        <v>359823676.50127995</v>
      </c>
      <c r="D58" s="17">
        <f t="shared" si="2"/>
        <v>189593894.950165</v>
      </c>
      <c r="E58" s="17">
        <f t="shared" si="2"/>
        <v>163801063.37174499</v>
      </c>
      <c r="F58" s="17">
        <f t="shared" si="2"/>
        <v>112703339.82052</v>
      </c>
      <c r="G58" s="9">
        <f t="shared" si="2"/>
        <v>266518.61444999999</v>
      </c>
      <c r="H58" s="9">
        <f t="shared" si="2"/>
        <v>240477.49119999999</v>
      </c>
      <c r="I58" s="9">
        <f t="shared" si="2"/>
        <v>201035.44855</v>
      </c>
      <c r="J58" s="9">
        <f t="shared" si="2"/>
        <v>116570.38035000001</v>
      </c>
      <c r="K58" s="9">
        <f t="shared" si="2"/>
        <v>75430.450800000006</v>
      </c>
    </row>
    <row r="59" spans="1:11">
      <c r="A59" t="s">
        <v>24</v>
      </c>
      <c r="B59" s="16">
        <f t="shared" ref="B59:K59" si="3">(B46+B49)/2</f>
        <v>544464334.78060007</v>
      </c>
      <c r="C59" s="17">
        <f t="shared" si="3"/>
        <v>495240132.00099999</v>
      </c>
      <c r="D59" s="17">
        <f t="shared" si="3"/>
        <v>320662061.78729999</v>
      </c>
      <c r="E59" s="17">
        <f t="shared" si="3"/>
        <v>396282908.92930001</v>
      </c>
      <c r="F59" s="17">
        <f t="shared" si="3"/>
        <v>39121779.103049994</v>
      </c>
      <c r="G59" s="9">
        <f t="shared" si="3"/>
        <v>41765667.453999996</v>
      </c>
      <c r="H59" s="9">
        <f t="shared" si="3"/>
        <v>38917156.590000004</v>
      </c>
      <c r="I59" s="9">
        <f t="shared" si="3"/>
        <v>32094218.666999999</v>
      </c>
      <c r="J59" s="9">
        <f t="shared" si="3"/>
        <v>25579690.452</v>
      </c>
      <c r="K59" s="9">
        <f t="shared" si="3"/>
        <v>2846658.6495000003</v>
      </c>
    </row>
    <row r="60" spans="1:11">
      <c r="B60" s="16"/>
      <c r="C60" s="27"/>
      <c r="D60" s="27"/>
      <c r="E60" s="27"/>
      <c r="F60" s="27"/>
      <c r="G60" s="9"/>
      <c r="H60" s="3"/>
      <c r="I60" s="3"/>
      <c r="J60" s="3"/>
      <c r="K60" s="3"/>
    </row>
    <row r="63" spans="1:11">
      <c r="A63" s="8" t="s">
        <v>16</v>
      </c>
    </row>
    <row r="65" spans="1:13" s="10" customFormat="1">
      <c r="B65" s="25" t="s">
        <v>1</v>
      </c>
      <c r="C65" s="26" t="s">
        <v>2</v>
      </c>
      <c r="D65" s="26" t="s">
        <v>3</v>
      </c>
      <c r="E65" s="26" t="s">
        <v>4</v>
      </c>
      <c r="F65" s="26" t="s">
        <v>5</v>
      </c>
      <c r="G65" s="13" t="s">
        <v>1</v>
      </c>
      <c r="H65" s="13" t="s">
        <v>2</v>
      </c>
      <c r="I65" s="13" t="s">
        <v>4</v>
      </c>
      <c r="J65" s="13" t="s">
        <v>3</v>
      </c>
      <c r="K65" s="13" t="s">
        <v>5</v>
      </c>
    </row>
    <row r="66" spans="1:13">
      <c r="A66" t="s">
        <v>17</v>
      </c>
      <c r="B66" s="29">
        <f t="shared" ref="B66:K66" si="4">B58/B55</f>
        <v>0.99992311066186979</v>
      </c>
      <c r="C66" s="29">
        <f t="shared" si="4"/>
        <v>0.9280098028774989</v>
      </c>
      <c r="D66" s="29">
        <f t="shared" si="4"/>
        <v>0.93666306525069332</v>
      </c>
      <c r="E66" s="29">
        <f t="shared" si="4"/>
        <v>0.91049314083564559</v>
      </c>
      <c r="F66" s="29">
        <f t="shared" si="4"/>
        <v>1.3684220280201518</v>
      </c>
      <c r="G66" s="15">
        <f>G58/G55</f>
        <v>2.9526534833101574</v>
      </c>
      <c r="H66" s="15">
        <f t="shared" si="4"/>
        <v>3.6619768004847146</v>
      </c>
      <c r="I66" s="15">
        <f t="shared" si="4"/>
        <v>3.5703115136686256</v>
      </c>
      <c r="J66" s="15">
        <f t="shared" si="4"/>
        <v>3.4720285992120714</v>
      </c>
      <c r="K66" s="15">
        <f t="shared" si="4"/>
        <v>3.0187936309598071</v>
      </c>
      <c r="L66" s="31"/>
      <c r="M66" s="32"/>
    </row>
    <row r="67" spans="1:13">
      <c r="A67" t="s">
        <v>18</v>
      </c>
      <c r="B67" s="29">
        <f t="shared" ref="B67:K67" si="5">B59/B56</f>
        <v>0.99987542033632459</v>
      </c>
      <c r="C67" s="29">
        <f t="shared" si="5"/>
        <v>1.0386079384201024</v>
      </c>
      <c r="D67" s="29">
        <f t="shared" si="5"/>
        <v>1.0703153579308318</v>
      </c>
      <c r="E67" s="29">
        <f t="shared" si="5"/>
        <v>1.0873162330185202</v>
      </c>
      <c r="F67" s="29">
        <f t="shared" si="5"/>
        <v>0.89823458859033922</v>
      </c>
      <c r="G67" s="15">
        <f>G59/G56</f>
        <v>1.304765043361461</v>
      </c>
      <c r="H67" s="15">
        <f t="shared" si="5"/>
        <v>1.2701527417663998</v>
      </c>
      <c r="I67" s="15">
        <f t="shared" si="5"/>
        <v>1.2149350957605811</v>
      </c>
      <c r="J67" s="15">
        <f t="shared" si="5"/>
        <v>1.2781224807506943</v>
      </c>
      <c r="K67" s="15">
        <f t="shared" si="5"/>
        <v>1.8423417392635033</v>
      </c>
      <c r="L67" s="31"/>
      <c r="M67" s="33"/>
    </row>
    <row r="68" spans="1:13">
      <c r="B68" s="29"/>
      <c r="C68" s="29"/>
      <c r="D68" s="29"/>
      <c r="E68" s="29"/>
      <c r="F68" s="29"/>
      <c r="G68" s="15"/>
      <c r="H68" s="15"/>
      <c r="I68" s="15"/>
      <c r="J68" s="15"/>
      <c r="K68" s="15"/>
      <c r="L68" s="33"/>
      <c r="M68" s="33"/>
    </row>
    <row r="69" spans="1:13">
      <c r="A69" t="s">
        <v>32</v>
      </c>
      <c r="B69" s="29">
        <f t="shared" ref="B69:K69" si="6">B56/B55</f>
        <v>0.99997275982575928</v>
      </c>
      <c r="C69" s="29">
        <f t="shared" si="6"/>
        <v>1.2297788513058348</v>
      </c>
      <c r="D69" s="29">
        <f t="shared" si="6"/>
        <v>1.4801129901307026</v>
      </c>
      <c r="E69" s="29">
        <f t="shared" si="6"/>
        <v>2.0258600117556838</v>
      </c>
      <c r="F69" s="29">
        <f t="shared" si="6"/>
        <v>0.52882513942126486</v>
      </c>
      <c r="G69" s="15">
        <f t="shared" si="6"/>
        <v>354.62720466278836</v>
      </c>
      <c r="H69" s="15">
        <f t="shared" si="6"/>
        <v>466.58020325089342</v>
      </c>
      <c r="I69" s="15">
        <f t="shared" si="6"/>
        <v>469.1451130550023</v>
      </c>
      <c r="J69" s="15">
        <f t="shared" si="6"/>
        <v>596.09831098660925</v>
      </c>
      <c r="K69" s="15">
        <f t="shared" si="6"/>
        <v>61.837499986367888</v>
      </c>
      <c r="L69" s="31"/>
      <c r="M69" s="31"/>
    </row>
    <row r="70" spans="1:13">
      <c r="A70" t="s">
        <v>33</v>
      </c>
      <c r="B70" s="29">
        <f t="shared" ref="B70:K70" si="7">B59/B58</f>
        <v>0.99992506713224727</v>
      </c>
      <c r="C70" s="29">
        <f t="shared" si="7"/>
        <v>1.3763411480212542</v>
      </c>
      <c r="D70" s="29">
        <f t="shared" si="7"/>
        <v>1.691310059702009</v>
      </c>
      <c r="E70" s="29">
        <f t="shared" si="7"/>
        <v>2.4192938725308495</v>
      </c>
      <c r="F70" s="29">
        <f t="shared" si="7"/>
        <v>0.3471217371672517</v>
      </c>
      <c r="G70" s="15">
        <f t="shared" si="7"/>
        <v>156.70825672041533</v>
      </c>
      <c r="H70" s="15">
        <f t="shared" si="7"/>
        <v>161.83284512741957</v>
      </c>
      <c r="I70" s="15">
        <f t="shared" si="7"/>
        <v>159.64457461847965</v>
      </c>
      <c r="J70" s="15">
        <f t="shared" si="7"/>
        <v>219.43559225935044</v>
      </c>
      <c r="K70" s="15">
        <f t="shared" si="7"/>
        <v>37.738852403888856</v>
      </c>
      <c r="L70" s="31"/>
      <c r="M70" s="33"/>
    </row>
    <row r="75" spans="1:13">
      <c r="C75" t="s">
        <v>26</v>
      </c>
      <c r="E75" t="s">
        <v>27</v>
      </c>
      <c r="G75" t="s">
        <v>28</v>
      </c>
      <c r="I75" t="s">
        <v>29</v>
      </c>
    </row>
    <row r="77" spans="1:13">
      <c r="C77" s="30">
        <v>2.9526534799999999</v>
      </c>
      <c r="E77" s="30">
        <v>1.3047650399999999</v>
      </c>
      <c r="G77" s="30">
        <v>354.627205</v>
      </c>
      <c r="I77" s="30">
        <v>156.708257</v>
      </c>
    </row>
    <row r="78" spans="1:13">
      <c r="C78" s="30">
        <v>3.6619768000000001</v>
      </c>
      <c r="E78" s="30">
        <v>1.2701527399999999</v>
      </c>
      <c r="G78" s="30">
        <v>466.58020299999998</v>
      </c>
      <c r="I78" s="30">
        <v>161.83284499999999</v>
      </c>
    </row>
    <row r="79" spans="1:13">
      <c r="C79" s="30">
        <v>3.5703115099999998</v>
      </c>
      <c r="E79" s="30">
        <v>1.2149350999999999</v>
      </c>
      <c r="G79" s="30">
        <v>469.14511299999998</v>
      </c>
      <c r="I79" s="30">
        <v>159.644575</v>
      </c>
    </row>
    <row r="80" spans="1:13">
      <c r="C80" s="30">
        <v>3.4720285999999998</v>
      </c>
      <c r="E80" s="30">
        <v>1.2781224799999999</v>
      </c>
      <c r="G80" s="30">
        <v>596.09831099999997</v>
      </c>
      <c r="I80" s="30">
        <v>219.43559200000001</v>
      </c>
    </row>
    <row r="81" spans="2:9">
      <c r="C81" s="30">
        <v>3.0187936299999998</v>
      </c>
      <c r="E81" s="30">
        <v>1.8423417399999999</v>
      </c>
      <c r="G81" s="30">
        <v>61.837499999999999</v>
      </c>
      <c r="I81" s="30">
        <v>37.738852399999999</v>
      </c>
    </row>
    <row r="82" spans="2:9">
      <c r="B82" s="35" t="s">
        <v>30</v>
      </c>
      <c r="C82" s="35">
        <f>AVERAGE(C77:C81)</f>
        <v>3.3351528039999998</v>
      </c>
      <c r="D82" s="35"/>
      <c r="E82" s="35">
        <f>AVERAGE(E77:E81)</f>
        <v>1.3820634200000002</v>
      </c>
      <c r="F82" s="35"/>
      <c r="G82" s="35">
        <f>AVERAGE(G77:G81)</f>
        <v>389.65766640000004</v>
      </c>
      <c r="H82" s="35"/>
      <c r="I82" s="35">
        <f t="shared" ref="I82" si="8">AVERAGE(I77:I81)</f>
        <v>147.07202428000002</v>
      </c>
    </row>
    <row r="83" spans="2:9">
      <c r="B83" t="s">
        <v>31</v>
      </c>
      <c r="C83">
        <f>STDEV(C77:C81)</f>
        <v>0.32681699188309621</v>
      </c>
      <c r="E83">
        <f t="shared" ref="E83:I83" si="9">STDEV(E77:E81)</f>
        <v>0.25936979684651684</v>
      </c>
      <c r="G83">
        <f t="shared" si="9"/>
        <v>202.20426879226002</v>
      </c>
      <c r="I83">
        <f t="shared" si="9"/>
        <v>66.443653285091074</v>
      </c>
    </row>
    <row r="84" spans="2:9">
      <c r="B84" t="s">
        <v>36</v>
      </c>
      <c r="C84">
        <f>(C83/(SQRT(5)))</f>
        <v>0.14615700201052001</v>
      </c>
      <c r="E84">
        <f>(E83/(SQRT(5)))</f>
        <v>0.11599369941182444</v>
      </c>
      <c r="G84">
        <f t="shared" ref="G84" si="10">(G83/(SQRT(5)))</f>
        <v>90.428498072026542</v>
      </c>
      <c r="I84">
        <f t="shared" ref="I84" si="11">(I83/(SQRT(5)))</f>
        <v>29.714505083778171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S5</vt:lpstr>
    </vt:vector>
  </TitlesOfParts>
  <Company>Bruker Customer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dcterms:created xsi:type="dcterms:W3CDTF">2019-08-03T05:58:23Z</dcterms:created>
  <dcterms:modified xsi:type="dcterms:W3CDTF">2019-12-31T05:56:55Z</dcterms:modified>
</cp:coreProperties>
</file>