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ngqianliu/Desktop/MY_PAPER/revision/Supplementary_files_484104/"/>
    </mc:Choice>
  </mc:AlternateContent>
  <xr:revisionPtr revIDLastSave="0" documentId="13_ncr:1_{62097725-8F99-9746-A03E-4F016C93A98A}" xr6:coauthVersionLast="36" xr6:coauthVersionMax="40" xr10:uidLastSave="{00000000-0000-0000-0000-000000000000}"/>
  <bookViews>
    <workbookView xWindow="980" yWindow="460" windowWidth="24620" windowHeight="14260" activeTab="3" xr2:uid="{204A1362-5D48-43A7-9A13-FAA07C4ED5DC}"/>
  </bookViews>
  <sheets>
    <sheet name="All Pixel Densities" sheetId="5" r:id="rId1"/>
    <sheet name="Ladder Standards" sheetId="9" r:id="rId2"/>
    <sheet name="DNA Measurements" sheetId="10" r:id="rId3"/>
    <sheet name="DNA Ladder Dilutions" sheetId="7" r:id="rId4"/>
  </sheets>
  <calcPr calcId="179021" calcMode="autoNoTable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6" i="10" l="1"/>
  <c r="BF5" i="10"/>
  <c r="BF4" i="10"/>
  <c r="BC12" i="10"/>
  <c r="BC11" i="10"/>
  <c r="BC10" i="10"/>
  <c r="BC9" i="10"/>
  <c r="BC8" i="10"/>
  <c r="BC7" i="10"/>
  <c r="BC6" i="10"/>
  <c r="BC5" i="10"/>
  <c r="BC4" i="10"/>
  <c r="BB14" i="10"/>
  <c r="BE14" i="10"/>
  <c r="BB15" i="10"/>
  <c r="BE15" i="10"/>
  <c r="BB16" i="10"/>
  <c r="BB17" i="10"/>
  <c r="BE17" i="10"/>
  <c r="BB18" i="10"/>
  <c r="BE18" i="10"/>
  <c r="BB19" i="10"/>
  <c r="BB20" i="10"/>
  <c r="BE20" i="10"/>
  <c r="BB21" i="10"/>
  <c r="BE21" i="10"/>
  <c r="BB22" i="10"/>
  <c r="AS39" i="10"/>
  <c r="Z46" i="10"/>
  <c r="AA4" i="10"/>
  <c r="AA5" i="10"/>
  <c r="Z21" i="10"/>
  <c r="Z20" i="10"/>
  <c r="Z19" i="10"/>
  <c r="Z18" i="10"/>
  <c r="Z17" i="10"/>
  <c r="Z16" i="10"/>
  <c r="Z5" i="10"/>
  <c r="Z6" i="10"/>
  <c r="Z7" i="10"/>
  <c r="Z8" i="10"/>
  <c r="Z9" i="10"/>
  <c r="Z4" i="10"/>
  <c r="Q11" i="10"/>
  <c r="Q12" i="10"/>
  <c r="Q13" i="10"/>
  <c r="Q14" i="10"/>
  <c r="Q15" i="10"/>
  <c r="Q10" i="10"/>
  <c r="Q17" i="10"/>
  <c r="Q18" i="10"/>
  <c r="Q19" i="10"/>
  <c r="Q20" i="10"/>
  <c r="Q21" i="10"/>
  <c r="Q16" i="10"/>
  <c r="Q5" i="10"/>
  <c r="Q6" i="10"/>
  <c r="Q7" i="10"/>
  <c r="Q8" i="10"/>
  <c r="Q9" i="10"/>
  <c r="Q4" i="10"/>
  <c r="AI4" i="10"/>
  <c r="AI5" i="10"/>
  <c r="AJ4" i="10"/>
  <c r="AJ5" i="10"/>
  <c r="Y16" i="10"/>
  <c r="Y17" i="10"/>
  <c r="R17" i="10"/>
  <c r="R18" i="10"/>
  <c r="R19" i="10"/>
  <c r="R20" i="10"/>
  <c r="R21" i="10"/>
  <c r="R16" i="10"/>
  <c r="P17" i="10"/>
  <c r="T17" i="10"/>
  <c r="P18" i="10"/>
  <c r="P19" i="10"/>
  <c r="P20" i="10"/>
  <c r="P21" i="10"/>
  <c r="P16" i="10"/>
  <c r="T16" i="10"/>
  <c r="BE12" i="10"/>
  <c r="BE22" i="10"/>
  <c r="BE11" i="10"/>
  <c r="BE19" i="10"/>
  <c r="BE10" i="10"/>
  <c r="BE16" i="10"/>
  <c r="S20" i="10"/>
  <c r="S16" i="10"/>
  <c r="S18" i="10"/>
  <c r="T19" i="10"/>
  <c r="S21" i="10"/>
  <c r="AO20" i="10"/>
  <c r="AQ20" i="10"/>
  <c r="T20" i="10"/>
  <c r="T18" i="10"/>
  <c r="S19" i="10"/>
  <c r="S17" i="10"/>
  <c r="T21" i="10"/>
  <c r="R39" i="10"/>
  <c r="Q28" i="10"/>
  <c r="Q29" i="10"/>
  <c r="Q27" i="10"/>
  <c r="P28" i="10"/>
  <c r="P29" i="10"/>
  <c r="P27" i="10"/>
  <c r="R28" i="10"/>
  <c r="R29" i="10"/>
  <c r="R27" i="10"/>
  <c r="R11" i="10"/>
  <c r="R12" i="10"/>
  <c r="R13" i="10"/>
  <c r="R14" i="10"/>
  <c r="R15" i="10"/>
  <c r="R10" i="10"/>
  <c r="P11" i="10"/>
  <c r="P12" i="10"/>
  <c r="P13" i="10"/>
  <c r="P14" i="10"/>
  <c r="P15" i="10"/>
  <c r="P10" i="10"/>
  <c r="D22" i="9"/>
  <c r="D32" i="9"/>
  <c r="D42" i="9"/>
  <c r="D21" i="9"/>
  <c r="D31" i="9"/>
  <c r="D41" i="9"/>
  <c r="D20" i="9"/>
  <c r="D30" i="9"/>
  <c r="D40" i="9"/>
  <c r="D19" i="9"/>
  <c r="D29" i="9"/>
  <c r="D39" i="9"/>
  <c r="D18" i="9"/>
  <c r="D28" i="9"/>
  <c r="D38" i="9"/>
  <c r="D17" i="9"/>
  <c r="D27" i="9"/>
  <c r="D37" i="9"/>
  <c r="D16" i="9"/>
  <c r="D26" i="9"/>
  <c r="D36" i="9"/>
  <c r="D15" i="9"/>
  <c r="D25" i="9"/>
  <c r="D35" i="9"/>
  <c r="D14" i="9"/>
  <c r="D24" i="9"/>
  <c r="D34" i="9"/>
  <c r="D13" i="9"/>
  <c r="D23" i="9"/>
  <c r="D33" i="9"/>
  <c r="AO16" i="10"/>
  <c r="AQ16" i="10"/>
  <c r="AO18" i="10"/>
  <c r="AQ18" i="10"/>
  <c r="S10" i="10"/>
  <c r="P24" i="10"/>
  <c r="R24" i="10"/>
  <c r="AQ55" i="10"/>
  <c r="AR55" i="10"/>
  <c r="AS55" i="10"/>
  <c r="AT55" i="10"/>
  <c r="AQ54" i="10"/>
  <c r="AR54" i="10"/>
  <c r="AS54" i="10"/>
  <c r="AT54" i="10"/>
  <c r="AJ32" i="10"/>
  <c r="AJ33" i="10"/>
  <c r="AJ31" i="10"/>
  <c r="AJ25" i="10"/>
  <c r="AJ26" i="10"/>
  <c r="AJ27" i="10"/>
  <c r="AJ28" i="10"/>
  <c r="AJ29" i="10"/>
  <c r="AJ24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H26" i="10"/>
  <c r="AH27" i="10"/>
  <c r="AH28" i="10"/>
  <c r="AH29" i="10"/>
  <c r="AI32" i="10"/>
  <c r="AI33" i="10"/>
  <c r="AI31" i="10"/>
  <c r="AI25" i="10"/>
  <c r="AI26" i="10"/>
  <c r="AI27" i="10"/>
  <c r="AI28" i="10"/>
  <c r="AI29" i="10"/>
  <c r="AI24" i="10"/>
  <c r="AI6" i="10"/>
  <c r="AI7" i="10"/>
  <c r="AI8" i="10"/>
  <c r="AI9" i="10"/>
  <c r="AI10" i="10"/>
  <c r="AI11" i="10"/>
  <c r="AI12" i="10"/>
  <c r="AI13" i="10"/>
  <c r="AI14" i="10"/>
  <c r="AI15" i="10"/>
  <c r="AI16" i="10"/>
  <c r="AI17" i="10"/>
  <c r="AI18" i="10"/>
  <c r="AI19" i="10"/>
  <c r="AI20" i="10"/>
  <c r="AI21" i="10"/>
  <c r="AH32" i="10"/>
  <c r="AH33" i="10"/>
  <c r="AH31" i="10"/>
  <c r="AH6" i="10"/>
  <c r="AH7" i="10"/>
  <c r="AH8" i="10"/>
  <c r="AH9" i="10"/>
  <c r="AH10" i="10"/>
  <c r="AH11" i="10"/>
  <c r="AH12" i="10"/>
  <c r="AH13" i="10"/>
  <c r="AH14" i="10"/>
  <c r="AH15" i="10"/>
  <c r="AH16" i="10"/>
  <c r="AH17" i="10"/>
  <c r="AH18" i="10"/>
  <c r="AH19" i="10"/>
  <c r="AH20" i="10"/>
  <c r="AH21" i="10"/>
  <c r="I32" i="10"/>
  <c r="H3" i="10"/>
  <c r="H4" i="10"/>
  <c r="I4" i="10"/>
  <c r="H5" i="10"/>
  <c r="I5" i="10"/>
  <c r="H6" i="10"/>
  <c r="I6" i="10"/>
  <c r="H7" i="10"/>
  <c r="I7" i="10"/>
  <c r="H8" i="10"/>
  <c r="I8" i="10"/>
  <c r="H9" i="10"/>
  <c r="I9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2" i="10"/>
  <c r="I22" i="10"/>
  <c r="H24" i="10"/>
  <c r="I24" i="10"/>
  <c r="H25" i="10"/>
  <c r="I25" i="10"/>
  <c r="H26" i="10"/>
  <c r="I26" i="10"/>
  <c r="H27" i="10"/>
  <c r="I27" i="10"/>
  <c r="H28" i="10"/>
  <c r="I28" i="10"/>
  <c r="I54" i="10"/>
  <c r="AL24" i="10"/>
  <c r="AK5" i="10"/>
  <c r="AL4" i="10"/>
  <c r="AL17" i="10"/>
  <c r="AK27" i="10"/>
  <c r="AW27" i="10"/>
  <c r="AY27" i="10"/>
  <c r="AK13" i="10"/>
  <c r="S24" i="10"/>
  <c r="AK29" i="10"/>
  <c r="AW29" i="10"/>
  <c r="AY29" i="10"/>
  <c r="AK28" i="10"/>
  <c r="AW28" i="10"/>
  <c r="AY28" i="10"/>
  <c r="AK17" i="10"/>
  <c r="AL9" i="10"/>
  <c r="AL27" i="10"/>
  <c r="T24" i="10"/>
  <c r="AK21" i="10"/>
  <c r="AL13" i="10"/>
  <c r="AL21" i="10"/>
  <c r="AL26" i="10"/>
  <c r="AK15" i="10"/>
  <c r="AK7" i="10"/>
  <c r="AL25" i="10"/>
  <c r="AL28" i="10"/>
  <c r="AK10" i="10"/>
  <c r="AL14" i="10"/>
  <c r="AK26" i="10"/>
  <c r="AW26" i="10"/>
  <c r="AY26" i="10"/>
  <c r="AL7" i="10"/>
  <c r="AL15" i="10"/>
  <c r="AK9" i="10"/>
  <c r="AL5" i="10"/>
  <c r="AK25" i="10"/>
  <c r="AW25" i="10"/>
  <c r="AY25" i="10"/>
  <c r="AK16" i="10"/>
  <c r="AL8" i="10"/>
  <c r="AK14" i="10"/>
  <c r="AK6" i="10"/>
  <c r="AK18" i="10"/>
  <c r="AK12" i="10"/>
  <c r="AK33" i="10"/>
  <c r="AW32" i="10"/>
  <c r="AY32" i="10"/>
  <c r="AL16" i="10"/>
  <c r="AK20" i="10"/>
  <c r="AW20" i="10"/>
  <c r="AY20" i="10"/>
  <c r="AK8" i="10"/>
  <c r="AL32" i="10"/>
  <c r="AK31" i="10"/>
  <c r="AW30" i="10"/>
  <c r="AY30" i="10"/>
  <c r="AL31" i="10"/>
  <c r="AK19" i="10"/>
  <c r="AL29" i="10"/>
  <c r="AK24" i="10"/>
  <c r="AW24" i="10"/>
  <c r="AY24" i="10"/>
  <c r="AL18" i="10"/>
  <c r="AK11" i="10"/>
  <c r="AL10" i="10"/>
  <c r="AL33" i="10"/>
  <c r="AK32" i="10"/>
  <c r="AW31" i="10"/>
  <c r="AY31" i="10"/>
  <c r="AL6" i="10"/>
  <c r="AL20" i="10"/>
  <c r="AL12" i="10"/>
  <c r="AL19" i="10"/>
  <c r="AL11" i="10"/>
  <c r="AK4" i="10"/>
  <c r="C2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54" i="10"/>
  <c r="D18" i="10"/>
  <c r="D14" i="10"/>
  <c r="B3" i="10"/>
  <c r="B12" i="10"/>
  <c r="B22" i="10"/>
  <c r="B30" i="10"/>
  <c r="B31" i="10"/>
  <c r="B32" i="10"/>
  <c r="B33" i="10"/>
  <c r="B5" i="10"/>
  <c r="B6" i="10"/>
  <c r="B7" i="10"/>
  <c r="B8" i="10"/>
  <c r="B9" i="10"/>
  <c r="B10" i="10"/>
  <c r="B11" i="10"/>
  <c r="B13" i="10"/>
  <c r="B14" i="10"/>
  <c r="B15" i="10"/>
  <c r="B16" i="10"/>
  <c r="B17" i="10"/>
  <c r="B18" i="10"/>
  <c r="B19" i="10"/>
  <c r="B20" i="10"/>
  <c r="B21" i="10"/>
  <c r="B23" i="10"/>
  <c r="B24" i="10"/>
  <c r="B25" i="10"/>
  <c r="B26" i="10"/>
  <c r="B27" i="10"/>
  <c r="B28" i="10"/>
  <c r="B29" i="10"/>
  <c r="B4" i="10"/>
  <c r="D32" i="5"/>
  <c r="D42" i="5"/>
  <c r="D52" i="5"/>
  <c r="D31" i="5"/>
  <c r="D41" i="5"/>
  <c r="D51" i="5"/>
  <c r="D30" i="5"/>
  <c r="D40" i="5"/>
  <c r="D50" i="5"/>
  <c r="D29" i="5"/>
  <c r="D39" i="5"/>
  <c r="D49" i="5"/>
  <c r="D28" i="5"/>
  <c r="D38" i="5"/>
  <c r="D48" i="5"/>
  <c r="D27" i="5"/>
  <c r="D37" i="5"/>
  <c r="D47" i="5"/>
  <c r="D26" i="5"/>
  <c r="D36" i="5"/>
  <c r="D46" i="5"/>
  <c r="D25" i="5"/>
  <c r="D35" i="5"/>
  <c r="D45" i="5"/>
  <c r="D24" i="5"/>
  <c r="D34" i="5"/>
  <c r="D44" i="5"/>
  <c r="D23" i="5"/>
  <c r="D33" i="5"/>
  <c r="D43" i="5"/>
  <c r="AQ53" i="10"/>
  <c r="AR53" i="10"/>
  <c r="AS53" i="10"/>
  <c r="AQ52" i="10"/>
  <c r="AR52" i="10"/>
  <c r="AS52" i="10"/>
  <c r="AT52" i="10"/>
  <c r="AQ51" i="10"/>
  <c r="AR51" i="10"/>
  <c r="AS51" i="10"/>
  <c r="AT51" i="10"/>
  <c r="AQ50" i="10"/>
  <c r="AR50" i="10"/>
  <c r="AS50" i="10"/>
  <c r="AT50" i="10"/>
  <c r="AU50" i="10"/>
  <c r="AQ49" i="10"/>
  <c r="AQ48" i="10"/>
  <c r="AR48" i="10"/>
  <c r="AS48" i="10"/>
  <c r="AT48" i="10"/>
  <c r="R37" i="10"/>
  <c r="R38" i="10"/>
  <c r="R40" i="10"/>
  <c r="R41" i="10"/>
  <c r="Q40" i="10"/>
  <c r="Q41" i="10"/>
  <c r="P40" i="10"/>
  <c r="P41" i="10"/>
  <c r="Q37" i="10"/>
  <c r="Q38" i="10"/>
  <c r="P37" i="10"/>
  <c r="P38" i="10"/>
  <c r="R25" i="10"/>
  <c r="R26" i="10"/>
  <c r="Q26" i="10"/>
  <c r="Q25" i="10"/>
  <c r="D3" i="10"/>
  <c r="E3" i="10"/>
  <c r="D5" i="10"/>
  <c r="E5" i="10"/>
  <c r="D6" i="10"/>
  <c r="E6" i="10"/>
  <c r="D7" i="10"/>
  <c r="E7" i="10"/>
  <c r="D8" i="10"/>
  <c r="E8" i="10"/>
  <c r="D9" i="10"/>
  <c r="E9" i="10"/>
  <c r="D10" i="10"/>
  <c r="E10" i="10"/>
  <c r="D11" i="10"/>
  <c r="E11" i="10"/>
  <c r="D12" i="10"/>
  <c r="E12" i="10"/>
  <c r="D13" i="10"/>
  <c r="E13" i="10"/>
  <c r="E14" i="10"/>
  <c r="D15" i="10"/>
  <c r="E15" i="10"/>
  <c r="D16" i="10"/>
  <c r="E16" i="10"/>
  <c r="D17" i="10"/>
  <c r="E17" i="10"/>
  <c r="E18" i="10"/>
  <c r="D19" i="10"/>
  <c r="E19" i="10"/>
  <c r="D20" i="10"/>
  <c r="E20" i="10"/>
  <c r="D21" i="10"/>
  <c r="E21" i="10"/>
  <c r="D22" i="10"/>
  <c r="E22" i="10"/>
  <c r="D23" i="10"/>
  <c r="E23" i="10"/>
  <c r="D24" i="10"/>
  <c r="E24" i="10"/>
  <c r="D25" i="10"/>
  <c r="E25" i="10"/>
  <c r="D26" i="10"/>
  <c r="E26" i="10"/>
  <c r="D27" i="10"/>
  <c r="E27" i="10"/>
  <c r="D28" i="10"/>
  <c r="E28" i="10"/>
  <c r="D29" i="10"/>
  <c r="E29" i="10"/>
  <c r="D30" i="10"/>
  <c r="E30" i="10"/>
  <c r="D31" i="10"/>
  <c r="E31" i="10"/>
  <c r="D32" i="10"/>
  <c r="E32" i="10"/>
  <c r="D33" i="10"/>
  <c r="E33" i="10"/>
  <c r="D34" i="10"/>
  <c r="E34" i="10"/>
  <c r="D35" i="10"/>
  <c r="E35" i="10"/>
  <c r="D36" i="10"/>
  <c r="E36" i="10"/>
  <c r="D37" i="10"/>
  <c r="E37" i="10"/>
  <c r="D38" i="10"/>
  <c r="E38" i="10"/>
  <c r="D39" i="10"/>
  <c r="E39" i="10"/>
  <c r="D40" i="10"/>
  <c r="E40" i="10"/>
  <c r="D41" i="10"/>
  <c r="E41" i="10"/>
  <c r="D42" i="10"/>
  <c r="E42" i="10"/>
  <c r="D43" i="10"/>
  <c r="E43" i="10"/>
  <c r="D44" i="10"/>
  <c r="E44" i="10"/>
  <c r="D45" i="10"/>
  <c r="E45" i="10"/>
  <c r="D46" i="10"/>
  <c r="E46" i="10"/>
  <c r="D47" i="10"/>
  <c r="E47" i="10"/>
  <c r="D48" i="10"/>
  <c r="E48" i="10"/>
  <c r="D49" i="10"/>
  <c r="E49" i="10"/>
  <c r="D50" i="10"/>
  <c r="E50" i="10"/>
  <c r="D51" i="10"/>
  <c r="E51" i="10"/>
  <c r="D52" i="10"/>
  <c r="E52" i="10"/>
  <c r="D53" i="10"/>
  <c r="E53" i="10"/>
  <c r="D54" i="10"/>
  <c r="E54" i="10"/>
  <c r="P6" i="10"/>
  <c r="P7" i="10"/>
  <c r="P8" i="10"/>
  <c r="P9" i="10"/>
  <c r="R5" i="10"/>
  <c r="R6" i="10"/>
  <c r="R7" i="10"/>
  <c r="R8" i="10"/>
  <c r="R9" i="10"/>
  <c r="R4" i="10"/>
  <c r="P25" i="10"/>
  <c r="P26" i="10"/>
  <c r="Z37" i="10"/>
  <c r="Z38" i="10"/>
  <c r="Z40" i="10"/>
  <c r="Z41" i="10"/>
  <c r="Z36" i="10"/>
  <c r="Y36" i="10"/>
  <c r="Y37" i="10"/>
  <c r="Y38" i="10"/>
  <c r="Y40" i="10"/>
  <c r="Y41" i="10"/>
  <c r="Y45" i="10"/>
  <c r="Y46" i="10"/>
  <c r="Y44" i="10"/>
  <c r="Z45" i="10"/>
  <c r="Z44" i="10"/>
  <c r="Y31" i="10"/>
  <c r="Y32" i="10"/>
  <c r="Y33" i="10"/>
  <c r="Z32" i="10"/>
  <c r="Z33" i="10"/>
  <c r="Z31" i="10"/>
  <c r="Y18" i="10"/>
  <c r="Y19" i="10"/>
  <c r="Y20" i="10"/>
  <c r="Y21" i="10"/>
  <c r="AA16" i="10"/>
  <c r="AA17" i="10"/>
  <c r="AA18" i="10"/>
  <c r="AA19" i="10"/>
  <c r="AA20" i="10"/>
  <c r="AA21" i="10"/>
  <c r="AA31" i="10"/>
  <c r="AA32" i="10"/>
  <c r="AA33" i="10"/>
  <c r="AA36" i="10"/>
  <c r="AA37" i="10"/>
  <c r="AA38" i="10"/>
  <c r="AA40" i="10"/>
  <c r="AA41" i="10"/>
  <c r="AA44" i="10"/>
  <c r="AA45" i="10"/>
  <c r="AA46" i="10"/>
  <c r="AA6" i="10"/>
  <c r="AA7" i="10"/>
  <c r="AA8" i="10"/>
  <c r="AA9" i="10"/>
  <c r="Y6" i="10"/>
  <c r="Y7" i="10"/>
  <c r="Y8" i="10"/>
  <c r="Y9" i="10"/>
  <c r="A2" i="10"/>
  <c r="A3" i="10"/>
  <c r="F3" i="10"/>
  <c r="G3" i="10"/>
  <c r="A4" i="10"/>
  <c r="F4" i="10"/>
  <c r="G4" i="10"/>
  <c r="F5" i="10"/>
  <c r="G5" i="10"/>
  <c r="F6" i="10"/>
  <c r="G6" i="10"/>
  <c r="F7" i="10"/>
  <c r="G7" i="10"/>
  <c r="F8" i="10"/>
  <c r="G8" i="10"/>
  <c r="F9" i="10"/>
  <c r="G9" i="10"/>
  <c r="A12" i="10"/>
  <c r="F12" i="10"/>
  <c r="G12" i="10"/>
  <c r="A13" i="10"/>
  <c r="F13" i="10"/>
  <c r="G13" i="10"/>
  <c r="A14" i="10"/>
  <c r="F14" i="10"/>
  <c r="G14" i="10"/>
  <c r="F15" i="10"/>
  <c r="G15" i="10"/>
  <c r="F16" i="10"/>
  <c r="G16" i="10"/>
  <c r="F17" i="10"/>
  <c r="G17" i="10"/>
  <c r="F18" i="10"/>
  <c r="G18" i="10"/>
  <c r="F19" i="10"/>
  <c r="G19" i="10"/>
  <c r="F20" i="10"/>
  <c r="G20" i="10"/>
  <c r="F22" i="10"/>
  <c r="G22" i="10"/>
  <c r="F23" i="10"/>
  <c r="G23" i="10"/>
  <c r="A24" i="10"/>
  <c r="F24" i="10"/>
  <c r="G24" i="10"/>
  <c r="F25" i="10"/>
  <c r="G25" i="10"/>
  <c r="F26" i="10"/>
  <c r="G26" i="10"/>
  <c r="F27" i="10"/>
  <c r="G27" i="10"/>
  <c r="F28" i="10"/>
  <c r="G28" i="10"/>
  <c r="F29" i="10"/>
  <c r="G29" i="10"/>
  <c r="F30" i="10"/>
  <c r="G30" i="10"/>
  <c r="F32" i="10"/>
  <c r="G32" i="10"/>
  <c r="F33" i="10"/>
  <c r="G33" i="10"/>
  <c r="A34" i="10"/>
  <c r="F34" i="10"/>
  <c r="G34" i="10"/>
  <c r="F35" i="10"/>
  <c r="G35" i="10"/>
  <c r="F36" i="10"/>
  <c r="G36" i="10"/>
  <c r="F37" i="10"/>
  <c r="G37" i="10"/>
  <c r="F38" i="10"/>
  <c r="G38" i="10"/>
  <c r="F39" i="10"/>
  <c r="G39" i="10"/>
  <c r="F40" i="10"/>
  <c r="G40" i="10"/>
  <c r="F42" i="10"/>
  <c r="G42" i="10"/>
  <c r="F43" i="10"/>
  <c r="G43" i="10"/>
  <c r="A44" i="10"/>
  <c r="F44" i="10"/>
  <c r="G44" i="10"/>
  <c r="F45" i="10"/>
  <c r="G45" i="10"/>
  <c r="F46" i="10"/>
  <c r="G46" i="10"/>
  <c r="F47" i="10"/>
  <c r="G47" i="10"/>
  <c r="F48" i="10"/>
  <c r="G48" i="10"/>
  <c r="F49" i="10"/>
  <c r="G49" i="10"/>
  <c r="F50" i="10"/>
  <c r="G50" i="10"/>
  <c r="F52" i="10"/>
  <c r="G52" i="10"/>
  <c r="A54" i="10"/>
  <c r="F54" i="10"/>
  <c r="G54" i="10"/>
  <c r="N33" i="9"/>
  <c r="N43" i="9"/>
  <c r="Z43" i="5"/>
  <c r="Z53" i="5"/>
  <c r="P32" i="5"/>
  <c r="P42" i="5"/>
  <c r="P52" i="5"/>
  <c r="P62" i="5"/>
  <c r="P31" i="5"/>
  <c r="P41" i="5"/>
  <c r="P51" i="5"/>
  <c r="P61" i="5"/>
  <c r="P30" i="5"/>
  <c r="P40" i="5"/>
  <c r="P50" i="5"/>
  <c r="P60" i="5"/>
  <c r="P29" i="5"/>
  <c r="P39" i="5"/>
  <c r="P49" i="5"/>
  <c r="P59" i="5"/>
  <c r="P28" i="5"/>
  <c r="P38" i="5"/>
  <c r="P48" i="5"/>
  <c r="P58" i="5"/>
  <c r="P27" i="5"/>
  <c r="P37" i="5"/>
  <c r="P47" i="5"/>
  <c r="P57" i="5"/>
  <c r="P26" i="5"/>
  <c r="P36" i="5"/>
  <c r="P46" i="5"/>
  <c r="P56" i="5"/>
  <c r="P25" i="5"/>
  <c r="P35" i="5"/>
  <c r="P45" i="5"/>
  <c r="P55" i="5"/>
  <c r="P24" i="5"/>
  <c r="P34" i="5"/>
  <c r="P44" i="5"/>
  <c r="P54" i="5"/>
  <c r="P23" i="5"/>
  <c r="P33" i="5"/>
  <c r="P43" i="5"/>
  <c r="P53" i="5"/>
  <c r="AC40" i="10"/>
  <c r="AW4" i="10"/>
  <c r="AY4" i="10"/>
  <c r="AW12" i="10"/>
  <c r="AY12" i="10"/>
  <c r="AW6" i="10"/>
  <c r="AY6" i="10"/>
  <c r="AW16" i="10"/>
  <c r="AY16" i="10"/>
  <c r="AW10" i="10"/>
  <c r="AY10" i="10"/>
  <c r="AW8" i="10"/>
  <c r="AY8" i="10"/>
  <c r="AW14" i="10"/>
  <c r="AY14" i="10"/>
  <c r="AW18" i="10"/>
  <c r="AY18" i="10"/>
  <c r="S15" i="10"/>
  <c r="S13" i="10"/>
  <c r="S11" i="10"/>
  <c r="S26" i="10"/>
  <c r="AO26" i="10"/>
  <c r="AQ26" i="10"/>
  <c r="T6" i="10"/>
  <c r="S7" i="10"/>
  <c r="S41" i="10"/>
  <c r="AO41" i="10"/>
  <c r="AQ41" i="10"/>
  <c r="T5" i="10"/>
  <c r="AO36" i="10"/>
  <c r="T39" i="10"/>
  <c r="T38" i="10"/>
  <c r="S37" i="10"/>
  <c r="AO37" i="10"/>
  <c r="AQ37" i="10"/>
  <c r="S25" i="10"/>
  <c r="AO25" i="10"/>
  <c r="AQ25" i="10"/>
  <c r="S8" i="10"/>
  <c r="S14" i="10"/>
  <c r="T40" i="10"/>
  <c r="T4" i="10"/>
  <c r="S12" i="10"/>
  <c r="S6" i="10"/>
  <c r="S40" i="10"/>
  <c r="AO40" i="10"/>
  <c r="AQ40" i="10"/>
  <c r="S39" i="10"/>
  <c r="AO39" i="10"/>
  <c r="AQ39" i="10"/>
  <c r="S9" i="10"/>
  <c r="S5" i="10"/>
  <c r="S38" i="10"/>
  <c r="AO38" i="10"/>
  <c r="AQ38" i="10"/>
  <c r="AC44" i="10"/>
  <c r="T37" i="10"/>
  <c r="AC46" i="10"/>
  <c r="T9" i="10"/>
  <c r="T8" i="10"/>
  <c r="T41" i="10"/>
  <c r="T7" i="10"/>
  <c r="AB31" i="10"/>
  <c r="AS30" i="10"/>
  <c r="AU30" i="10"/>
  <c r="AO24" i="10"/>
  <c r="AQ24" i="10"/>
  <c r="AR49" i="10"/>
  <c r="AS49" i="10"/>
  <c r="AT49" i="10"/>
  <c r="AC32" i="10"/>
  <c r="AB44" i="10"/>
  <c r="AS42" i="10"/>
  <c r="AU42" i="10"/>
  <c r="AB46" i="10"/>
  <c r="AC33" i="10"/>
  <c r="AB45" i="10"/>
  <c r="AC31" i="10"/>
  <c r="AC45" i="10"/>
  <c r="AB33" i="10"/>
  <c r="AS32" i="10"/>
  <c r="AU32" i="10"/>
  <c r="AB32" i="10"/>
  <c r="AS31" i="10"/>
  <c r="AU31" i="10"/>
  <c r="AC4" i="10"/>
  <c r="T43" i="5"/>
  <c r="T53" i="5"/>
  <c r="E28" i="7"/>
  <c r="F28" i="7"/>
  <c r="G28" i="7"/>
  <c r="H28" i="7"/>
  <c r="E29" i="7"/>
  <c r="F29" i="7"/>
  <c r="G29" i="7"/>
  <c r="H29" i="7"/>
  <c r="E30" i="7"/>
  <c r="F30" i="7"/>
  <c r="G30" i="7"/>
  <c r="H30" i="7"/>
  <c r="E31" i="7"/>
  <c r="F31" i="7"/>
  <c r="G31" i="7"/>
  <c r="H31" i="7"/>
  <c r="E32" i="7"/>
  <c r="F32" i="7"/>
  <c r="G32" i="7"/>
  <c r="H32" i="7"/>
  <c r="E33" i="7"/>
  <c r="F33" i="7"/>
  <c r="G33" i="7"/>
  <c r="H33" i="7"/>
  <c r="E34" i="7"/>
  <c r="F34" i="7"/>
  <c r="G34" i="7"/>
  <c r="H34" i="7"/>
  <c r="E35" i="7"/>
  <c r="F35" i="7"/>
  <c r="G35" i="7"/>
  <c r="H35" i="7"/>
  <c r="E36" i="7"/>
  <c r="F36" i="7"/>
  <c r="G36" i="7"/>
  <c r="H36" i="7"/>
  <c r="E37" i="7"/>
  <c r="F37" i="7"/>
  <c r="G37" i="7"/>
  <c r="H37" i="7"/>
  <c r="E38" i="7"/>
  <c r="F38" i="7"/>
  <c r="G38" i="7"/>
  <c r="H38" i="7"/>
  <c r="D29" i="7"/>
  <c r="D30" i="7"/>
  <c r="D31" i="7"/>
  <c r="D32" i="7"/>
  <c r="D33" i="7"/>
  <c r="D34" i="7"/>
  <c r="D35" i="7"/>
  <c r="D36" i="7"/>
  <c r="D37" i="7"/>
  <c r="D38" i="7"/>
  <c r="D28" i="7"/>
  <c r="C29" i="7"/>
  <c r="C30" i="7"/>
  <c r="C31" i="7"/>
  <c r="C32" i="7"/>
  <c r="C33" i="7"/>
  <c r="C34" i="7"/>
  <c r="C35" i="7"/>
  <c r="C36" i="7"/>
  <c r="C37" i="7"/>
  <c r="C38" i="7"/>
  <c r="C28" i="7"/>
  <c r="BD7" i="10"/>
  <c r="BD15" i="10"/>
  <c r="BD9" i="10"/>
  <c r="BD21" i="10"/>
  <c r="BC21" i="10"/>
  <c r="BC15" i="10"/>
  <c r="AO12" i="10"/>
  <c r="AQ12" i="10"/>
  <c r="AO14" i="10"/>
  <c r="AQ14" i="10"/>
  <c r="AO6" i="10"/>
  <c r="AQ6" i="10"/>
  <c r="AO8" i="10"/>
  <c r="AQ8" i="10"/>
  <c r="AC9" i="10"/>
  <c r="AC41" i="10"/>
  <c r="AB37" i="10"/>
  <c r="AS37" i="10"/>
  <c r="AU37" i="10"/>
  <c r="AC36" i="10"/>
  <c r="AC8" i="10"/>
  <c r="AB19" i="10"/>
  <c r="AB20" i="10"/>
  <c r="AB21" i="10"/>
  <c r="AC16" i="10"/>
  <c r="AB9" i="10"/>
  <c r="AC20" i="10"/>
  <c r="AB17" i="10"/>
  <c r="AB36" i="10"/>
  <c r="AS36" i="10"/>
  <c r="AU36" i="10"/>
  <c r="AC37" i="10"/>
  <c r="AB41" i="10"/>
  <c r="AS41" i="10"/>
  <c r="AU41" i="10"/>
  <c r="AB8" i="10"/>
  <c r="AB18" i="10"/>
  <c r="AB40" i="10"/>
  <c r="AB38" i="10"/>
  <c r="AS38" i="10"/>
  <c r="AU38" i="10"/>
  <c r="AB5" i="10"/>
  <c r="AS44" i="10"/>
  <c r="AU44" i="10"/>
  <c r="AS43" i="10"/>
  <c r="AU43" i="10"/>
  <c r="AB16" i="10"/>
  <c r="AC21" i="10"/>
  <c r="AC17" i="10"/>
  <c r="AC38" i="10"/>
  <c r="AC19" i="10"/>
  <c r="AB4" i="10"/>
  <c r="AB7" i="10"/>
  <c r="AC18" i="10"/>
  <c r="AB6" i="10"/>
  <c r="AC5" i="10"/>
  <c r="AC7" i="10"/>
  <c r="AC6" i="10"/>
  <c r="T15" i="10"/>
  <c r="T13" i="10"/>
  <c r="T10" i="10"/>
  <c r="J32" i="5"/>
  <c r="J42" i="5"/>
  <c r="J52" i="5"/>
  <c r="J62" i="5"/>
  <c r="J31" i="5"/>
  <c r="J41" i="5"/>
  <c r="J51" i="5"/>
  <c r="J61" i="5"/>
  <c r="J30" i="5"/>
  <c r="J40" i="5"/>
  <c r="J50" i="5"/>
  <c r="J60" i="5"/>
  <c r="J29" i="5"/>
  <c r="J39" i="5"/>
  <c r="J49" i="5"/>
  <c r="J59" i="5"/>
  <c r="J28" i="5"/>
  <c r="J38" i="5"/>
  <c r="J48" i="5"/>
  <c r="J58" i="5"/>
  <c r="J27" i="5"/>
  <c r="J37" i="5"/>
  <c r="J47" i="5"/>
  <c r="J57" i="5"/>
  <c r="J26" i="5"/>
  <c r="J36" i="5"/>
  <c r="J46" i="5"/>
  <c r="J56" i="5"/>
  <c r="J25" i="5"/>
  <c r="J35" i="5"/>
  <c r="J45" i="5"/>
  <c r="J55" i="5"/>
  <c r="J24" i="5"/>
  <c r="J34" i="5"/>
  <c r="J44" i="5"/>
  <c r="J54" i="5"/>
  <c r="J23" i="5"/>
  <c r="J33" i="5"/>
  <c r="J43" i="5"/>
  <c r="J53" i="5"/>
  <c r="I16" i="7"/>
  <c r="I17" i="7"/>
  <c r="I18" i="7"/>
  <c r="I19" i="7"/>
  <c r="I20" i="7"/>
  <c r="I21" i="7"/>
  <c r="I22" i="7"/>
  <c r="I23" i="7"/>
  <c r="I24" i="7"/>
  <c r="I25" i="7"/>
  <c r="I26" i="7"/>
  <c r="H17" i="7"/>
  <c r="H18" i="7"/>
  <c r="H19" i="7"/>
  <c r="H20" i="7"/>
  <c r="H21" i="7"/>
  <c r="H22" i="7"/>
  <c r="H23" i="7"/>
  <c r="H24" i="7"/>
  <c r="H25" i="7"/>
  <c r="H26" i="7"/>
  <c r="H16" i="7"/>
  <c r="G17" i="7"/>
  <c r="G18" i="7"/>
  <c r="G19" i="7"/>
  <c r="G20" i="7"/>
  <c r="G21" i="7"/>
  <c r="G22" i="7"/>
  <c r="G23" i="7"/>
  <c r="G24" i="7"/>
  <c r="G25" i="7"/>
  <c r="G26" i="7"/>
  <c r="G16" i="7"/>
  <c r="E16" i="7"/>
  <c r="E17" i="7"/>
  <c r="E18" i="7"/>
  <c r="E19" i="7"/>
  <c r="E20" i="7"/>
  <c r="E21" i="7"/>
  <c r="E22" i="7"/>
  <c r="E23" i="7"/>
  <c r="E24" i="7"/>
  <c r="E25" i="7"/>
  <c r="E26" i="7"/>
  <c r="D17" i="7"/>
  <c r="D18" i="7"/>
  <c r="D19" i="7"/>
  <c r="D20" i="7"/>
  <c r="D21" i="7"/>
  <c r="D22" i="7"/>
  <c r="D23" i="7"/>
  <c r="D24" i="7"/>
  <c r="D25" i="7"/>
  <c r="D26" i="7"/>
  <c r="D16" i="7"/>
  <c r="C17" i="7"/>
  <c r="C18" i="7"/>
  <c r="C19" i="7"/>
  <c r="C20" i="7"/>
  <c r="C21" i="7"/>
  <c r="C22" i="7"/>
  <c r="C23" i="7"/>
  <c r="C24" i="7"/>
  <c r="C25" i="7"/>
  <c r="C26" i="7"/>
  <c r="C16" i="7"/>
  <c r="C4" i="7"/>
  <c r="D4" i="7"/>
  <c r="E4" i="7"/>
  <c r="F4" i="7"/>
  <c r="G4" i="7"/>
  <c r="H4" i="7"/>
  <c r="I4" i="7"/>
  <c r="C5" i="7"/>
  <c r="D5" i="7"/>
  <c r="E5" i="7"/>
  <c r="F5" i="7"/>
  <c r="G5" i="7"/>
  <c r="H5" i="7"/>
  <c r="I5" i="7"/>
  <c r="C6" i="7"/>
  <c r="D6" i="7"/>
  <c r="E6" i="7"/>
  <c r="F6" i="7"/>
  <c r="G6" i="7"/>
  <c r="H6" i="7"/>
  <c r="I6" i="7"/>
  <c r="C7" i="7"/>
  <c r="D7" i="7"/>
  <c r="E7" i="7"/>
  <c r="F7" i="7"/>
  <c r="G7" i="7"/>
  <c r="H7" i="7"/>
  <c r="I7" i="7"/>
  <c r="C8" i="7"/>
  <c r="D8" i="7"/>
  <c r="E8" i="7"/>
  <c r="F8" i="7"/>
  <c r="G8" i="7"/>
  <c r="H8" i="7"/>
  <c r="I8" i="7"/>
  <c r="C9" i="7"/>
  <c r="D9" i="7"/>
  <c r="E9" i="7"/>
  <c r="F9" i="7"/>
  <c r="G9" i="7"/>
  <c r="H9" i="7"/>
  <c r="I9" i="7"/>
  <c r="C10" i="7"/>
  <c r="D10" i="7"/>
  <c r="E10" i="7"/>
  <c r="F10" i="7"/>
  <c r="G10" i="7"/>
  <c r="H10" i="7"/>
  <c r="I10" i="7"/>
  <c r="C11" i="7"/>
  <c r="D11" i="7"/>
  <c r="E11" i="7"/>
  <c r="F11" i="7"/>
  <c r="G11" i="7"/>
  <c r="H11" i="7"/>
  <c r="I11" i="7"/>
  <c r="C12" i="7"/>
  <c r="D12" i="7"/>
  <c r="E12" i="7"/>
  <c r="F12" i="7"/>
  <c r="G12" i="7"/>
  <c r="H12" i="7"/>
  <c r="I12" i="7"/>
  <c r="C13" i="7"/>
  <c r="D13" i="7"/>
  <c r="E13" i="7"/>
  <c r="F13" i="7"/>
  <c r="G13" i="7"/>
  <c r="H13" i="7"/>
  <c r="I13" i="7"/>
  <c r="C3" i="7"/>
  <c r="D3" i="7"/>
  <c r="E3" i="7"/>
  <c r="F3" i="7"/>
  <c r="G3" i="7"/>
  <c r="H3" i="7"/>
  <c r="I3" i="7"/>
  <c r="BG7" i="10"/>
  <c r="BG15" i="10"/>
  <c r="BF9" i="10"/>
  <c r="BF21" i="10"/>
  <c r="BF7" i="10"/>
  <c r="BF15" i="10"/>
  <c r="BG9" i="10"/>
  <c r="BG21" i="10"/>
  <c r="AS40" i="10"/>
  <c r="AU40" i="10"/>
  <c r="BD4" i="10"/>
  <c r="BD14" i="10"/>
  <c r="BC14" i="10"/>
  <c r="BC20" i="10"/>
  <c r="AS8" i="10"/>
  <c r="AU8" i="10"/>
  <c r="AS16" i="10"/>
  <c r="AU16" i="10"/>
  <c r="AS4" i="10"/>
  <c r="AU4" i="10"/>
  <c r="AS20" i="10"/>
  <c r="AU20" i="10"/>
  <c r="S28" i="10"/>
  <c r="AO28" i="10"/>
  <c r="AQ28" i="10"/>
  <c r="S27" i="10"/>
  <c r="AO27" i="10"/>
  <c r="AQ27" i="10"/>
  <c r="S29" i="10"/>
  <c r="AO29" i="10"/>
  <c r="AQ29" i="10"/>
  <c r="AS6" i="10"/>
  <c r="AU6" i="10"/>
  <c r="AS18" i="10"/>
  <c r="AU18" i="10"/>
  <c r="BD6" i="10"/>
  <c r="BD20" i="10"/>
  <c r="T28" i="10"/>
  <c r="T11" i="10"/>
  <c r="T25" i="10"/>
  <c r="T14" i="10"/>
  <c r="S4" i="10"/>
  <c r="AO4" i="10"/>
  <c r="AQ4" i="10"/>
  <c r="T26" i="10"/>
  <c r="T27" i="10"/>
  <c r="T29" i="10"/>
  <c r="T12" i="10"/>
  <c r="BD5" i="10"/>
  <c r="BD17" i="10"/>
  <c r="BC17" i="10"/>
  <c r="BG6" i="10"/>
  <c r="BG20" i="10"/>
  <c r="BF20" i="10"/>
  <c r="BF14" i="10"/>
  <c r="BG4" i="10"/>
  <c r="BG14" i="10"/>
  <c r="BD10" i="10"/>
  <c r="BD16" i="10"/>
  <c r="BC16" i="10"/>
  <c r="BD12" i="10"/>
  <c r="BD22" i="10"/>
  <c r="BC22" i="10"/>
  <c r="BD8" i="10"/>
  <c r="BD18" i="10"/>
  <c r="BC18" i="10"/>
  <c r="AO10" i="10"/>
  <c r="AQ10" i="10"/>
  <c r="BF17" i="10"/>
  <c r="BF8" i="10"/>
  <c r="BF18" i="10"/>
  <c r="BG8" i="10"/>
  <c r="BG18" i="10"/>
  <c r="BG5" i="10"/>
  <c r="BG17" i="10"/>
  <c r="BF12" i="10"/>
  <c r="BF22" i="10"/>
  <c r="BG12" i="10"/>
  <c r="BG22" i="10"/>
  <c r="BG10" i="10"/>
  <c r="BG16" i="10"/>
  <c r="BF10" i="10"/>
  <c r="BF16" i="10"/>
  <c r="BD11" i="10"/>
  <c r="BD19" i="10"/>
  <c r="BC19" i="10"/>
  <c r="BF11" i="10"/>
  <c r="BF19" i="10"/>
  <c r="BG11" i="10"/>
  <c r="BG19" i="10"/>
</calcChain>
</file>

<file path=xl/sharedStrings.xml><?xml version="1.0" encoding="utf-8"?>
<sst xmlns="http://schemas.openxmlformats.org/spreadsheetml/2006/main" count="446" uniqueCount="128">
  <si>
    <t>D.F</t>
  </si>
  <si>
    <t>Area</t>
  </si>
  <si>
    <t>Ladder</t>
  </si>
  <si>
    <t>Sample</t>
  </si>
  <si>
    <t>1x</t>
  </si>
  <si>
    <t>.5x</t>
  </si>
  <si>
    <t>.25x</t>
  </si>
  <si>
    <t>M13_2.0_0.4LA</t>
  </si>
  <si>
    <t>M13_1.0_0.4LA</t>
  </si>
  <si>
    <t>DNA (ng)</t>
  </si>
  <si>
    <t>DNA Size</t>
  </si>
  <si>
    <t>Pixel Area</t>
  </si>
  <si>
    <t>1kb Plus DNA Ladder</t>
  </si>
  <si>
    <t>Total DNA</t>
  </si>
  <si>
    <t>Ladder Size</t>
  </si>
  <si>
    <t>M13_0.6_0.2LA</t>
  </si>
  <si>
    <t>M13_0.6_0.4LA</t>
  </si>
  <si>
    <t>M13_1.0_0.2LA</t>
  </si>
  <si>
    <t>M13_2.0_0.2LA</t>
  </si>
  <si>
    <t>Gel 2: Image 59</t>
  </si>
  <si>
    <t>Gel 1: Image 42</t>
  </si>
  <si>
    <t>0.2 LA</t>
  </si>
  <si>
    <t>0.4 LA</t>
  </si>
  <si>
    <t>0.8 LA</t>
  </si>
  <si>
    <t>Ladder Band</t>
  </si>
  <si>
    <t>Standard Titer</t>
  </si>
  <si>
    <t>2.0 kb</t>
  </si>
  <si>
    <t>1.5 kb</t>
  </si>
  <si>
    <t>1.0 kb</t>
  </si>
  <si>
    <t>1.5 kb Titer</t>
  </si>
  <si>
    <t xml:space="preserve">2.0 kb </t>
  </si>
  <si>
    <t xml:space="preserve">1.0 kb </t>
  </si>
  <si>
    <t xml:space="preserve">0.6 kb </t>
  </si>
  <si>
    <t>M13 Probes</t>
  </si>
  <si>
    <t>Capture Arms</t>
  </si>
  <si>
    <t>Long Adapter</t>
  </si>
  <si>
    <t>2.0 kb Titer</t>
  </si>
  <si>
    <t>1.0 kb Titer</t>
  </si>
  <si>
    <t>Trendline</t>
  </si>
  <si>
    <t>Trendline Equations (ng)</t>
  </si>
  <si>
    <t>All Titers</t>
  </si>
  <si>
    <t>0.85 kb Titer</t>
  </si>
  <si>
    <t>Gel 3</t>
  </si>
  <si>
    <t>M13_0.6_0.8LA</t>
  </si>
  <si>
    <t>M13_1.0_0.8LA</t>
  </si>
  <si>
    <t>M13_2.0_0.8LA</t>
  </si>
  <si>
    <t>Mass (ng)</t>
  </si>
  <si>
    <t>Mass</t>
  </si>
  <si>
    <t>Mean mass (ng)</t>
  </si>
  <si>
    <t>S.D</t>
  </si>
  <si>
    <t>Capture Enrichment</t>
  </si>
  <si>
    <t>D.F 1</t>
  </si>
  <si>
    <t>D.F 2</t>
  </si>
  <si>
    <t>D.F 3</t>
  </si>
  <si>
    <t>D.F 4</t>
  </si>
  <si>
    <t>Mass (1 ul)</t>
  </si>
  <si>
    <t>.2 LA</t>
  </si>
  <si>
    <t>.4 LA</t>
  </si>
  <si>
    <t>.8 LA</t>
  </si>
  <si>
    <t>Gel 2: Image 62</t>
  </si>
  <si>
    <t>Gel 2 : Image 62</t>
  </si>
  <si>
    <t>Gel 3: Image 92</t>
  </si>
  <si>
    <t>Gel 3: Image78</t>
  </si>
  <si>
    <t>(+35.252)/1231.8</t>
  </si>
  <si>
    <t>(+49.242)/1049</t>
  </si>
  <si>
    <t>(+105.52)/1448.7</t>
  </si>
  <si>
    <t>(+16.621)/1174.2</t>
  </si>
  <si>
    <t>(-155.43)/1634.8</t>
  </si>
  <si>
    <t>(+33.574)/1199.1</t>
  </si>
  <si>
    <t>(-676.13)/1135.7</t>
  </si>
  <si>
    <t>Mean mass (ng/ul)</t>
  </si>
  <si>
    <t>(+192.21)/1125.4</t>
  </si>
  <si>
    <t>(+62.309)/1230.2</t>
  </si>
  <si>
    <t>(-10.323)/1251.7</t>
  </si>
  <si>
    <t>(+128.32)/1157.4</t>
  </si>
  <si>
    <t>(+103.59)1065.3</t>
  </si>
  <si>
    <t>All</t>
  </si>
  <si>
    <t>0.6 kb</t>
  </si>
  <si>
    <t>2.0 kb 0.2 LA</t>
  </si>
  <si>
    <t>2.0 kb 0.8 LA</t>
  </si>
  <si>
    <t>Mass (ng</t>
  </si>
  <si>
    <t>M13_1.0_0.4 LA</t>
  </si>
  <si>
    <t>M13_1.0_0.8 LA</t>
  </si>
  <si>
    <t>M13_2.0_0.2 LA</t>
  </si>
  <si>
    <t>M13_2.0_0.4 LA</t>
  </si>
  <si>
    <t>M13_2.0_0.8 LA</t>
  </si>
  <si>
    <t>Image 102</t>
  </si>
  <si>
    <t>Gel 4</t>
  </si>
  <si>
    <t>(+189.6)/698.1</t>
  </si>
  <si>
    <t>(+201.15)/777.02</t>
  </si>
  <si>
    <t>(+74.801)/683.87</t>
  </si>
  <si>
    <t>(+113.29)/650.65</t>
  </si>
  <si>
    <t>(+187.28)/2086.4</t>
  </si>
  <si>
    <t>(-81.184)/1012.6</t>
  </si>
  <si>
    <t>(-133.98)/1000.5</t>
  </si>
  <si>
    <t>(-126.91)/1016.5</t>
  </si>
  <si>
    <t>1707/2193</t>
  </si>
  <si>
    <t>1684/2170</t>
  </si>
  <si>
    <t>1993/2479</t>
  </si>
  <si>
    <t>Size (bp)</t>
  </si>
  <si>
    <t>Molar concentration (nM)</t>
  </si>
  <si>
    <t>M13_2.0_0.8</t>
  </si>
  <si>
    <t>Capture Sizes</t>
  </si>
  <si>
    <t>Capture Size(s) (bp)</t>
  </si>
  <si>
    <t>SD</t>
  </si>
  <si>
    <t>Target Capture Size (kbp)</t>
  </si>
  <si>
    <t>M13 Probe</t>
  </si>
  <si>
    <t>Long Adapter (kbp)</t>
  </si>
  <si>
    <t>Gel 3: Image 78</t>
  </si>
  <si>
    <t>Band mass (ng)</t>
  </si>
  <si>
    <t>Total Ladder mass (ng)</t>
  </si>
  <si>
    <t xml:space="preserve"> Gel 2: Image 62</t>
  </si>
  <si>
    <t>Gel 4: Image 102</t>
  </si>
  <si>
    <t>All 0.6 kb</t>
  </si>
  <si>
    <t>All 1.0 kb</t>
  </si>
  <si>
    <t>Probes</t>
  </si>
  <si>
    <t>Starting volume (ul)</t>
  </si>
  <si>
    <t>Dilution Factors (colored D.F is used)</t>
  </si>
  <si>
    <t>Probe</t>
  </si>
  <si>
    <t>Gel 1 &amp; 2</t>
  </si>
  <si>
    <t>Not in range</t>
  </si>
  <si>
    <t>DNA Quantitation via Trendlines</t>
  </si>
  <si>
    <t>Dilution Factor Calculation</t>
  </si>
  <si>
    <t>Tabulation &amp; Graphing</t>
  </si>
  <si>
    <t>Trendline Equations</t>
  </si>
  <si>
    <t>Gel 4 : Image 102</t>
  </si>
  <si>
    <t>*Use molarity to normalize different band/capture sizes</t>
  </si>
  <si>
    <t>.2 LA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</si>
</sst>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0"/>
    <numFmt numFmtId="177" formatCode="0.000"/>
    <numFmt numFmtId="178" formatCode="0.000E+00"/>
  </numFmts>
  <fonts count="5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3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0" fillId="3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7" fontId="0" fillId="4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6" borderId="0" xfId="0" applyFill="1" applyAlignment="1">
      <alignment horizontal="center" vertical="center"/>
    </xf>
    <xf numFmtId="0" fontId="0" fillId="6" borderId="0" xfId="0" applyFill="1"/>
    <xf numFmtId="177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0" fillId="6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 readingOrder="1"/>
    </xf>
    <xf numFmtId="0" fontId="3" fillId="8" borderId="1" xfId="0" applyFont="1" applyFill="1" applyBorder="1" applyAlignment="1">
      <alignment horizontal="center" vertical="center" wrapText="1" readingOrder="1"/>
    </xf>
    <xf numFmtId="177" fontId="0" fillId="7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7" borderId="0" xfId="0" applyNumberFormat="1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4" borderId="0" xfId="0" applyFill="1" applyAlignment="1">
      <alignment vertical="center"/>
    </xf>
    <xf numFmtId="178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7" fontId="0" fillId="0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 readingOrder="1"/>
    </xf>
    <xf numFmtId="0" fontId="2" fillId="8" borderId="3" xfId="0" applyFont="1" applyFill="1" applyBorder="1" applyAlignment="1">
      <alignment horizontal="center" vertical="center" wrapText="1" readingOrder="1"/>
    </xf>
    <xf numFmtId="0" fontId="2" fillId="8" borderId="4" xfId="0" applyFont="1" applyFill="1" applyBorder="1" applyAlignment="1">
      <alignment horizontal="center" vertical="center" wrapText="1" readingOrder="1"/>
    </xf>
    <xf numFmtId="0" fontId="3" fillId="8" borderId="5" xfId="0" applyFont="1" applyFill="1" applyBorder="1" applyAlignment="1">
      <alignment horizontal="center" vertical="center" wrapText="1" readingOrder="1"/>
    </xf>
    <xf numFmtId="0" fontId="3" fillId="8" borderId="6" xfId="0" applyFont="1" applyFill="1" applyBorder="1" applyAlignment="1">
      <alignment horizontal="center" vertical="center" wrapText="1" readingOrder="1"/>
    </xf>
    <xf numFmtId="0" fontId="3" fillId="8" borderId="7" xfId="0" applyFont="1" applyFill="1" applyBorder="1" applyAlignment="1">
      <alignment horizontal="center" vertical="center" wrapText="1" readingOrder="1"/>
    </xf>
    <xf numFmtId="0" fontId="3" fillId="8" borderId="2" xfId="0" applyFont="1" applyFill="1" applyBorder="1" applyAlignment="1">
      <alignment horizontal="center" vertical="center" wrapText="1" readingOrder="1"/>
    </xf>
    <xf numFmtId="0" fontId="3" fillId="8" borderId="3" xfId="0" applyFont="1" applyFill="1" applyBorder="1" applyAlignment="1">
      <alignment horizontal="center" vertical="center" wrapText="1" readingOrder="1"/>
    </xf>
    <xf numFmtId="0" fontId="3" fillId="8" borderId="4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D2D09"/>
      <color rgb="FFFF2F92"/>
      <color rgb="FFFFCCCC"/>
      <color rgb="FFCC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1</a:t>
            </a:r>
            <a:r>
              <a:rPr lang="en-US" baseline="0"/>
              <a:t> Standard : All Titers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Standards'!$D$3:$D$53</c:f>
              <c:numCache>
                <c:formatCode>General</c:formatCode>
                <c:ptCount val="51"/>
                <c:pt idx="0">
                  <c:v>2.5</c:v>
                </c:pt>
                <c:pt idx="1">
                  <c:v>8.75</c:v>
                </c:pt>
                <c:pt idx="2">
                  <c:v>3.75</c:v>
                </c:pt>
                <c:pt idx="3">
                  <c:v>3.75</c:v>
                </c:pt>
                <c:pt idx="4">
                  <c:v>3.75</c:v>
                </c:pt>
                <c:pt idx="5">
                  <c:v>3.75</c:v>
                </c:pt>
                <c:pt idx="6">
                  <c:v>3.75</c:v>
                </c:pt>
                <c:pt idx="7">
                  <c:v>3.75</c:v>
                </c:pt>
                <c:pt idx="8">
                  <c:v>3.75</c:v>
                </c:pt>
                <c:pt idx="9">
                  <c:v>5</c:v>
                </c:pt>
                <c:pt idx="10">
                  <c:v>1.25</c:v>
                </c:pt>
                <c:pt idx="11">
                  <c:v>4.375</c:v>
                </c:pt>
                <c:pt idx="12">
                  <c:v>1.875</c:v>
                </c:pt>
                <c:pt idx="13">
                  <c:v>1.875</c:v>
                </c:pt>
                <c:pt idx="14">
                  <c:v>1.875</c:v>
                </c:pt>
                <c:pt idx="15">
                  <c:v>1.875</c:v>
                </c:pt>
                <c:pt idx="16">
                  <c:v>1.875</c:v>
                </c:pt>
                <c:pt idx="17">
                  <c:v>1.875</c:v>
                </c:pt>
                <c:pt idx="18">
                  <c:v>1.875</c:v>
                </c:pt>
                <c:pt idx="19">
                  <c:v>2.5</c:v>
                </c:pt>
                <c:pt idx="20">
                  <c:v>0.625</c:v>
                </c:pt>
                <c:pt idx="21">
                  <c:v>2.1875</c:v>
                </c:pt>
                <c:pt idx="22">
                  <c:v>0.9375</c:v>
                </c:pt>
                <c:pt idx="23">
                  <c:v>0.9375</c:v>
                </c:pt>
                <c:pt idx="24">
                  <c:v>0.9375</c:v>
                </c:pt>
                <c:pt idx="25">
                  <c:v>0.9375</c:v>
                </c:pt>
                <c:pt idx="26">
                  <c:v>0.9375</c:v>
                </c:pt>
                <c:pt idx="27">
                  <c:v>0.9375</c:v>
                </c:pt>
                <c:pt idx="28">
                  <c:v>0.9375</c:v>
                </c:pt>
                <c:pt idx="29">
                  <c:v>1.25</c:v>
                </c:pt>
                <c:pt idx="30">
                  <c:v>0.3125</c:v>
                </c:pt>
                <c:pt idx="31">
                  <c:v>1.09375</c:v>
                </c:pt>
                <c:pt idx="32">
                  <c:v>0.46875</c:v>
                </c:pt>
                <c:pt idx="33">
                  <c:v>0.46875</c:v>
                </c:pt>
                <c:pt idx="34">
                  <c:v>0.46875</c:v>
                </c:pt>
                <c:pt idx="35">
                  <c:v>0.46875</c:v>
                </c:pt>
                <c:pt idx="36">
                  <c:v>0.46875</c:v>
                </c:pt>
                <c:pt idx="37">
                  <c:v>0.46875</c:v>
                </c:pt>
                <c:pt idx="38">
                  <c:v>0.46875</c:v>
                </c:pt>
                <c:pt idx="39">
                  <c:v>0.625</c:v>
                </c:pt>
                <c:pt idx="40">
                  <c:v>0.15625</c:v>
                </c:pt>
                <c:pt idx="41">
                  <c:v>0.546875</c:v>
                </c:pt>
                <c:pt idx="42">
                  <c:v>0.234375</c:v>
                </c:pt>
                <c:pt idx="43">
                  <c:v>0.234375</c:v>
                </c:pt>
                <c:pt idx="44">
                  <c:v>0.234375</c:v>
                </c:pt>
                <c:pt idx="45">
                  <c:v>0.234375</c:v>
                </c:pt>
                <c:pt idx="46">
                  <c:v>0.234375</c:v>
                </c:pt>
                <c:pt idx="47">
                  <c:v>0.234375</c:v>
                </c:pt>
                <c:pt idx="48">
                  <c:v>0.234375</c:v>
                </c:pt>
                <c:pt idx="49">
                  <c:v>0.3125</c:v>
                </c:pt>
              </c:numCache>
            </c:numRef>
          </c:xVal>
          <c:yVal>
            <c:numRef>
              <c:f>'Ladder Standards'!$E$3:$E$53</c:f>
              <c:numCache>
                <c:formatCode>General</c:formatCode>
                <c:ptCount val="51"/>
                <c:pt idx="0">
                  <c:v>5235.1130000000003</c:v>
                </c:pt>
                <c:pt idx="1">
                  <c:v>9208.4259999999995</c:v>
                </c:pt>
                <c:pt idx="2">
                  <c:v>3676.1840000000002</c:v>
                </c:pt>
                <c:pt idx="3">
                  <c:v>3364.8910000000001</c:v>
                </c:pt>
                <c:pt idx="4">
                  <c:v>3103.82</c:v>
                </c:pt>
                <c:pt idx="5">
                  <c:v>3266.527</c:v>
                </c:pt>
                <c:pt idx="6">
                  <c:v>3364.2339999999999</c:v>
                </c:pt>
                <c:pt idx="7">
                  <c:v>4307.3549999999996</c:v>
                </c:pt>
                <c:pt idx="8">
                  <c:v>4695.0619999999999</c:v>
                </c:pt>
                <c:pt idx="9">
                  <c:v>4908.6480000000001</c:v>
                </c:pt>
                <c:pt idx="10">
                  <c:v>2061.87</c:v>
                </c:pt>
                <c:pt idx="11">
                  <c:v>3902.4059999999999</c:v>
                </c:pt>
                <c:pt idx="12">
                  <c:v>2407.87</c:v>
                </c:pt>
                <c:pt idx="13">
                  <c:v>2069.163</c:v>
                </c:pt>
                <c:pt idx="14">
                  <c:v>2261.6979999999999</c:v>
                </c:pt>
                <c:pt idx="15">
                  <c:v>2083.2840000000001</c:v>
                </c:pt>
                <c:pt idx="16">
                  <c:v>2173.2840000000001</c:v>
                </c:pt>
                <c:pt idx="17">
                  <c:v>2403.991</c:v>
                </c:pt>
                <c:pt idx="18">
                  <c:v>2430.2840000000001</c:v>
                </c:pt>
                <c:pt idx="19">
                  <c:v>2707.82</c:v>
                </c:pt>
                <c:pt idx="20">
                  <c:v>989.92</c:v>
                </c:pt>
                <c:pt idx="21">
                  <c:v>2294.335</c:v>
                </c:pt>
                <c:pt idx="22">
                  <c:v>1176.5060000000001</c:v>
                </c:pt>
                <c:pt idx="23">
                  <c:v>973.678</c:v>
                </c:pt>
                <c:pt idx="24">
                  <c:v>927.79899999999998</c:v>
                </c:pt>
                <c:pt idx="25">
                  <c:v>925.38499999999999</c:v>
                </c:pt>
                <c:pt idx="26">
                  <c:v>1014.213</c:v>
                </c:pt>
                <c:pt idx="27">
                  <c:v>1082.213</c:v>
                </c:pt>
                <c:pt idx="28">
                  <c:v>1195.627</c:v>
                </c:pt>
                <c:pt idx="29">
                  <c:v>1461.991</c:v>
                </c:pt>
                <c:pt idx="30">
                  <c:v>447.971</c:v>
                </c:pt>
                <c:pt idx="31">
                  <c:v>1375.335</c:v>
                </c:pt>
                <c:pt idx="32">
                  <c:v>512.38499999999999</c:v>
                </c:pt>
                <c:pt idx="33">
                  <c:v>423.55599999999998</c:v>
                </c:pt>
                <c:pt idx="34">
                  <c:v>423.971</c:v>
                </c:pt>
                <c:pt idx="35">
                  <c:v>442.678</c:v>
                </c:pt>
                <c:pt idx="36">
                  <c:v>399.26299999999998</c:v>
                </c:pt>
                <c:pt idx="37">
                  <c:v>470.09199999999998</c:v>
                </c:pt>
                <c:pt idx="38">
                  <c:v>459.678</c:v>
                </c:pt>
                <c:pt idx="39">
                  <c:v>533.33500000000004</c:v>
                </c:pt>
                <c:pt idx="40">
                  <c:v>247.38499999999999</c:v>
                </c:pt>
                <c:pt idx="41">
                  <c:v>873.79899999999998</c:v>
                </c:pt>
                <c:pt idx="42">
                  <c:v>299.971</c:v>
                </c:pt>
                <c:pt idx="43">
                  <c:v>235.84899999999999</c:v>
                </c:pt>
                <c:pt idx="44">
                  <c:v>206.435</c:v>
                </c:pt>
                <c:pt idx="45">
                  <c:v>180.435</c:v>
                </c:pt>
                <c:pt idx="46">
                  <c:v>211.84899999999999</c:v>
                </c:pt>
                <c:pt idx="47">
                  <c:v>219.55600000000001</c:v>
                </c:pt>
                <c:pt idx="48">
                  <c:v>251.971</c:v>
                </c:pt>
                <c:pt idx="49">
                  <c:v>282.50599999999997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4B-4F00-9511-540A89765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8746856"/>
        <c:axId val="748747840"/>
      </c:scatterChart>
      <c:valAx>
        <c:axId val="748746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747840"/>
        <c:crosses val="autoZero"/>
        <c:crossBetween val="midCat"/>
      </c:valAx>
      <c:valAx>
        <c:axId val="74874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746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2 Standard : 1.5 kb Band Titer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12632019915119477"/>
          <c:y val="1.408171683108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Standards'!$AA$14:$AA$18</c:f>
              <c:numCache>
                <c:formatCode>General</c:formatCode>
                <c:ptCount val="5"/>
                <c:pt idx="0">
                  <c:v>4.375</c:v>
                </c:pt>
                <c:pt idx="1">
                  <c:v>2.1875</c:v>
                </c:pt>
                <c:pt idx="2">
                  <c:v>1.09375</c:v>
                </c:pt>
                <c:pt idx="3">
                  <c:v>0.546875</c:v>
                </c:pt>
                <c:pt idx="4">
                  <c:v>0</c:v>
                </c:pt>
              </c:numCache>
            </c:numRef>
          </c:xVal>
          <c:yVal>
            <c:numRef>
              <c:f>'Ladder Standards'!$AB$14:$AB$18</c:f>
              <c:numCache>
                <c:formatCode>General</c:formatCode>
                <c:ptCount val="5"/>
                <c:pt idx="0">
                  <c:v>5476.82</c:v>
                </c:pt>
                <c:pt idx="1">
                  <c:v>2702.5770000000002</c:v>
                </c:pt>
                <c:pt idx="2">
                  <c:v>1573.335</c:v>
                </c:pt>
                <c:pt idx="3">
                  <c:v>566.50599999999997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06-422F-9ACD-FE4FC63B8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917624"/>
        <c:axId val="830914672"/>
      </c:scatterChart>
      <c:valAx>
        <c:axId val="83091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0914672"/>
        <c:crosses val="autoZero"/>
        <c:crossBetween val="midCat"/>
      </c:valAx>
      <c:valAx>
        <c:axId val="83091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091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2 Standard : 1.0 kb Band Titer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Standards'!$AA$24:$AA$28</c:f>
              <c:numCache>
                <c:formatCode>General</c:formatCode>
                <c:ptCount val="5"/>
                <c:pt idx="0">
                  <c:v>1.875</c:v>
                </c:pt>
                <c:pt idx="1">
                  <c:v>0.9375</c:v>
                </c:pt>
                <c:pt idx="2">
                  <c:v>0.46875</c:v>
                </c:pt>
                <c:pt idx="3">
                  <c:v>0.234375</c:v>
                </c:pt>
                <c:pt idx="4">
                  <c:v>0</c:v>
                </c:pt>
              </c:numCache>
            </c:numRef>
          </c:xVal>
          <c:yVal>
            <c:numRef>
              <c:f>'Ladder Standards'!$AB$24:$AB$28</c:f>
              <c:numCache>
                <c:formatCode>General</c:formatCode>
                <c:ptCount val="5"/>
                <c:pt idx="0">
                  <c:v>2190.87</c:v>
                </c:pt>
                <c:pt idx="1">
                  <c:v>651.09199999999998</c:v>
                </c:pt>
                <c:pt idx="2">
                  <c:v>415.971</c:v>
                </c:pt>
                <c:pt idx="3">
                  <c:v>169.435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20-48DB-80A5-7740ACA2F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713528"/>
        <c:axId val="829711888"/>
      </c:scatterChart>
      <c:valAx>
        <c:axId val="829713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9711888"/>
        <c:crosses val="autoZero"/>
        <c:crossBetween val="midCat"/>
      </c:valAx>
      <c:valAx>
        <c:axId val="82971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9713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2 Standard : 0.85 kb Band Titer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Standards'!$AA$34:$AA$38</c:f>
              <c:numCache>
                <c:formatCode>General</c:formatCode>
                <c:ptCount val="5"/>
                <c:pt idx="0">
                  <c:v>1.875</c:v>
                </c:pt>
                <c:pt idx="1">
                  <c:v>0.9375</c:v>
                </c:pt>
                <c:pt idx="2">
                  <c:v>0.46875</c:v>
                </c:pt>
                <c:pt idx="3">
                  <c:v>0.234375</c:v>
                </c:pt>
                <c:pt idx="4">
                  <c:v>0</c:v>
                </c:pt>
              </c:numCache>
            </c:numRef>
          </c:xVal>
          <c:yVal>
            <c:numRef>
              <c:f>'Ladder Standards'!$AB$34:$AB$38</c:f>
              <c:numCache>
                <c:formatCode>General</c:formatCode>
                <c:ptCount val="5"/>
                <c:pt idx="0">
                  <c:v>2040.4559999999999</c:v>
                </c:pt>
                <c:pt idx="1">
                  <c:v>588.38499999999999</c:v>
                </c:pt>
                <c:pt idx="2">
                  <c:v>392.55599999999998</c:v>
                </c:pt>
                <c:pt idx="3">
                  <c:v>205.678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85-4E5E-AF90-A93D2F8BD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176632"/>
        <c:axId val="699173352"/>
      </c:scatterChart>
      <c:valAx>
        <c:axId val="699176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9173352"/>
        <c:crosses val="autoZero"/>
        <c:crossBetween val="midCat"/>
      </c:valAx>
      <c:valAx>
        <c:axId val="69917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9176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3 Standard : 1.0 kb Band Titer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87247316564821"/>
                  <c:y val="4.745188101487314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Standards'!$AC$24:$AC$29</c:f>
              <c:numCache>
                <c:formatCode>General</c:formatCode>
                <c:ptCount val="6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0</c:v>
                </c:pt>
              </c:numCache>
            </c:numRef>
          </c:xVal>
          <c:yVal>
            <c:numRef>
              <c:f>'Ladder Standards'!$AD$24:$AD$29</c:f>
              <c:numCache>
                <c:formatCode>General</c:formatCode>
                <c:ptCount val="6"/>
                <c:pt idx="0">
                  <c:v>3530.87</c:v>
                </c:pt>
                <c:pt idx="1">
                  <c:v>1657.335</c:v>
                </c:pt>
                <c:pt idx="2">
                  <c:v>863.92</c:v>
                </c:pt>
                <c:pt idx="3">
                  <c:v>502.09199999999998</c:v>
                </c:pt>
                <c:pt idx="4">
                  <c:v>153.435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56-4815-A884-03C098B26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417960"/>
        <c:axId val="483417632"/>
      </c:scatterChart>
      <c:valAx>
        <c:axId val="48341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3417632"/>
        <c:crosses val="autoZero"/>
        <c:crossBetween val="midCat"/>
      </c:valAx>
      <c:valAx>
        <c:axId val="48341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3417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3 Standard : 0.85 kb Band Titer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6.4329644081133772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803369316893672"/>
                  <c:y val="-1.85035724701079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Standards'!$AC$34:$AC$39</c:f>
              <c:numCache>
                <c:formatCode>General</c:formatCode>
                <c:ptCount val="6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0</c:v>
                </c:pt>
              </c:numCache>
            </c:numRef>
          </c:xVal>
          <c:yVal>
            <c:numRef>
              <c:f>'Ladder Standards'!$AD$34:$AD$39</c:f>
              <c:numCache>
                <c:formatCode>General</c:formatCode>
                <c:ptCount val="6"/>
                <c:pt idx="0">
                  <c:v>4317.87</c:v>
                </c:pt>
                <c:pt idx="1">
                  <c:v>2021.335</c:v>
                </c:pt>
                <c:pt idx="2">
                  <c:v>712.09199999999998</c:v>
                </c:pt>
                <c:pt idx="3">
                  <c:v>516.09199999999998</c:v>
                </c:pt>
                <c:pt idx="4">
                  <c:v>220.26300000000001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86-4414-8D83-6340B22E6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417960"/>
        <c:axId val="483418944"/>
      </c:scatterChart>
      <c:valAx>
        <c:axId val="48341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3418944"/>
        <c:crosses val="autoZero"/>
        <c:crossBetween val="midCat"/>
      </c:valAx>
      <c:valAx>
        <c:axId val="48341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3417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3 Standard : 0.65 kb Band Titer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8279232227166314E-2"/>
                  <c:y val="-3.687736949547973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Standards'!$AC$45:$AC$49</c:f>
              <c:numCache>
                <c:formatCode>General</c:formatCode>
                <c:ptCount val="5"/>
                <c:pt idx="0">
                  <c:v>1.5</c:v>
                </c:pt>
                <c:pt idx="1">
                  <c:v>0.75</c:v>
                </c:pt>
                <c:pt idx="2">
                  <c:v>0.375</c:v>
                </c:pt>
                <c:pt idx="3">
                  <c:v>0.1875</c:v>
                </c:pt>
                <c:pt idx="4">
                  <c:v>0</c:v>
                </c:pt>
              </c:numCache>
            </c:numRef>
          </c:xVal>
          <c:yVal>
            <c:numRef>
              <c:f>'Ladder Standards'!$AD$45:$AD$49</c:f>
              <c:numCache>
                <c:formatCode>General</c:formatCode>
                <c:ptCount val="5"/>
                <c:pt idx="0">
                  <c:v>1584.627</c:v>
                </c:pt>
                <c:pt idx="1">
                  <c:v>617.38499999999999</c:v>
                </c:pt>
                <c:pt idx="2">
                  <c:v>331.26299999999998</c:v>
                </c:pt>
                <c:pt idx="3">
                  <c:v>170.84899999999999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AB-4016-A0CD-6D2E1CE06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718120"/>
        <c:axId val="829718448"/>
      </c:scatterChart>
      <c:valAx>
        <c:axId val="829718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9718448"/>
        <c:crosses val="autoZero"/>
        <c:crossBetween val="midCat"/>
      </c:valAx>
      <c:valAx>
        <c:axId val="82971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29718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4 : Image</a:t>
            </a:r>
            <a:r>
              <a:rPr lang="en-US" baseline="0"/>
              <a:t> 102 All Bands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Standards'!$U$3:$U$48</c:f>
              <c:numCache>
                <c:formatCode>General</c:formatCode>
                <c:ptCount val="46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3.5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0.5</c:v>
                </c:pt>
                <c:pt idx="19">
                  <c:v>1.75</c:v>
                </c:pt>
                <c:pt idx="20">
                  <c:v>0.75</c:v>
                </c:pt>
                <c:pt idx="21">
                  <c:v>0.75</c:v>
                </c:pt>
                <c:pt idx="22">
                  <c:v>0.75</c:v>
                </c:pt>
                <c:pt idx="23">
                  <c:v>0.75</c:v>
                </c:pt>
                <c:pt idx="24">
                  <c:v>0.75</c:v>
                </c:pt>
                <c:pt idx="25">
                  <c:v>0.75</c:v>
                </c:pt>
                <c:pt idx="26">
                  <c:v>0.75</c:v>
                </c:pt>
                <c:pt idx="27">
                  <c:v>0.25</c:v>
                </c:pt>
                <c:pt idx="28">
                  <c:v>0.875</c:v>
                </c:pt>
                <c:pt idx="29">
                  <c:v>0.375</c:v>
                </c:pt>
                <c:pt idx="30">
                  <c:v>0.375</c:v>
                </c:pt>
                <c:pt idx="31">
                  <c:v>0.375</c:v>
                </c:pt>
                <c:pt idx="32">
                  <c:v>0.375</c:v>
                </c:pt>
                <c:pt idx="33">
                  <c:v>0.375</c:v>
                </c:pt>
                <c:pt idx="34">
                  <c:v>0.375</c:v>
                </c:pt>
                <c:pt idx="35">
                  <c:v>0.375</c:v>
                </c:pt>
                <c:pt idx="36">
                  <c:v>0.125</c:v>
                </c:pt>
                <c:pt idx="37">
                  <c:v>0.4375</c:v>
                </c:pt>
                <c:pt idx="38">
                  <c:v>0.1875</c:v>
                </c:pt>
                <c:pt idx="39">
                  <c:v>0.1875</c:v>
                </c:pt>
                <c:pt idx="40">
                  <c:v>0.1875</c:v>
                </c:pt>
                <c:pt idx="41">
                  <c:v>0.1875</c:v>
                </c:pt>
                <c:pt idx="42">
                  <c:v>0.1875</c:v>
                </c:pt>
                <c:pt idx="43">
                  <c:v>0.1875</c:v>
                </c:pt>
                <c:pt idx="44">
                  <c:v>0.1875</c:v>
                </c:pt>
                <c:pt idx="45">
                  <c:v>0</c:v>
                </c:pt>
              </c:numCache>
            </c:numRef>
          </c:xVal>
          <c:yVal>
            <c:numRef>
              <c:f>'Ladder Standards'!$V$3:$V$48</c:f>
              <c:numCache>
                <c:formatCode>General</c:formatCode>
                <c:ptCount val="46"/>
                <c:pt idx="0">
                  <c:v>1368.0920000000001</c:v>
                </c:pt>
                <c:pt idx="1">
                  <c:v>5153.7489999999998</c:v>
                </c:pt>
                <c:pt idx="2">
                  <c:v>1912.5060000000001</c:v>
                </c:pt>
                <c:pt idx="3">
                  <c:v>1847.799</c:v>
                </c:pt>
                <c:pt idx="4">
                  <c:v>1579.5060000000001</c:v>
                </c:pt>
                <c:pt idx="5">
                  <c:v>1645.213</c:v>
                </c:pt>
                <c:pt idx="6">
                  <c:v>1536.0920000000001</c:v>
                </c:pt>
                <c:pt idx="7">
                  <c:v>1613.6780000000001</c:v>
                </c:pt>
                <c:pt idx="8">
                  <c:v>1837.0920000000001</c:v>
                </c:pt>
                <c:pt idx="9">
                  <c:v>494.971</c:v>
                </c:pt>
                <c:pt idx="10">
                  <c:v>2893.2130000000002</c:v>
                </c:pt>
                <c:pt idx="11">
                  <c:v>784.971</c:v>
                </c:pt>
                <c:pt idx="12">
                  <c:v>764.55600000000004</c:v>
                </c:pt>
                <c:pt idx="13">
                  <c:v>719.971</c:v>
                </c:pt>
                <c:pt idx="14">
                  <c:v>777.09199999999998</c:v>
                </c:pt>
                <c:pt idx="15">
                  <c:v>731.971</c:v>
                </c:pt>
                <c:pt idx="16">
                  <c:v>772.971</c:v>
                </c:pt>
                <c:pt idx="17">
                  <c:v>717.26300000000003</c:v>
                </c:pt>
                <c:pt idx="18">
                  <c:v>177.435</c:v>
                </c:pt>
                <c:pt idx="19">
                  <c:v>828.09199999999998</c:v>
                </c:pt>
                <c:pt idx="20">
                  <c:v>225.55600000000001</c:v>
                </c:pt>
                <c:pt idx="21">
                  <c:v>231.84899999999999</c:v>
                </c:pt>
                <c:pt idx="22">
                  <c:v>202.55600000000001</c:v>
                </c:pt>
                <c:pt idx="23">
                  <c:v>227.26300000000001</c:v>
                </c:pt>
                <c:pt idx="24">
                  <c:v>268.38499999999999</c:v>
                </c:pt>
                <c:pt idx="25">
                  <c:v>237.26300000000001</c:v>
                </c:pt>
                <c:pt idx="26">
                  <c:v>260.971</c:v>
                </c:pt>
                <c:pt idx="27">
                  <c:v>111.31399999999999</c:v>
                </c:pt>
                <c:pt idx="28">
                  <c:v>311.971</c:v>
                </c:pt>
                <c:pt idx="29">
                  <c:v>127.435</c:v>
                </c:pt>
                <c:pt idx="30">
                  <c:v>122.021</c:v>
                </c:pt>
                <c:pt idx="31">
                  <c:v>113.435</c:v>
                </c:pt>
                <c:pt idx="32">
                  <c:v>129.435</c:v>
                </c:pt>
                <c:pt idx="33">
                  <c:v>130.142</c:v>
                </c:pt>
                <c:pt idx="34">
                  <c:v>152.84899999999999</c:v>
                </c:pt>
                <c:pt idx="35">
                  <c:v>171.55600000000001</c:v>
                </c:pt>
                <c:pt idx="36">
                  <c:v>49.363999999999997</c:v>
                </c:pt>
                <c:pt idx="37">
                  <c:v>144.435</c:v>
                </c:pt>
                <c:pt idx="38">
                  <c:v>51.656999999999996</c:v>
                </c:pt>
                <c:pt idx="39">
                  <c:v>52.777999999999999</c:v>
                </c:pt>
                <c:pt idx="40">
                  <c:v>85.778000000000006</c:v>
                </c:pt>
                <c:pt idx="41">
                  <c:v>52.363999999999997</c:v>
                </c:pt>
                <c:pt idx="42">
                  <c:v>61.777999999999999</c:v>
                </c:pt>
                <c:pt idx="43">
                  <c:v>78.191999999999993</c:v>
                </c:pt>
                <c:pt idx="44">
                  <c:v>98.606999999999999</c:v>
                </c:pt>
                <c:pt idx="4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F1-4A27-BD88-7D64532A8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332080"/>
        <c:axId val="723329784"/>
      </c:scatterChart>
      <c:valAx>
        <c:axId val="72333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3329784"/>
        <c:crosses val="autoZero"/>
        <c:crossBetween val="midCat"/>
      </c:valAx>
      <c:valAx>
        <c:axId val="72332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333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4 :</a:t>
            </a:r>
            <a:r>
              <a:rPr lang="en-US" baseline="0"/>
              <a:t> </a:t>
            </a:r>
            <a:r>
              <a:rPr lang="en-US"/>
              <a:t>2 kb band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Standards'!$AF$3:$AF$8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</c:v>
                </c:pt>
              </c:numCache>
            </c:numRef>
          </c:xVal>
          <c:yVal>
            <c:numRef>
              <c:f>'Ladder Standards'!$AG$3:$AG$8</c:f>
              <c:numCache>
                <c:formatCode>General</c:formatCode>
                <c:ptCount val="6"/>
                <c:pt idx="0">
                  <c:v>1368.0920000000001</c:v>
                </c:pt>
                <c:pt idx="1">
                  <c:v>494.971</c:v>
                </c:pt>
                <c:pt idx="2">
                  <c:v>177.435</c:v>
                </c:pt>
                <c:pt idx="3">
                  <c:v>111.31399999999999</c:v>
                </c:pt>
                <c:pt idx="4">
                  <c:v>49.363999999999997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55-4395-ADDC-06D5B6071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331752"/>
        <c:axId val="723330768"/>
      </c:scatterChart>
      <c:valAx>
        <c:axId val="723331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3330768"/>
        <c:crosses val="autoZero"/>
        <c:crossBetween val="midCat"/>
      </c:valAx>
      <c:valAx>
        <c:axId val="72333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3331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4 : 1.5 kb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Standards'!$AF$13:$AF$18</c:f>
              <c:numCache>
                <c:formatCode>General</c:formatCode>
                <c:ptCount val="6"/>
                <c:pt idx="0">
                  <c:v>7</c:v>
                </c:pt>
                <c:pt idx="1">
                  <c:v>3.5</c:v>
                </c:pt>
                <c:pt idx="2">
                  <c:v>1.75</c:v>
                </c:pt>
                <c:pt idx="3">
                  <c:v>0.875</c:v>
                </c:pt>
                <c:pt idx="4">
                  <c:v>0.4375</c:v>
                </c:pt>
                <c:pt idx="5">
                  <c:v>0</c:v>
                </c:pt>
              </c:numCache>
            </c:numRef>
          </c:xVal>
          <c:yVal>
            <c:numRef>
              <c:f>'Ladder Standards'!$AG$13:$AG$18</c:f>
              <c:numCache>
                <c:formatCode>General</c:formatCode>
                <c:ptCount val="6"/>
                <c:pt idx="0">
                  <c:v>5153.7489999999998</c:v>
                </c:pt>
                <c:pt idx="1">
                  <c:v>2893.2130000000002</c:v>
                </c:pt>
                <c:pt idx="2">
                  <c:v>828.09199999999998</c:v>
                </c:pt>
                <c:pt idx="3">
                  <c:v>311.971</c:v>
                </c:pt>
                <c:pt idx="4">
                  <c:v>144.435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9A-47A3-A9B9-9F49B55F0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354568"/>
        <c:axId val="796350304"/>
      </c:scatterChart>
      <c:valAx>
        <c:axId val="796354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6350304"/>
        <c:crosses val="autoZero"/>
        <c:crossBetween val="midCat"/>
      </c:valAx>
      <c:valAx>
        <c:axId val="79635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6354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4 : 1.0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Standards'!$AF$23:$AF$28</c:f>
              <c:numCache>
                <c:formatCode>General</c:formatCode>
                <c:ptCount val="6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0</c:v>
                </c:pt>
              </c:numCache>
            </c:numRef>
          </c:xVal>
          <c:yVal>
            <c:numRef>
              <c:f>'Ladder Standards'!$AG$23:$AG$28</c:f>
              <c:numCache>
                <c:formatCode>General</c:formatCode>
                <c:ptCount val="6"/>
                <c:pt idx="0">
                  <c:v>1912.5060000000001</c:v>
                </c:pt>
                <c:pt idx="1">
                  <c:v>784.971</c:v>
                </c:pt>
                <c:pt idx="2">
                  <c:v>225.55600000000001</c:v>
                </c:pt>
                <c:pt idx="3">
                  <c:v>127.435</c:v>
                </c:pt>
                <c:pt idx="4">
                  <c:v>51.656999999999996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67-4AEA-8861-60602B741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472616"/>
        <c:axId val="766473272"/>
      </c:scatterChart>
      <c:valAx>
        <c:axId val="76647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66473272"/>
        <c:crosses val="autoZero"/>
        <c:crossBetween val="midCat"/>
      </c:valAx>
      <c:valAx>
        <c:axId val="766473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66472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1</a:t>
            </a:r>
            <a:r>
              <a:rPr lang="en-US" baseline="0"/>
              <a:t> Standard : 2.0 kb Band Titer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Standards'!$Y$3:$Y$8</c:f>
              <c:numCache>
                <c:formatCode>General</c:formatCode>
                <c:ptCount val="6"/>
                <c:pt idx="0">
                  <c:v>2.5</c:v>
                </c:pt>
                <c:pt idx="1">
                  <c:v>1.25</c:v>
                </c:pt>
                <c:pt idx="2">
                  <c:v>0.625</c:v>
                </c:pt>
                <c:pt idx="3">
                  <c:v>0.3125</c:v>
                </c:pt>
                <c:pt idx="4">
                  <c:v>0.15625</c:v>
                </c:pt>
                <c:pt idx="5">
                  <c:v>0</c:v>
                </c:pt>
              </c:numCache>
            </c:numRef>
          </c:xVal>
          <c:yVal>
            <c:numRef>
              <c:f>'Ladder Standards'!$Z$3:$Z$8</c:f>
              <c:numCache>
                <c:formatCode>General</c:formatCode>
                <c:ptCount val="6"/>
                <c:pt idx="0">
                  <c:v>5235.1130000000003</c:v>
                </c:pt>
                <c:pt idx="1">
                  <c:v>2061.87</c:v>
                </c:pt>
                <c:pt idx="2">
                  <c:v>989.92</c:v>
                </c:pt>
                <c:pt idx="3">
                  <c:v>447.971</c:v>
                </c:pt>
                <c:pt idx="4">
                  <c:v>247.38499999999999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73-420B-869C-506DFFA46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068488"/>
        <c:axId val="911067504"/>
      </c:scatterChart>
      <c:valAx>
        <c:axId val="911068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11067504"/>
        <c:crosses val="autoZero"/>
        <c:crossBetween val="midCat"/>
      </c:valAx>
      <c:valAx>
        <c:axId val="91106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11068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/>
              <a:t>Long-Adapter</a:t>
            </a:r>
            <a:r>
              <a:rPr lang="en-US" sz="2400" baseline="0"/>
              <a:t> Dependent LASSO Capture Enrichment</a:t>
            </a:r>
            <a:endParaRPr lang="en-US" sz="2400"/>
          </a:p>
        </c:rich>
      </c:tx>
      <c:layout>
        <c:manualLayout>
          <c:xMode val="edge"/>
          <c:yMode val="edge"/>
          <c:x val="0.1371109739618106"/>
          <c:y val="5.36904807200443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9216442954319879"/>
          <c:y val="0.16615993152830319"/>
          <c:w val="0.66062785533279311"/>
          <c:h val="0.666923589260520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'DNA Measurements'!$BB$14</c:f>
              <c:strCache>
                <c:ptCount val="1"/>
                <c:pt idx="0">
                  <c:v>.2 LA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accent5">
                  <a:lumMod val="60000"/>
                  <a:lumOff val="40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'DNA Measurements'!$BG$14:$BG$16</c:f>
                <c:numCache>
                  <c:formatCode>General</c:formatCode>
                  <c:ptCount val="3"/>
                  <c:pt idx="0">
                    <c:v>56.013688975147545</c:v>
                  </c:pt>
                  <c:pt idx="1">
                    <c:v>29.781236151499471</c:v>
                  </c:pt>
                  <c:pt idx="2">
                    <c:v>21.349229664141617</c:v>
                  </c:pt>
                </c:numCache>
              </c:numRef>
            </c:plus>
            <c:minus>
              <c:numRef>
                <c:f>'DNA Measurements'!$BG$14:$BG$16</c:f>
                <c:numCache>
                  <c:formatCode>General</c:formatCode>
                  <c:ptCount val="3"/>
                  <c:pt idx="0">
                    <c:v>56.013688975147545</c:v>
                  </c:pt>
                  <c:pt idx="1">
                    <c:v>29.781236151499471</c:v>
                  </c:pt>
                  <c:pt idx="2">
                    <c:v>21.349229664141617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'DNA Measurements'!$BA$14:$BA$16</c:f>
              <c:strCache>
                <c:ptCount val="3"/>
                <c:pt idx="0">
                  <c:v>0.6 kb</c:v>
                </c:pt>
                <c:pt idx="1">
                  <c:v>1.0 kb</c:v>
                </c:pt>
                <c:pt idx="2">
                  <c:v>2.0 kb</c:v>
                </c:pt>
              </c:strCache>
            </c:strRef>
          </c:cat>
          <c:val>
            <c:numRef>
              <c:f>'DNA Measurements'!$BF$14:$BF$16</c:f>
              <c:numCache>
                <c:formatCode>0.000</c:formatCode>
                <c:ptCount val="3"/>
                <c:pt idx="0">
                  <c:v>244.72169920152069</c:v>
                </c:pt>
                <c:pt idx="1">
                  <c:v>129.06839919016511</c:v>
                </c:pt>
                <c:pt idx="2">
                  <c:v>84.28988180720448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04-475D-8CB3-9F302F67E4BB}"/>
            </c:ext>
          </c:extLst>
        </c:ser>
        <c:ser>
          <c:idx val="1"/>
          <c:order val="1"/>
          <c:tx>
            <c:strRef>
              <c:f>'DNA Measurements'!$BB$17</c:f>
              <c:strCache>
                <c:ptCount val="1"/>
                <c:pt idx="0">
                  <c:v>.4 LA</c:v>
                </c:pt>
              </c:strCache>
            </c:strRef>
          </c:tx>
          <c:spPr>
            <a:solidFill>
              <a:srgbClr val="FD2D09">
                <a:alpha val="79000"/>
              </a:srgbClr>
            </a:solidFill>
            <a:ln>
              <a:solidFill>
                <a:srgbClr val="FD2D09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'DNA Measurements'!$BG$17:$BG$19</c:f>
                <c:numCache>
                  <c:formatCode>General</c:formatCode>
                  <c:ptCount val="3"/>
                  <c:pt idx="0">
                    <c:v>76.963651914287269</c:v>
                  </c:pt>
                  <c:pt idx="1">
                    <c:v>8.7063958733796181</c:v>
                  </c:pt>
                  <c:pt idx="2">
                    <c:v>25.165374770615962</c:v>
                  </c:pt>
                </c:numCache>
              </c:numRef>
            </c:plus>
            <c:minus>
              <c:numRef>
                <c:f>'DNA Measurements'!$BG$17:$BG$19</c:f>
                <c:numCache>
                  <c:formatCode>General</c:formatCode>
                  <c:ptCount val="3"/>
                  <c:pt idx="0">
                    <c:v>76.963651914287269</c:v>
                  </c:pt>
                  <c:pt idx="1">
                    <c:v>8.7063958733796181</c:v>
                  </c:pt>
                  <c:pt idx="2">
                    <c:v>25.165374770615962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'DNA Measurements'!$BA$14:$BA$16</c:f>
              <c:strCache>
                <c:ptCount val="3"/>
                <c:pt idx="0">
                  <c:v>0.6 kb</c:v>
                </c:pt>
                <c:pt idx="1">
                  <c:v>1.0 kb</c:v>
                </c:pt>
                <c:pt idx="2">
                  <c:v>2.0 kb</c:v>
                </c:pt>
              </c:strCache>
            </c:strRef>
          </c:cat>
          <c:val>
            <c:numRef>
              <c:f>'DNA Measurements'!$BF$17:$BF$19</c:f>
              <c:numCache>
                <c:formatCode>0.000</c:formatCode>
                <c:ptCount val="3"/>
                <c:pt idx="0">
                  <c:v>333.62465132996181</c:v>
                </c:pt>
                <c:pt idx="1">
                  <c:v>37.44190089398117</c:v>
                </c:pt>
                <c:pt idx="2">
                  <c:v>99.749866879896672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04-475D-8CB3-9F302F67E4BB}"/>
            </c:ext>
          </c:extLst>
        </c:ser>
        <c:ser>
          <c:idx val="2"/>
          <c:order val="2"/>
          <c:tx>
            <c:strRef>
              <c:f>'DNA Measurements'!$BB$20</c:f>
              <c:strCache>
                <c:ptCount val="1"/>
                <c:pt idx="0">
                  <c:v>.8 LA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'DNA Measurements'!$BG$20:$BG$22</c:f>
                <c:numCache>
                  <c:formatCode>General</c:formatCode>
                  <c:ptCount val="3"/>
                  <c:pt idx="0">
                    <c:v>32.107802389529688</c:v>
                  </c:pt>
                  <c:pt idx="1">
                    <c:v>6.2429853858941868</c:v>
                  </c:pt>
                  <c:pt idx="2">
                    <c:v>11.072299610860652</c:v>
                  </c:pt>
                </c:numCache>
              </c:numRef>
            </c:plus>
            <c:minus>
              <c:numRef>
                <c:f>'DNA Measurements'!$BG$20:$BG$22</c:f>
                <c:numCache>
                  <c:formatCode>General</c:formatCode>
                  <c:ptCount val="3"/>
                  <c:pt idx="0">
                    <c:v>32.107802389529688</c:v>
                  </c:pt>
                  <c:pt idx="1">
                    <c:v>6.2429853858941868</c:v>
                  </c:pt>
                  <c:pt idx="2">
                    <c:v>11.072299610860652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'DNA Measurements'!$BF$20:$BF$22</c:f>
              <c:numCache>
                <c:formatCode>0.000</c:formatCode>
                <c:ptCount val="3"/>
                <c:pt idx="0">
                  <c:v>123.69093706419594</c:v>
                </c:pt>
                <c:pt idx="1">
                  <c:v>23.164283542786126</c:v>
                </c:pt>
                <c:pt idx="2">
                  <c:v>28.548525209914335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04-475D-8CB3-9F302F67E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8952184"/>
        <c:axId val="1038946936"/>
      </c:barChart>
      <c:catAx>
        <c:axId val="1038952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Target</a:t>
                </a:r>
                <a:r>
                  <a:rPr lang="en-US" sz="2400" baseline="0"/>
                  <a:t> Size</a:t>
                </a:r>
                <a:endParaRPr lang="en-US" sz="2400"/>
              </a:p>
            </c:rich>
          </c:tx>
          <c:layout>
            <c:manualLayout>
              <c:xMode val="edge"/>
              <c:yMode val="edge"/>
              <c:x val="0.44230192344293928"/>
              <c:y val="0.907141400466072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38946936"/>
        <c:crosses val="autoZero"/>
        <c:auto val="1"/>
        <c:lblAlgn val="ctr"/>
        <c:lblOffset val="100"/>
        <c:noMultiLvlLbl val="0"/>
      </c:catAx>
      <c:valAx>
        <c:axId val="103894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/>
                  <a:t>Mean Concentration (nM)</a:t>
                </a:r>
              </a:p>
            </c:rich>
          </c:tx>
          <c:layout>
            <c:manualLayout>
              <c:xMode val="edge"/>
              <c:yMode val="edge"/>
              <c:x val="8.6502882071926801E-2"/>
              <c:y val="0.189223586454933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38952184"/>
        <c:crosses val="autoZero"/>
        <c:crossBetween val="between"/>
        <c:majorUnit val="100"/>
        <c:minorUnit val="5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048172603611995"/>
          <c:y val="0.22533956250521245"/>
          <c:w val="9.5082976249009424E-2"/>
          <c:h val="0.22085696463922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1 Standard : 1.5 kb Band Titer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Standards'!$Y$13:$Y$18</c:f>
              <c:numCache>
                <c:formatCode>General</c:formatCode>
                <c:ptCount val="6"/>
                <c:pt idx="0">
                  <c:v>8.75</c:v>
                </c:pt>
                <c:pt idx="1">
                  <c:v>4.375</c:v>
                </c:pt>
                <c:pt idx="2">
                  <c:v>2.1875</c:v>
                </c:pt>
                <c:pt idx="3">
                  <c:v>1.09375</c:v>
                </c:pt>
                <c:pt idx="4">
                  <c:v>0.546875</c:v>
                </c:pt>
                <c:pt idx="5">
                  <c:v>0</c:v>
                </c:pt>
              </c:numCache>
            </c:numRef>
          </c:xVal>
          <c:yVal>
            <c:numRef>
              <c:f>'Ladder Standards'!$Z$13:$Z$18</c:f>
              <c:numCache>
                <c:formatCode>General</c:formatCode>
                <c:ptCount val="6"/>
                <c:pt idx="0">
                  <c:v>9208.4259999999995</c:v>
                </c:pt>
                <c:pt idx="1">
                  <c:v>3902.4059999999999</c:v>
                </c:pt>
                <c:pt idx="2">
                  <c:v>2294.335</c:v>
                </c:pt>
                <c:pt idx="3">
                  <c:v>1375.335</c:v>
                </c:pt>
                <c:pt idx="4">
                  <c:v>873.79899999999998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F8-41DF-8B31-8A2A6B7D6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242928"/>
        <c:axId val="814246208"/>
      </c:scatterChart>
      <c:valAx>
        <c:axId val="814242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4246208"/>
        <c:crosses val="autoZero"/>
        <c:crossBetween val="midCat"/>
      </c:valAx>
      <c:valAx>
        <c:axId val="81424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4242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1 Standard : 1.0 kb Band Titer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968080910713455E-2"/>
                  <c:y val="0.327258034733229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Standards'!$Y$23:$Y$28</c:f>
              <c:numCache>
                <c:formatCode>General</c:formatCode>
                <c:ptCount val="6"/>
                <c:pt idx="0">
                  <c:v>3.75</c:v>
                </c:pt>
                <c:pt idx="1">
                  <c:v>1.875</c:v>
                </c:pt>
                <c:pt idx="2">
                  <c:v>0.9375</c:v>
                </c:pt>
                <c:pt idx="3">
                  <c:v>0.46875</c:v>
                </c:pt>
                <c:pt idx="4">
                  <c:v>0.234375</c:v>
                </c:pt>
                <c:pt idx="5">
                  <c:v>0</c:v>
                </c:pt>
              </c:numCache>
            </c:numRef>
          </c:xVal>
          <c:yVal>
            <c:numRef>
              <c:f>'Ladder Standards'!$Z$23:$Z$28</c:f>
              <c:numCache>
                <c:formatCode>General</c:formatCode>
                <c:ptCount val="6"/>
                <c:pt idx="0">
                  <c:v>3676.1840000000002</c:v>
                </c:pt>
                <c:pt idx="1">
                  <c:v>2407.87</c:v>
                </c:pt>
                <c:pt idx="2">
                  <c:v>1176.5060000000001</c:v>
                </c:pt>
                <c:pt idx="3">
                  <c:v>512.38499999999999</c:v>
                </c:pt>
                <c:pt idx="4">
                  <c:v>299.971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80-4EAB-B59E-D83219694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076776"/>
        <c:axId val="795172664"/>
      </c:scatterChart>
      <c:valAx>
        <c:axId val="814076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95172664"/>
        <c:crosses val="autoZero"/>
        <c:crossBetween val="midCat"/>
      </c:valAx>
      <c:valAx>
        <c:axId val="795172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4076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 3 (image 78) : All Titers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751845444442235"/>
                  <c:y val="-8.016185476815398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Standards'!$P$3:$P$53</c:f>
              <c:numCache>
                <c:formatCode>General</c:formatCode>
                <c:ptCount val="51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3.5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2</c:v>
                </c:pt>
                <c:pt idx="20">
                  <c:v>0.5</c:v>
                </c:pt>
                <c:pt idx="21">
                  <c:v>1.75</c:v>
                </c:pt>
                <c:pt idx="22">
                  <c:v>0.75</c:v>
                </c:pt>
                <c:pt idx="23">
                  <c:v>0.75</c:v>
                </c:pt>
                <c:pt idx="24">
                  <c:v>0.75</c:v>
                </c:pt>
                <c:pt idx="25">
                  <c:v>0.75</c:v>
                </c:pt>
                <c:pt idx="26">
                  <c:v>0.75</c:v>
                </c:pt>
                <c:pt idx="27">
                  <c:v>0.75</c:v>
                </c:pt>
                <c:pt idx="28">
                  <c:v>0.75</c:v>
                </c:pt>
                <c:pt idx="29">
                  <c:v>1</c:v>
                </c:pt>
                <c:pt idx="30">
                  <c:v>0.25</c:v>
                </c:pt>
                <c:pt idx="31">
                  <c:v>0.875</c:v>
                </c:pt>
                <c:pt idx="32">
                  <c:v>0.375</c:v>
                </c:pt>
                <c:pt idx="33">
                  <c:v>0.375</c:v>
                </c:pt>
                <c:pt idx="34">
                  <c:v>0.375</c:v>
                </c:pt>
                <c:pt idx="35">
                  <c:v>0.375</c:v>
                </c:pt>
                <c:pt idx="36">
                  <c:v>0.375</c:v>
                </c:pt>
                <c:pt idx="37">
                  <c:v>0.375</c:v>
                </c:pt>
                <c:pt idx="38">
                  <c:v>0.375</c:v>
                </c:pt>
                <c:pt idx="39">
                  <c:v>0.5</c:v>
                </c:pt>
                <c:pt idx="40">
                  <c:v>0.125</c:v>
                </c:pt>
                <c:pt idx="41">
                  <c:v>0.4375</c:v>
                </c:pt>
                <c:pt idx="42">
                  <c:v>0.1875</c:v>
                </c:pt>
                <c:pt idx="43">
                  <c:v>0.1875</c:v>
                </c:pt>
                <c:pt idx="44">
                  <c:v>0.1875</c:v>
                </c:pt>
                <c:pt idx="45">
                  <c:v>0.1875</c:v>
                </c:pt>
                <c:pt idx="46">
                  <c:v>0.1875</c:v>
                </c:pt>
                <c:pt idx="47">
                  <c:v>0.1875</c:v>
                </c:pt>
                <c:pt idx="48">
                  <c:v>0.1875</c:v>
                </c:pt>
                <c:pt idx="49">
                  <c:v>0.25</c:v>
                </c:pt>
                <c:pt idx="50">
                  <c:v>0</c:v>
                </c:pt>
              </c:numCache>
            </c:numRef>
          </c:xVal>
          <c:yVal>
            <c:numRef>
              <c:f>'Ladder Standards'!$Q$3:$Q$53</c:f>
              <c:numCache>
                <c:formatCode>General</c:formatCode>
                <c:ptCount val="51"/>
                <c:pt idx="0">
                  <c:v>2420.335</c:v>
                </c:pt>
                <c:pt idx="1">
                  <c:v>7954.3549999999996</c:v>
                </c:pt>
                <c:pt idx="2">
                  <c:v>3530.87</c:v>
                </c:pt>
                <c:pt idx="3">
                  <c:v>4317.87</c:v>
                </c:pt>
                <c:pt idx="4">
                  <c:v>4281.2839999999997</c:v>
                </c:pt>
                <c:pt idx="5">
                  <c:v>3973.2840000000001</c:v>
                </c:pt>
                <c:pt idx="6">
                  <c:v>3849.2840000000001</c:v>
                </c:pt>
                <c:pt idx="7">
                  <c:v>4455.87</c:v>
                </c:pt>
                <c:pt idx="8">
                  <c:v>3168.0419999999999</c:v>
                </c:pt>
                <c:pt idx="9">
                  <c:v>3964.82</c:v>
                </c:pt>
                <c:pt idx="10">
                  <c:v>1083.5060000000001</c:v>
                </c:pt>
                <c:pt idx="11">
                  <c:v>5730.4059999999999</c:v>
                </c:pt>
                <c:pt idx="12">
                  <c:v>1657.335</c:v>
                </c:pt>
                <c:pt idx="13">
                  <c:v>2021.335</c:v>
                </c:pt>
                <c:pt idx="14">
                  <c:v>1584.627</c:v>
                </c:pt>
                <c:pt idx="15">
                  <c:v>1392.92</c:v>
                </c:pt>
                <c:pt idx="16">
                  <c:v>1283.213</c:v>
                </c:pt>
                <c:pt idx="17">
                  <c:v>1421.5060000000001</c:v>
                </c:pt>
                <c:pt idx="18">
                  <c:v>1290.799</c:v>
                </c:pt>
                <c:pt idx="19">
                  <c:v>1757.2840000000001</c:v>
                </c:pt>
                <c:pt idx="20">
                  <c:v>466.971</c:v>
                </c:pt>
                <c:pt idx="21">
                  <c:v>3175.4560000000001</c:v>
                </c:pt>
                <c:pt idx="22">
                  <c:v>863.92</c:v>
                </c:pt>
                <c:pt idx="23">
                  <c:v>712.09199999999998</c:v>
                </c:pt>
                <c:pt idx="24">
                  <c:v>617.38499999999999</c:v>
                </c:pt>
                <c:pt idx="25">
                  <c:v>878.92</c:v>
                </c:pt>
                <c:pt idx="26">
                  <c:v>883.92</c:v>
                </c:pt>
                <c:pt idx="27">
                  <c:v>741.38499999999999</c:v>
                </c:pt>
                <c:pt idx="28">
                  <c:v>832.21299999999997</c:v>
                </c:pt>
                <c:pt idx="29">
                  <c:v>724.577</c:v>
                </c:pt>
                <c:pt idx="30">
                  <c:v>335.55599999999998</c:v>
                </c:pt>
                <c:pt idx="31">
                  <c:v>1981.92</c:v>
                </c:pt>
                <c:pt idx="32">
                  <c:v>502.09199999999998</c:v>
                </c:pt>
                <c:pt idx="33">
                  <c:v>516.09199999999998</c:v>
                </c:pt>
                <c:pt idx="34">
                  <c:v>331.26299999999998</c:v>
                </c:pt>
                <c:pt idx="35">
                  <c:v>476.09199999999998</c:v>
                </c:pt>
                <c:pt idx="36">
                  <c:v>487.38499999999999</c:v>
                </c:pt>
                <c:pt idx="37">
                  <c:v>406.678</c:v>
                </c:pt>
                <c:pt idx="38">
                  <c:v>486.09199999999998</c:v>
                </c:pt>
                <c:pt idx="39">
                  <c:v>479.04199999999997</c:v>
                </c:pt>
                <c:pt idx="40">
                  <c:v>138.72800000000001</c:v>
                </c:pt>
                <c:pt idx="41">
                  <c:v>617.971</c:v>
                </c:pt>
                <c:pt idx="42">
                  <c:v>153.435</c:v>
                </c:pt>
                <c:pt idx="43">
                  <c:v>220.26300000000001</c:v>
                </c:pt>
                <c:pt idx="44">
                  <c:v>170.84899999999999</c:v>
                </c:pt>
                <c:pt idx="45">
                  <c:v>197.55600000000001</c:v>
                </c:pt>
                <c:pt idx="46">
                  <c:v>206.55600000000001</c:v>
                </c:pt>
                <c:pt idx="47">
                  <c:v>164.84899999999999</c:v>
                </c:pt>
                <c:pt idx="48">
                  <c:v>230.678</c:v>
                </c:pt>
                <c:pt idx="49">
                  <c:v>205.26300000000001</c:v>
                </c:pt>
                <c:pt idx="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FA-4969-9DF1-292DDB34B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720280"/>
        <c:axId val="481720608"/>
      </c:scatterChart>
      <c:valAx>
        <c:axId val="481720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1720608"/>
        <c:crosses val="autoZero"/>
        <c:crossBetween val="midCat"/>
      </c:valAx>
      <c:valAx>
        <c:axId val="48172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1720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3 Standard : 2.0 kb Band Titer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6.5929317914293892E-2"/>
          <c:y val="3.19184334603625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680069031077718"/>
                  <c:y val="-4.205672207640711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Standards'!$AC$4:$AC$9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</c:v>
                </c:pt>
              </c:numCache>
            </c:numRef>
          </c:xVal>
          <c:yVal>
            <c:numRef>
              <c:f>'Ladder Standards'!$AD$4:$AD$9</c:f>
              <c:numCache>
                <c:formatCode>General</c:formatCode>
                <c:ptCount val="6"/>
                <c:pt idx="0">
                  <c:v>2420.335</c:v>
                </c:pt>
                <c:pt idx="1">
                  <c:v>1083.5060000000001</c:v>
                </c:pt>
                <c:pt idx="2">
                  <c:v>466.971</c:v>
                </c:pt>
                <c:pt idx="3">
                  <c:v>335.55599999999998</c:v>
                </c:pt>
                <c:pt idx="4">
                  <c:v>138.72800000000001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F-43A0-AF34-1898AF10C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929912"/>
        <c:axId val="814930240"/>
      </c:scatterChart>
      <c:valAx>
        <c:axId val="814929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4930240"/>
        <c:crosses val="autoZero"/>
        <c:crossBetween val="midCat"/>
      </c:valAx>
      <c:valAx>
        <c:axId val="81493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4929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3 Standard : 1.5 kb Band Titer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981353014853181"/>
                  <c:y val="0.143634076990376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Standards'!$AC$14:$AC$19</c:f>
              <c:numCache>
                <c:formatCode>General</c:formatCode>
                <c:ptCount val="6"/>
                <c:pt idx="0">
                  <c:v>7</c:v>
                </c:pt>
                <c:pt idx="1">
                  <c:v>3.5</c:v>
                </c:pt>
                <c:pt idx="2">
                  <c:v>1.75</c:v>
                </c:pt>
                <c:pt idx="3">
                  <c:v>0.875</c:v>
                </c:pt>
                <c:pt idx="4">
                  <c:v>0.4375</c:v>
                </c:pt>
                <c:pt idx="5">
                  <c:v>0</c:v>
                </c:pt>
              </c:numCache>
            </c:numRef>
          </c:xVal>
          <c:yVal>
            <c:numRef>
              <c:f>'Ladder Standards'!$AD$14:$AD$19</c:f>
              <c:numCache>
                <c:formatCode>General</c:formatCode>
                <c:ptCount val="6"/>
                <c:pt idx="0">
                  <c:v>7954.3549999999996</c:v>
                </c:pt>
                <c:pt idx="1">
                  <c:v>5730.4059999999999</c:v>
                </c:pt>
                <c:pt idx="2">
                  <c:v>3175.4560000000001</c:v>
                </c:pt>
                <c:pt idx="3">
                  <c:v>1981.92</c:v>
                </c:pt>
                <c:pt idx="4">
                  <c:v>617.971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138-4F7C-8E97-B95061266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719464"/>
        <c:axId val="691719792"/>
      </c:scatterChart>
      <c:valAx>
        <c:axId val="691719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1719792"/>
        <c:crosses val="autoZero"/>
        <c:crossBetween val="midCat"/>
      </c:valAx>
      <c:valAx>
        <c:axId val="69171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1719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Gel</a:t>
            </a:r>
            <a:r>
              <a:rPr lang="en-US" baseline="0"/>
              <a:t> 2 Image 62 Standard : All Titers</a:t>
            </a:r>
          </a:p>
        </c:rich>
      </c:tx>
      <c:layout>
        <c:manualLayout>
          <c:xMode val="edge"/>
          <c:yMode val="edge"/>
          <c:x val="0.13581023361696748"/>
          <c:y val="1.28765808453255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Standards'!$J$3:$J$43</c:f>
              <c:numCache>
                <c:formatCode>General</c:formatCode>
                <c:ptCount val="41"/>
                <c:pt idx="0">
                  <c:v>1.25</c:v>
                </c:pt>
                <c:pt idx="1">
                  <c:v>4.375</c:v>
                </c:pt>
                <c:pt idx="2">
                  <c:v>1.875</c:v>
                </c:pt>
                <c:pt idx="3">
                  <c:v>1.875</c:v>
                </c:pt>
                <c:pt idx="4">
                  <c:v>1.875</c:v>
                </c:pt>
                <c:pt idx="5">
                  <c:v>1.875</c:v>
                </c:pt>
                <c:pt idx="6">
                  <c:v>1.875</c:v>
                </c:pt>
                <c:pt idx="7">
                  <c:v>1.875</c:v>
                </c:pt>
                <c:pt idx="8">
                  <c:v>1.875</c:v>
                </c:pt>
                <c:pt idx="9">
                  <c:v>2.5</c:v>
                </c:pt>
                <c:pt idx="10">
                  <c:v>0.625</c:v>
                </c:pt>
                <c:pt idx="11">
                  <c:v>2.1875</c:v>
                </c:pt>
                <c:pt idx="12">
                  <c:v>0.9375</c:v>
                </c:pt>
                <c:pt idx="13">
                  <c:v>0.9375</c:v>
                </c:pt>
                <c:pt idx="14">
                  <c:v>0.9375</c:v>
                </c:pt>
                <c:pt idx="15">
                  <c:v>0.9375</c:v>
                </c:pt>
                <c:pt idx="16">
                  <c:v>0.9375</c:v>
                </c:pt>
                <c:pt idx="17">
                  <c:v>0.9375</c:v>
                </c:pt>
                <c:pt idx="18">
                  <c:v>0.9375</c:v>
                </c:pt>
                <c:pt idx="19">
                  <c:v>1.25</c:v>
                </c:pt>
                <c:pt idx="20">
                  <c:v>0.3125</c:v>
                </c:pt>
                <c:pt idx="21">
                  <c:v>1.09375</c:v>
                </c:pt>
                <c:pt idx="22">
                  <c:v>0.46875</c:v>
                </c:pt>
                <c:pt idx="23">
                  <c:v>0.46875</c:v>
                </c:pt>
                <c:pt idx="24">
                  <c:v>0.46875</c:v>
                </c:pt>
                <c:pt idx="25">
                  <c:v>0.46875</c:v>
                </c:pt>
                <c:pt idx="26">
                  <c:v>0.46875</c:v>
                </c:pt>
                <c:pt idx="27">
                  <c:v>0.46875</c:v>
                </c:pt>
                <c:pt idx="28">
                  <c:v>0.46875</c:v>
                </c:pt>
                <c:pt idx="29">
                  <c:v>0.625</c:v>
                </c:pt>
                <c:pt idx="30">
                  <c:v>0.15625</c:v>
                </c:pt>
                <c:pt idx="31">
                  <c:v>0.546875</c:v>
                </c:pt>
                <c:pt idx="32">
                  <c:v>0.234375</c:v>
                </c:pt>
                <c:pt idx="33">
                  <c:v>0.234375</c:v>
                </c:pt>
                <c:pt idx="34">
                  <c:v>0.234375</c:v>
                </c:pt>
                <c:pt idx="35">
                  <c:v>0.234375</c:v>
                </c:pt>
                <c:pt idx="36">
                  <c:v>0.234375</c:v>
                </c:pt>
                <c:pt idx="37">
                  <c:v>0.234375</c:v>
                </c:pt>
                <c:pt idx="38">
                  <c:v>0.234375</c:v>
                </c:pt>
                <c:pt idx="39">
                  <c:v>0.3125</c:v>
                </c:pt>
                <c:pt idx="40">
                  <c:v>0</c:v>
                </c:pt>
              </c:numCache>
            </c:numRef>
          </c:xVal>
          <c:yVal>
            <c:numRef>
              <c:f>'Ladder Standards'!$K$3:$K$43</c:f>
              <c:numCache>
                <c:formatCode>General</c:formatCode>
                <c:ptCount val="41"/>
                <c:pt idx="0">
                  <c:v>1543.92</c:v>
                </c:pt>
                <c:pt idx="1">
                  <c:v>5476.82</c:v>
                </c:pt>
                <c:pt idx="2">
                  <c:v>2190.87</c:v>
                </c:pt>
                <c:pt idx="3">
                  <c:v>2040.4559999999999</c:v>
                </c:pt>
                <c:pt idx="4">
                  <c:v>1787.749</c:v>
                </c:pt>
                <c:pt idx="5">
                  <c:v>1928.163</c:v>
                </c:pt>
                <c:pt idx="6">
                  <c:v>1801.87</c:v>
                </c:pt>
                <c:pt idx="7">
                  <c:v>1669.749</c:v>
                </c:pt>
                <c:pt idx="8">
                  <c:v>1503.335</c:v>
                </c:pt>
                <c:pt idx="9">
                  <c:v>1649.577</c:v>
                </c:pt>
                <c:pt idx="10">
                  <c:v>559.09199999999998</c:v>
                </c:pt>
                <c:pt idx="11">
                  <c:v>2702.5770000000002</c:v>
                </c:pt>
                <c:pt idx="12">
                  <c:v>651.09199999999998</c:v>
                </c:pt>
                <c:pt idx="13">
                  <c:v>588.38499999999999</c:v>
                </c:pt>
                <c:pt idx="14">
                  <c:v>509.971</c:v>
                </c:pt>
                <c:pt idx="15">
                  <c:v>615.79899999999998</c:v>
                </c:pt>
                <c:pt idx="16">
                  <c:v>610.09199999999998</c:v>
                </c:pt>
                <c:pt idx="17">
                  <c:v>626.09199999999998</c:v>
                </c:pt>
                <c:pt idx="18">
                  <c:v>621.38499999999999</c:v>
                </c:pt>
                <c:pt idx="19">
                  <c:v>730.04200000000003</c:v>
                </c:pt>
                <c:pt idx="20">
                  <c:v>347.38499999999999</c:v>
                </c:pt>
                <c:pt idx="21">
                  <c:v>1573.335</c:v>
                </c:pt>
                <c:pt idx="22">
                  <c:v>415.971</c:v>
                </c:pt>
                <c:pt idx="23">
                  <c:v>392.55599999999998</c:v>
                </c:pt>
                <c:pt idx="24">
                  <c:v>322.142</c:v>
                </c:pt>
                <c:pt idx="25">
                  <c:v>400.971</c:v>
                </c:pt>
                <c:pt idx="26">
                  <c:v>351.26299999999998</c:v>
                </c:pt>
                <c:pt idx="27">
                  <c:v>395.678</c:v>
                </c:pt>
                <c:pt idx="28">
                  <c:v>354.678</c:v>
                </c:pt>
                <c:pt idx="29">
                  <c:v>450.62700000000001</c:v>
                </c:pt>
                <c:pt idx="30">
                  <c:v>121.31399999999999</c:v>
                </c:pt>
                <c:pt idx="31">
                  <c:v>566.50599999999997</c:v>
                </c:pt>
                <c:pt idx="32">
                  <c:v>169.435</c:v>
                </c:pt>
                <c:pt idx="33">
                  <c:v>205.678</c:v>
                </c:pt>
                <c:pt idx="34">
                  <c:v>139.435</c:v>
                </c:pt>
                <c:pt idx="35">
                  <c:v>202.55600000000001</c:v>
                </c:pt>
                <c:pt idx="36">
                  <c:v>182.84899999999999</c:v>
                </c:pt>
                <c:pt idx="37">
                  <c:v>149.142</c:v>
                </c:pt>
                <c:pt idx="38">
                  <c:v>162.84899999999999</c:v>
                </c:pt>
                <c:pt idx="39">
                  <c:v>249.38499999999999</c:v>
                </c:pt>
                <c:pt idx="4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A0-4AF2-9BC6-2DC02A81C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717000"/>
        <c:axId val="807351128"/>
      </c:scatterChart>
      <c:valAx>
        <c:axId val="481717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7351128"/>
        <c:crosses val="autoZero"/>
        <c:crossBetween val="midCat"/>
      </c:valAx>
      <c:valAx>
        <c:axId val="80735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1717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Gel 2 Standard : 2.0 kb Band Titer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'Ladder Standards'!$AA$5:$AA$9</c:f>
              <c:numCache>
                <c:formatCode>General</c:formatCode>
                <c:ptCount val="5"/>
                <c:pt idx="0">
                  <c:v>1.25</c:v>
                </c:pt>
                <c:pt idx="1">
                  <c:v>0.625</c:v>
                </c:pt>
                <c:pt idx="2">
                  <c:v>0.3125</c:v>
                </c:pt>
                <c:pt idx="3">
                  <c:v>0.15625</c:v>
                </c:pt>
                <c:pt idx="4">
                  <c:v>0</c:v>
                </c:pt>
              </c:numCache>
            </c:numRef>
          </c:xVal>
          <c:yVal>
            <c:numRef>
              <c:f>'Ladder Standards'!$AB$5:$AB$9</c:f>
              <c:numCache>
                <c:formatCode>General</c:formatCode>
                <c:ptCount val="5"/>
                <c:pt idx="0">
                  <c:v>1543.92</c:v>
                </c:pt>
                <c:pt idx="1">
                  <c:v>559.09199999999998</c:v>
                </c:pt>
                <c:pt idx="2">
                  <c:v>347.38499999999999</c:v>
                </c:pt>
                <c:pt idx="3">
                  <c:v>121.31399999999999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5B-4B25-AA1E-32B2D6D68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134888"/>
        <c:axId val="813621696"/>
      </c:scatterChart>
      <c:valAx>
        <c:axId val="805134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3621696"/>
        <c:crosses val="autoZero"/>
        <c:crossBetween val="midCat"/>
      </c:valAx>
      <c:valAx>
        <c:axId val="81362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05134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340178</xdr:colOff>
      <xdr:row>3</xdr:row>
      <xdr:rowOff>78242</xdr:rowOff>
    </xdr:from>
    <xdr:to>
      <xdr:col>39</xdr:col>
      <xdr:colOff>169490</xdr:colOff>
      <xdr:row>17</xdr:row>
      <xdr:rowOff>154442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269A9556-9901-4F84-BB08-E42EFB21D5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441402</xdr:colOff>
      <xdr:row>18</xdr:row>
      <xdr:rowOff>89830</xdr:rowOff>
    </xdr:from>
    <xdr:to>
      <xdr:col>39</xdr:col>
      <xdr:colOff>274514</xdr:colOff>
      <xdr:row>32</xdr:row>
      <xdr:rowOff>163347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F90925D7-D2DE-4C74-8F68-078AF9A068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342178</xdr:colOff>
      <xdr:row>33</xdr:row>
      <xdr:rowOff>92969</xdr:rowOff>
    </xdr:from>
    <xdr:to>
      <xdr:col>39</xdr:col>
      <xdr:colOff>168087</xdr:colOff>
      <xdr:row>47</xdr:row>
      <xdr:rowOff>169169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4CA2BB8-A7C7-4724-9C5B-1EFD14546A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554529</xdr:colOff>
      <xdr:row>47</xdr:row>
      <xdr:rowOff>178721</xdr:rowOff>
    </xdr:from>
    <xdr:to>
      <xdr:col>39</xdr:col>
      <xdr:colOff>378386</xdr:colOff>
      <xdr:row>62</xdr:row>
      <xdr:rowOff>96312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6C90C4F8-39C0-4FD7-AD97-1DBAF5F3A8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477337</xdr:colOff>
      <xdr:row>3</xdr:row>
      <xdr:rowOff>121955</xdr:rowOff>
    </xdr:from>
    <xdr:to>
      <xdr:col>51</xdr:col>
      <xdr:colOff>284079</xdr:colOff>
      <xdr:row>18</xdr:row>
      <xdr:rowOff>10338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169CCC40-17A5-4D81-BF33-04AD1095F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45</xdr:col>
      <xdr:colOff>466387</xdr:colOff>
      <xdr:row>13</xdr:row>
      <xdr:rowOff>121570</xdr:rowOff>
    </xdr:from>
    <xdr:to>
      <xdr:col>51</xdr:col>
      <xdr:colOff>568159</xdr:colOff>
      <xdr:row>28</xdr:row>
      <xdr:rowOff>16094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3011A9B6-AAE3-4850-AE67-744042F253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45</xdr:col>
      <xdr:colOff>549974</xdr:colOff>
      <xdr:row>20</xdr:row>
      <xdr:rowOff>27193</xdr:rowOff>
    </xdr:from>
    <xdr:to>
      <xdr:col>51</xdr:col>
      <xdr:colOff>584868</xdr:colOff>
      <xdr:row>34</xdr:row>
      <xdr:rowOff>96710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8136CA8C-870D-4D19-BD38-0074ABFEC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365300</xdr:colOff>
      <xdr:row>3</xdr:row>
      <xdr:rowOff>126570</xdr:rowOff>
    </xdr:from>
    <xdr:to>
      <xdr:col>45</xdr:col>
      <xdr:colOff>284080</xdr:colOff>
      <xdr:row>19</xdr:row>
      <xdr:rowOff>144377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id="{4D1117BC-8F70-4BC4-A5C9-63DC05BD5A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39</xdr:col>
      <xdr:colOff>66843</xdr:colOff>
      <xdr:row>14</xdr:row>
      <xdr:rowOff>118910</xdr:rowOff>
    </xdr:from>
    <xdr:to>
      <xdr:col>44</xdr:col>
      <xdr:colOff>498740</xdr:colOff>
      <xdr:row>29</xdr:row>
      <xdr:rowOff>11294</xdr:rowOff>
    </xdr:to>
    <xdr:graphicFrame macro="">
      <xdr:nvGraphicFramePr>
        <xdr:cNvPr id="73" name="Chart 72">
          <a:extLst>
            <a:ext uri="{FF2B5EF4-FFF2-40B4-BE49-F238E27FC236}">
              <a16:creationId xmlns:a16="http://schemas.microsoft.com/office/drawing/2014/main" id="{0210B918-51D7-4457-B2B5-DB0DC049E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39</xdr:col>
      <xdr:colOff>233947</xdr:colOff>
      <xdr:row>23</xdr:row>
      <xdr:rowOff>165746</xdr:rowOff>
    </xdr:from>
    <xdr:to>
      <xdr:col>45</xdr:col>
      <xdr:colOff>92816</xdr:colOff>
      <xdr:row>38</xdr:row>
      <xdr:rowOff>54128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id="{2EDCC39A-CAA4-4FC4-AE34-1B426A28B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40</xdr:col>
      <xdr:colOff>217238</xdr:colOff>
      <xdr:row>29</xdr:row>
      <xdr:rowOff>16266</xdr:rowOff>
    </xdr:from>
    <xdr:to>
      <xdr:col>45</xdr:col>
      <xdr:colOff>503799</xdr:colOff>
      <xdr:row>43</xdr:row>
      <xdr:rowOff>92467</xdr:rowOff>
    </xdr:to>
    <xdr:graphicFrame macro="">
      <xdr:nvGraphicFramePr>
        <xdr:cNvPr id="75" name="Chart 74">
          <a:extLst>
            <a:ext uri="{FF2B5EF4-FFF2-40B4-BE49-F238E27FC236}">
              <a16:creationId xmlns:a16="http://schemas.microsoft.com/office/drawing/2014/main" id="{A51D4BB8-733F-4A29-A54C-A60AE71A2B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39</xdr:col>
      <xdr:colOff>467896</xdr:colOff>
      <xdr:row>39</xdr:row>
      <xdr:rowOff>149326</xdr:rowOff>
    </xdr:from>
    <xdr:to>
      <xdr:col>46</xdr:col>
      <xdr:colOff>28323</xdr:colOff>
      <xdr:row>54</xdr:row>
      <xdr:rowOff>41710</xdr:rowOff>
    </xdr:to>
    <xdr:graphicFrame macro="">
      <xdr:nvGraphicFramePr>
        <xdr:cNvPr id="76" name="Chart 75">
          <a:extLst>
            <a:ext uri="{FF2B5EF4-FFF2-40B4-BE49-F238E27FC236}">
              <a16:creationId xmlns:a16="http://schemas.microsoft.com/office/drawing/2014/main" id="{2F0DCB47-EF23-4DDE-A8BE-E6742D775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45</xdr:col>
      <xdr:colOff>503613</xdr:colOff>
      <xdr:row>25</xdr:row>
      <xdr:rowOff>43176</xdr:rowOff>
    </xdr:from>
    <xdr:to>
      <xdr:col>51</xdr:col>
      <xdr:colOff>534737</xdr:colOff>
      <xdr:row>39</xdr:row>
      <xdr:rowOff>112691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68B75562-EB4A-4D48-A03F-8C9F522932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45</xdr:col>
      <xdr:colOff>520402</xdr:colOff>
      <xdr:row>33</xdr:row>
      <xdr:rowOff>108779</xdr:rowOff>
    </xdr:from>
    <xdr:to>
      <xdr:col>52</xdr:col>
      <xdr:colOff>50130</xdr:colOff>
      <xdr:row>48</xdr:row>
      <xdr:rowOff>1163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2A18556B-C00A-490E-B1FB-95F8FC5D6B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46</xdr:col>
      <xdr:colOff>18230</xdr:colOff>
      <xdr:row>40</xdr:row>
      <xdr:rowOff>102468</xdr:rowOff>
    </xdr:from>
    <xdr:to>
      <xdr:col>52</xdr:col>
      <xdr:colOff>133684</xdr:colOff>
      <xdr:row>54</xdr:row>
      <xdr:rowOff>178668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8E3EE70E-6F0A-4B69-9AE6-BF35CA09D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52</xdr:col>
      <xdr:colOff>116973</xdr:colOff>
      <xdr:row>2</xdr:row>
      <xdr:rowOff>16710</xdr:rowOff>
    </xdr:from>
    <xdr:to>
      <xdr:col>56</xdr:col>
      <xdr:colOff>450648</xdr:colOff>
      <xdr:row>16</xdr:row>
      <xdr:rowOff>92910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A1293BB3-9DC1-4C4E-BA8B-8903A95C6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53</xdr:col>
      <xdr:colOff>240207</xdr:colOff>
      <xdr:row>12</xdr:row>
      <xdr:rowOff>55851</xdr:rowOff>
    </xdr:from>
    <xdr:to>
      <xdr:col>57</xdr:col>
      <xdr:colOff>561946</xdr:colOff>
      <xdr:row>26</xdr:row>
      <xdr:rowOff>132050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9363930C-B311-425D-9BDE-C12F3CE41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54</xdr:col>
      <xdr:colOff>535075</xdr:colOff>
      <xdr:row>16</xdr:row>
      <xdr:rowOff>137961</xdr:rowOff>
    </xdr:from>
    <xdr:to>
      <xdr:col>61</xdr:col>
      <xdr:colOff>256370</xdr:colOff>
      <xdr:row>31</xdr:row>
      <xdr:rowOff>23661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9C354D2E-1269-428A-A28B-286AB715D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56</xdr:col>
      <xdr:colOff>233554</xdr:colOff>
      <xdr:row>20</xdr:row>
      <xdr:rowOff>32948</xdr:rowOff>
    </xdr:from>
    <xdr:to>
      <xdr:col>62</xdr:col>
      <xdr:colOff>292535</xdr:colOff>
      <xdr:row>34</xdr:row>
      <xdr:rowOff>109148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B6848AF6-F1CC-49D7-92CB-B304EF5538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1123619</xdr:colOff>
      <xdr:row>16</xdr:row>
      <xdr:rowOff>154878</xdr:rowOff>
    </xdr:from>
    <xdr:to>
      <xdr:col>61</xdr:col>
      <xdr:colOff>387196</xdr:colOff>
      <xdr:row>44</xdr:row>
      <xdr:rowOff>139390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A1B0D1F-CF66-46F9-9FA6-E76C13EC98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27997-57C4-48BD-BE72-1AEA67004E81}">
  <dimension ref="A1:AI109"/>
  <sheetViews>
    <sheetView topLeftCell="A5" zoomScale="85" zoomScaleNormal="85" workbookViewId="0">
      <selection sqref="A1:F1048576"/>
    </sheetView>
  </sheetViews>
  <sheetFormatPr baseColWidth="10" defaultColWidth="9.1640625" defaultRowHeight="15"/>
  <cols>
    <col min="1" max="1" width="8.33203125" style="9" customWidth="1"/>
    <col min="2" max="2" width="6.1640625" style="9" customWidth="1"/>
    <col min="3" max="5" width="9.1640625" style="9"/>
    <col min="6" max="6" width="9.1640625" style="2"/>
    <col min="7" max="7" width="7.33203125" style="2" customWidth="1"/>
    <col min="8" max="8" width="6.33203125" style="2" customWidth="1"/>
    <col min="9" max="12" width="9.1640625" style="2"/>
    <col min="13" max="13" width="8.5" style="9" customWidth="1"/>
    <col min="14" max="14" width="4.6640625" style="9" customWidth="1"/>
    <col min="15" max="17" width="9.1640625" style="9"/>
    <col min="18" max="18" width="8.83203125" style="9" customWidth="1"/>
    <col min="19" max="19" width="6.83203125" style="2" customWidth="1"/>
    <col min="20" max="20" width="5.5" style="2" customWidth="1"/>
    <col min="21" max="23" width="9.1640625" style="2"/>
    <col min="24" max="24" width="10.5" style="2" customWidth="1"/>
    <col min="25" max="25" width="9.1640625" style="2"/>
    <col min="26" max="26" width="4.83203125" style="2" customWidth="1"/>
    <col min="27" max="27" width="12" style="2" customWidth="1"/>
    <col min="28" max="28" width="10.83203125" style="2" customWidth="1"/>
    <col min="29" max="29" width="18.1640625" style="2" customWidth="1"/>
    <col min="30" max="30" width="12.5" style="2" customWidth="1"/>
    <col min="31" max="31" width="7.5" style="2" customWidth="1"/>
    <col min="32" max="32" width="6.83203125" style="2" customWidth="1"/>
    <col min="33" max="33" width="8.5" style="2" customWidth="1"/>
    <col min="34" max="34" width="10.83203125" style="2" customWidth="1"/>
    <col min="35" max="35" width="14.5" style="2" customWidth="1"/>
    <col min="36" max="16384" width="9.1640625" style="2"/>
  </cols>
  <sheetData>
    <row r="1" spans="1:35">
      <c r="A1" s="41" t="s">
        <v>20</v>
      </c>
      <c r="B1" s="41"/>
      <c r="C1" s="41"/>
      <c r="D1" s="41"/>
      <c r="E1" s="41"/>
      <c r="G1" s="41" t="s">
        <v>19</v>
      </c>
      <c r="H1" s="41"/>
      <c r="I1" s="41"/>
      <c r="J1" s="41"/>
      <c r="K1" s="41"/>
      <c r="L1" s="41"/>
      <c r="M1" s="41" t="s">
        <v>59</v>
      </c>
      <c r="N1" s="41"/>
      <c r="O1" s="41"/>
      <c r="P1" s="41"/>
      <c r="Q1" s="41"/>
      <c r="S1" s="41" t="s">
        <v>61</v>
      </c>
      <c r="T1" s="41"/>
      <c r="U1" s="41"/>
      <c r="V1" s="41"/>
      <c r="W1" s="41"/>
      <c r="Y1" s="41" t="s">
        <v>108</v>
      </c>
      <c r="Z1" s="41"/>
      <c r="AA1" s="41"/>
      <c r="AB1" s="41"/>
      <c r="AC1" s="41"/>
      <c r="AE1" s="41" t="s">
        <v>86</v>
      </c>
      <c r="AF1" s="41"/>
      <c r="AG1" s="41"/>
      <c r="AH1" s="41"/>
      <c r="AI1" s="41"/>
    </row>
    <row r="2" spans="1:35">
      <c r="A2" s="41" t="s">
        <v>3</v>
      </c>
      <c r="B2" s="41"/>
      <c r="C2" s="9" t="s">
        <v>10</v>
      </c>
      <c r="D2" s="9" t="s">
        <v>9</v>
      </c>
      <c r="E2" s="9" t="s">
        <v>11</v>
      </c>
      <c r="G2" s="41" t="s">
        <v>3</v>
      </c>
      <c r="H2" s="41"/>
      <c r="I2" s="2" t="s">
        <v>10</v>
      </c>
      <c r="J2" s="2" t="s">
        <v>9</v>
      </c>
      <c r="K2" s="2" t="s">
        <v>11</v>
      </c>
      <c r="M2" s="41" t="s">
        <v>3</v>
      </c>
      <c r="N2" s="41"/>
      <c r="O2" s="9" t="s">
        <v>10</v>
      </c>
      <c r="P2" s="9" t="s">
        <v>9</v>
      </c>
      <c r="Q2" s="9" t="s">
        <v>11</v>
      </c>
      <c r="S2" s="41" t="s">
        <v>3</v>
      </c>
      <c r="T2" s="41"/>
      <c r="U2" s="2" t="s">
        <v>10</v>
      </c>
      <c r="V2" s="2" t="s">
        <v>9</v>
      </c>
      <c r="W2" s="2" t="s">
        <v>11</v>
      </c>
      <c r="Y2" s="41" t="s">
        <v>3</v>
      </c>
      <c r="Z2" s="41"/>
      <c r="AA2" s="9" t="s">
        <v>10</v>
      </c>
      <c r="AB2" s="9" t="s">
        <v>9</v>
      </c>
      <c r="AC2" s="9" t="s">
        <v>11</v>
      </c>
      <c r="AE2" s="41" t="s">
        <v>3</v>
      </c>
      <c r="AF2" s="41"/>
      <c r="AG2" s="17" t="s">
        <v>10</v>
      </c>
      <c r="AH2" s="17" t="s">
        <v>9</v>
      </c>
      <c r="AI2" s="17" t="s">
        <v>11</v>
      </c>
    </row>
    <row r="3" spans="1:35">
      <c r="A3" s="3" t="s">
        <v>2</v>
      </c>
      <c r="B3" s="3">
        <v>125</v>
      </c>
      <c r="C3" s="3">
        <v>2000</v>
      </c>
      <c r="D3" s="3">
        <v>5</v>
      </c>
      <c r="E3" s="3">
        <v>5235.1130000000003</v>
      </c>
      <c r="G3" s="7" t="s">
        <v>2</v>
      </c>
      <c r="H3" s="7">
        <v>125</v>
      </c>
      <c r="I3" s="7">
        <v>2000</v>
      </c>
      <c r="J3" s="7">
        <v>5</v>
      </c>
      <c r="K3" s="7">
        <v>3492.7489999999998</v>
      </c>
      <c r="M3" s="7" t="s">
        <v>2</v>
      </c>
      <c r="N3" s="7">
        <v>125</v>
      </c>
      <c r="O3" s="7">
        <v>2000</v>
      </c>
      <c r="P3" s="7">
        <v>5</v>
      </c>
      <c r="Q3" s="7">
        <v>3051.7489999999998</v>
      </c>
      <c r="S3" s="18" t="s">
        <v>2</v>
      </c>
      <c r="T3" s="18">
        <v>100</v>
      </c>
      <c r="U3" s="18">
        <v>2000</v>
      </c>
      <c r="V3" s="18">
        <v>4</v>
      </c>
      <c r="W3" s="18">
        <v>3010.7489999999998</v>
      </c>
      <c r="Y3" s="18" t="s">
        <v>2</v>
      </c>
      <c r="Z3" s="18">
        <v>100</v>
      </c>
      <c r="AA3" s="18">
        <v>2000</v>
      </c>
      <c r="AB3" s="18">
        <v>4</v>
      </c>
      <c r="AC3" s="18">
        <v>3870.0419999999999</v>
      </c>
      <c r="AE3" s="24" t="s">
        <v>2</v>
      </c>
      <c r="AF3" s="24">
        <v>100</v>
      </c>
      <c r="AG3" s="24">
        <v>2000</v>
      </c>
      <c r="AH3" s="24">
        <v>4</v>
      </c>
      <c r="AI3" s="24">
        <v>2091.92</v>
      </c>
    </row>
    <row r="4" spans="1:35">
      <c r="A4" s="3"/>
      <c r="B4" s="3"/>
      <c r="C4" s="3">
        <v>1500</v>
      </c>
      <c r="D4" s="3">
        <v>17.5</v>
      </c>
      <c r="E4" s="3">
        <v>9208.4259999999995</v>
      </c>
      <c r="G4" s="7"/>
      <c r="H4" s="7"/>
      <c r="I4" s="7">
        <v>1500</v>
      </c>
      <c r="J4" s="7">
        <v>17.5</v>
      </c>
      <c r="K4" s="7">
        <v>7140.1840000000002</v>
      </c>
      <c r="M4" s="7"/>
      <c r="N4" s="7"/>
      <c r="O4" s="7">
        <v>1500</v>
      </c>
      <c r="P4" s="7">
        <v>17.5</v>
      </c>
      <c r="Q4" s="7">
        <v>7186.77</v>
      </c>
      <c r="S4" s="18"/>
      <c r="T4" s="18"/>
      <c r="U4" s="18">
        <v>1500</v>
      </c>
      <c r="V4" s="18">
        <v>14</v>
      </c>
      <c r="W4" s="18">
        <v>7932.598</v>
      </c>
      <c r="Y4" s="18"/>
      <c r="Z4" s="18"/>
      <c r="AA4" s="18">
        <v>1500</v>
      </c>
      <c r="AB4" s="18">
        <v>14</v>
      </c>
      <c r="AC4" s="18">
        <v>8791.1839999999993</v>
      </c>
      <c r="AE4" s="24"/>
      <c r="AF4" s="24"/>
      <c r="AG4" s="24">
        <v>1500</v>
      </c>
      <c r="AH4" s="24">
        <v>14</v>
      </c>
      <c r="AI4" s="24">
        <v>5703.2839999999997</v>
      </c>
    </row>
    <row r="5" spans="1:35">
      <c r="A5" s="3"/>
      <c r="B5" s="3"/>
      <c r="C5" s="3">
        <v>1000</v>
      </c>
      <c r="D5" s="3">
        <v>7.5</v>
      </c>
      <c r="E5" s="3">
        <v>3676.1840000000002</v>
      </c>
      <c r="G5" s="7"/>
      <c r="H5" s="7"/>
      <c r="I5" s="7">
        <v>1000</v>
      </c>
      <c r="J5" s="7">
        <v>7.5</v>
      </c>
      <c r="K5" s="7">
        <v>4108.5770000000002</v>
      </c>
      <c r="M5" s="7"/>
      <c r="N5" s="7"/>
      <c r="O5" s="7">
        <v>1000</v>
      </c>
      <c r="P5" s="7">
        <v>7.5</v>
      </c>
      <c r="Q5" s="7">
        <v>3510.87</v>
      </c>
      <c r="S5" s="18"/>
      <c r="T5" s="18"/>
      <c r="U5" s="18">
        <v>1000</v>
      </c>
      <c r="V5" s="18">
        <v>6</v>
      </c>
      <c r="W5" s="18">
        <v>5094.9409999999998</v>
      </c>
      <c r="Y5" s="18"/>
      <c r="Z5" s="18"/>
      <c r="AA5" s="18">
        <v>1000</v>
      </c>
      <c r="AB5" s="18">
        <v>6</v>
      </c>
      <c r="AC5" s="18">
        <v>5236.6980000000003</v>
      </c>
      <c r="AE5" s="24"/>
      <c r="AF5" s="24"/>
      <c r="AG5" s="24">
        <v>1000</v>
      </c>
      <c r="AH5" s="24">
        <v>6</v>
      </c>
      <c r="AI5" s="24">
        <v>3036.627</v>
      </c>
    </row>
    <row r="6" spans="1:35">
      <c r="A6" s="3"/>
      <c r="B6" s="3"/>
      <c r="C6" s="3">
        <v>850</v>
      </c>
      <c r="D6" s="3">
        <v>7.5</v>
      </c>
      <c r="E6" s="3">
        <v>3364.8910000000001</v>
      </c>
      <c r="G6" s="7"/>
      <c r="H6" s="7"/>
      <c r="I6" s="7">
        <v>850</v>
      </c>
      <c r="J6" s="7">
        <v>7.5</v>
      </c>
      <c r="K6" s="7">
        <v>3980.2840000000001</v>
      </c>
      <c r="M6" s="7"/>
      <c r="N6" s="7"/>
      <c r="O6" s="7">
        <v>850</v>
      </c>
      <c r="P6" s="7">
        <v>7.5</v>
      </c>
      <c r="Q6" s="7">
        <v>3190.991</v>
      </c>
      <c r="S6" s="18"/>
      <c r="T6" s="18"/>
      <c r="U6" s="18">
        <v>850</v>
      </c>
      <c r="V6" s="18">
        <v>6</v>
      </c>
      <c r="W6" s="18">
        <v>4750.1130000000003</v>
      </c>
      <c r="Y6" s="18"/>
      <c r="Z6" s="18"/>
      <c r="AA6" s="18">
        <v>850</v>
      </c>
      <c r="AB6" s="18">
        <v>6</v>
      </c>
      <c r="AC6" s="18">
        <v>4980.5770000000002</v>
      </c>
      <c r="AE6" s="24"/>
      <c r="AF6" s="24"/>
      <c r="AG6" s="24">
        <v>850</v>
      </c>
      <c r="AH6" s="24">
        <v>6</v>
      </c>
      <c r="AI6" s="24">
        <v>3012.627</v>
      </c>
    </row>
    <row r="7" spans="1:35">
      <c r="A7" s="3"/>
      <c r="B7" s="3"/>
      <c r="C7" s="3">
        <v>650</v>
      </c>
      <c r="D7" s="3">
        <v>7.5</v>
      </c>
      <c r="E7" s="3">
        <v>3103.82</v>
      </c>
      <c r="G7" s="7"/>
      <c r="H7" s="7"/>
      <c r="I7" s="7">
        <v>650</v>
      </c>
      <c r="J7" s="7">
        <v>7.5</v>
      </c>
      <c r="K7" s="7">
        <v>3604.2840000000001</v>
      </c>
      <c r="M7" s="7"/>
      <c r="N7" s="7"/>
      <c r="O7" s="7">
        <v>650</v>
      </c>
      <c r="P7" s="7">
        <v>7.5</v>
      </c>
      <c r="Q7" s="7">
        <v>2701.4560000000001</v>
      </c>
      <c r="S7" s="18"/>
      <c r="T7" s="18"/>
      <c r="U7" s="18">
        <v>650</v>
      </c>
      <c r="V7" s="18">
        <v>6</v>
      </c>
      <c r="W7" s="18">
        <v>4480.82</v>
      </c>
      <c r="Y7" s="18"/>
      <c r="Z7" s="18"/>
      <c r="AA7" s="18">
        <v>650</v>
      </c>
      <c r="AB7" s="18">
        <v>6</v>
      </c>
      <c r="AC7" s="18">
        <v>4298.6980000000003</v>
      </c>
      <c r="AE7" s="24"/>
      <c r="AF7" s="24"/>
      <c r="AG7" s="24">
        <v>650</v>
      </c>
      <c r="AH7" s="24">
        <v>6</v>
      </c>
      <c r="AI7" s="24">
        <v>2750.7489999999998</v>
      </c>
    </row>
    <row r="8" spans="1:35">
      <c r="A8" s="3"/>
      <c r="B8" s="3"/>
      <c r="C8" s="3">
        <v>500</v>
      </c>
      <c r="D8" s="3">
        <v>7.5</v>
      </c>
      <c r="E8" s="3">
        <v>3266.527</v>
      </c>
      <c r="G8" s="7"/>
      <c r="H8" s="7"/>
      <c r="I8" s="7">
        <v>500</v>
      </c>
      <c r="J8" s="7">
        <v>7.5</v>
      </c>
      <c r="K8" s="7">
        <v>3692.991</v>
      </c>
      <c r="M8" s="7"/>
      <c r="N8" s="7"/>
      <c r="O8" s="7">
        <v>500</v>
      </c>
      <c r="P8" s="7">
        <v>7.5</v>
      </c>
      <c r="Q8" s="7">
        <v>2767.2840000000001</v>
      </c>
      <c r="S8" s="18"/>
      <c r="T8" s="18"/>
      <c r="U8" s="18">
        <v>500</v>
      </c>
      <c r="V8" s="18">
        <v>6</v>
      </c>
      <c r="W8" s="18">
        <v>4749.1130000000003</v>
      </c>
      <c r="Y8" s="18"/>
      <c r="Z8" s="18"/>
      <c r="AA8" s="18">
        <v>500</v>
      </c>
      <c r="AB8" s="18">
        <v>6</v>
      </c>
      <c r="AC8" s="18">
        <v>3476.6979999999999</v>
      </c>
      <c r="AE8" s="24"/>
      <c r="AF8" s="24"/>
      <c r="AG8" s="24">
        <v>500</v>
      </c>
      <c r="AH8" s="24">
        <v>6</v>
      </c>
      <c r="AI8" s="24">
        <v>2713.0419999999999</v>
      </c>
    </row>
    <row r="9" spans="1:35">
      <c r="A9" s="3"/>
      <c r="B9" s="3"/>
      <c r="C9" s="3">
        <v>400</v>
      </c>
      <c r="D9" s="3">
        <v>7.5</v>
      </c>
      <c r="E9" s="3">
        <v>3364.2339999999999</v>
      </c>
      <c r="G9" s="7"/>
      <c r="H9" s="7"/>
      <c r="I9" s="7">
        <v>400</v>
      </c>
      <c r="J9" s="7">
        <v>7.5</v>
      </c>
      <c r="K9" s="7">
        <v>3675.4059999999999</v>
      </c>
      <c r="M9" s="7"/>
      <c r="N9" s="7"/>
      <c r="O9" s="7">
        <v>400</v>
      </c>
      <c r="P9" s="7">
        <v>7.5</v>
      </c>
      <c r="Q9" s="7">
        <v>2662.2840000000001</v>
      </c>
      <c r="S9" s="18"/>
      <c r="T9" s="18"/>
      <c r="U9" s="18">
        <v>400</v>
      </c>
      <c r="V9" s="18">
        <v>6</v>
      </c>
      <c r="W9" s="18">
        <v>4309.4059999999999</v>
      </c>
      <c r="Y9" s="18"/>
      <c r="Z9" s="18"/>
      <c r="AA9" s="18">
        <v>400</v>
      </c>
      <c r="AB9" s="18">
        <v>6</v>
      </c>
      <c r="AC9" s="18">
        <v>2912.87</v>
      </c>
      <c r="AE9" s="24"/>
      <c r="AF9" s="24"/>
      <c r="AG9" s="24">
        <v>400</v>
      </c>
      <c r="AH9" s="24">
        <v>6</v>
      </c>
      <c r="AI9" s="24">
        <v>2496.4560000000001</v>
      </c>
    </row>
    <row r="10" spans="1:35">
      <c r="A10" s="3"/>
      <c r="B10" s="3"/>
      <c r="C10" s="3">
        <v>300</v>
      </c>
      <c r="D10" s="3">
        <v>7.5</v>
      </c>
      <c r="E10" s="3">
        <v>4307.3549999999996</v>
      </c>
      <c r="G10" s="7"/>
      <c r="H10" s="7"/>
      <c r="I10" s="7">
        <v>300</v>
      </c>
      <c r="J10" s="7">
        <v>7.5</v>
      </c>
      <c r="K10" s="7">
        <v>3619.991</v>
      </c>
      <c r="M10" s="7"/>
      <c r="N10" s="7"/>
      <c r="O10" s="7">
        <v>300</v>
      </c>
      <c r="P10" s="7">
        <v>7.5</v>
      </c>
      <c r="Q10" s="7">
        <v>2656.2840000000001</v>
      </c>
      <c r="S10" s="18"/>
      <c r="T10" s="18"/>
      <c r="U10" s="18">
        <v>300</v>
      </c>
      <c r="V10" s="18">
        <v>6</v>
      </c>
      <c r="W10" s="23">
        <v>4252.991</v>
      </c>
      <c r="Y10" s="18"/>
      <c r="Z10" s="18"/>
      <c r="AA10" s="18">
        <v>300</v>
      </c>
      <c r="AB10" s="18">
        <v>6</v>
      </c>
      <c r="AC10" s="18">
        <v>3345.5770000000002</v>
      </c>
      <c r="AE10" s="24"/>
      <c r="AF10" s="24"/>
      <c r="AG10" s="24">
        <v>300</v>
      </c>
      <c r="AH10" s="24">
        <v>6</v>
      </c>
      <c r="AI10" s="24">
        <v>2424.627</v>
      </c>
    </row>
    <row r="11" spans="1:35">
      <c r="A11" s="3"/>
      <c r="B11" s="3"/>
      <c r="C11" s="3">
        <v>200</v>
      </c>
      <c r="D11" s="3">
        <v>7.5</v>
      </c>
      <c r="E11" s="3">
        <v>4695.0619999999999</v>
      </c>
      <c r="G11" s="7"/>
      <c r="H11" s="7"/>
      <c r="I11" s="7">
        <v>200</v>
      </c>
      <c r="J11" s="7">
        <v>7.5</v>
      </c>
      <c r="K11" s="7">
        <v>3461.4059999999999</v>
      </c>
      <c r="M11" s="7"/>
      <c r="N11" s="7"/>
      <c r="O11" s="7">
        <v>200</v>
      </c>
      <c r="P11" s="7">
        <v>7.5</v>
      </c>
      <c r="Q11" s="7">
        <v>2415.87</v>
      </c>
      <c r="S11" s="18"/>
      <c r="T11" s="18"/>
      <c r="U11" s="18">
        <v>200</v>
      </c>
      <c r="V11" s="18">
        <v>6</v>
      </c>
      <c r="W11" s="23">
        <v>4127.5770000000002</v>
      </c>
      <c r="Y11" s="18"/>
      <c r="Z11" s="18"/>
      <c r="AA11" s="18">
        <v>200</v>
      </c>
      <c r="AB11" s="18">
        <v>6</v>
      </c>
      <c r="AC11" s="18">
        <v>2950.0419999999999</v>
      </c>
      <c r="AE11" s="24"/>
      <c r="AF11" s="24"/>
      <c r="AG11" s="24">
        <v>200</v>
      </c>
      <c r="AH11" s="24">
        <v>6</v>
      </c>
      <c r="AI11" s="24">
        <v>2782.335</v>
      </c>
    </row>
    <row r="12" spans="1:35">
      <c r="A12" s="3"/>
      <c r="B12" s="3"/>
      <c r="C12" s="3">
        <v>100</v>
      </c>
      <c r="D12" s="3">
        <v>10</v>
      </c>
      <c r="E12" s="3">
        <v>4908.6480000000001</v>
      </c>
      <c r="G12" s="7"/>
      <c r="H12" s="7"/>
      <c r="I12" s="7">
        <v>100</v>
      </c>
      <c r="J12" s="7">
        <v>10</v>
      </c>
      <c r="K12" s="7">
        <v>3784.82</v>
      </c>
      <c r="M12" s="7"/>
      <c r="N12" s="7"/>
      <c r="O12" s="7">
        <v>100</v>
      </c>
      <c r="P12" s="7">
        <v>10</v>
      </c>
      <c r="Q12" s="7">
        <v>2607.2840000000001</v>
      </c>
      <c r="S12" s="18"/>
      <c r="T12" s="18"/>
      <c r="U12" s="18">
        <v>100</v>
      </c>
      <c r="V12" s="18">
        <v>8</v>
      </c>
      <c r="W12" s="23">
        <v>4568.3549999999996</v>
      </c>
      <c r="Y12" s="18"/>
      <c r="Z12" s="18"/>
      <c r="AA12" s="18">
        <v>100</v>
      </c>
      <c r="AB12" s="18">
        <v>8</v>
      </c>
      <c r="AC12" s="18">
        <v>4689.1130000000003</v>
      </c>
      <c r="AE12" s="24"/>
      <c r="AF12" s="24">
        <v>50</v>
      </c>
      <c r="AG12" s="24">
        <v>2000</v>
      </c>
      <c r="AH12" s="24">
        <v>2</v>
      </c>
      <c r="AI12" s="24">
        <v>1368.0920000000001</v>
      </c>
    </row>
    <row r="13" spans="1:35">
      <c r="A13" s="3"/>
      <c r="B13" s="3">
        <v>62.5</v>
      </c>
      <c r="C13" s="3">
        <v>2000</v>
      </c>
      <c r="D13" s="3">
        <v>2.5</v>
      </c>
      <c r="E13" s="3">
        <v>2061.87</v>
      </c>
      <c r="G13" s="7"/>
      <c r="H13" s="7">
        <v>62.5</v>
      </c>
      <c r="I13" s="7">
        <v>2000</v>
      </c>
      <c r="J13" s="7">
        <v>2.5</v>
      </c>
      <c r="K13" s="7">
        <v>2785.0419999999999</v>
      </c>
      <c r="M13" s="7"/>
      <c r="N13" s="7">
        <v>62.5</v>
      </c>
      <c r="O13" s="7">
        <v>2000</v>
      </c>
      <c r="P13" s="7">
        <v>2.5</v>
      </c>
      <c r="Q13" s="7">
        <v>1877.92</v>
      </c>
      <c r="S13" s="18"/>
      <c r="T13" s="18">
        <v>50</v>
      </c>
      <c r="U13" s="18">
        <v>2000</v>
      </c>
      <c r="V13" s="18">
        <v>2</v>
      </c>
      <c r="W13" s="23">
        <v>2337.163</v>
      </c>
      <c r="Y13" s="18"/>
      <c r="Z13" s="18">
        <v>50</v>
      </c>
      <c r="AA13" s="18">
        <v>2000</v>
      </c>
      <c r="AB13" s="18">
        <v>2</v>
      </c>
      <c r="AC13" s="18">
        <v>2420.335</v>
      </c>
      <c r="AE13" s="24"/>
      <c r="AF13" s="24"/>
      <c r="AG13" s="24">
        <v>1500</v>
      </c>
      <c r="AH13" s="24">
        <v>7</v>
      </c>
      <c r="AI13" s="24">
        <v>5153.7489999999998</v>
      </c>
    </row>
    <row r="14" spans="1:35">
      <c r="A14" s="3"/>
      <c r="B14" s="3"/>
      <c r="C14" s="3">
        <v>1500</v>
      </c>
      <c r="D14" s="3">
        <v>8.75</v>
      </c>
      <c r="E14" s="3">
        <v>3902.4059999999999</v>
      </c>
      <c r="G14" s="7"/>
      <c r="H14" s="7"/>
      <c r="I14" s="7">
        <v>1500</v>
      </c>
      <c r="J14" s="7">
        <v>8.75</v>
      </c>
      <c r="K14" s="7">
        <v>5884.9409999999998</v>
      </c>
      <c r="M14" s="7"/>
      <c r="N14" s="7"/>
      <c r="O14" s="7">
        <v>1500</v>
      </c>
      <c r="P14" s="7">
        <v>8.75</v>
      </c>
      <c r="Q14" s="7">
        <v>5771.0619999999999</v>
      </c>
      <c r="S14" s="18"/>
      <c r="T14" s="18"/>
      <c r="U14" s="18">
        <v>1500</v>
      </c>
      <c r="V14" s="18">
        <v>7</v>
      </c>
      <c r="W14" s="23">
        <v>7448.3050000000003</v>
      </c>
      <c r="Y14" s="18"/>
      <c r="Z14" s="18"/>
      <c r="AA14" s="18">
        <v>1500</v>
      </c>
      <c r="AB14" s="18">
        <v>7</v>
      </c>
      <c r="AC14" s="18">
        <v>7954.3549999999996</v>
      </c>
      <c r="AE14" s="24"/>
      <c r="AF14" s="24"/>
      <c r="AG14" s="24">
        <v>1000</v>
      </c>
      <c r="AH14" s="24">
        <v>3</v>
      </c>
      <c r="AI14" s="24">
        <v>1912.5060000000001</v>
      </c>
    </row>
    <row r="15" spans="1:35">
      <c r="A15" s="3"/>
      <c r="B15" s="3"/>
      <c r="C15" s="3">
        <v>1000</v>
      </c>
      <c r="D15" s="3">
        <v>3.75</v>
      </c>
      <c r="E15" s="3">
        <v>2407.87</v>
      </c>
      <c r="G15" s="7"/>
      <c r="H15" s="7"/>
      <c r="I15" s="7">
        <v>1000</v>
      </c>
      <c r="J15" s="7">
        <v>3.75</v>
      </c>
      <c r="K15" s="7">
        <v>3214.87</v>
      </c>
      <c r="M15" s="7"/>
      <c r="N15" s="7"/>
      <c r="O15" s="7">
        <v>1000</v>
      </c>
      <c r="P15" s="7">
        <v>3.75</v>
      </c>
      <c r="Q15" s="7">
        <v>2207.163</v>
      </c>
      <c r="S15" s="18"/>
      <c r="T15" s="18"/>
      <c r="U15" s="18">
        <v>1000</v>
      </c>
      <c r="V15" s="18">
        <v>3</v>
      </c>
      <c r="W15" s="18">
        <v>2843.4059999999999</v>
      </c>
      <c r="Y15" s="18"/>
      <c r="Z15" s="18"/>
      <c r="AA15" s="18">
        <v>1000</v>
      </c>
      <c r="AB15" s="18">
        <v>3</v>
      </c>
      <c r="AC15" s="18">
        <v>3530.87</v>
      </c>
      <c r="AE15" s="24"/>
      <c r="AF15" s="24"/>
      <c r="AG15" s="24">
        <v>850</v>
      </c>
      <c r="AH15" s="24">
        <v>3</v>
      </c>
      <c r="AI15" s="24">
        <v>1847.799</v>
      </c>
    </row>
    <row r="16" spans="1:35">
      <c r="A16" s="3"/>
      <c r="B16" s="3"/>
      <c r="C16" s="3">
        <v>850</v>
      </c>
      <c r="D16" s="3">
        <v>3.75</v>
      </c>
      <c r="E16" s="3">
        <v>2069.163</v>
      </c>
      <c r="G16" s="7"/>
      <c r="H16" s="7"/>
      <c r="I16" s="7">
        <v>850</v>
      </c>
      <c r="J16" s="7">
        <v>3.75</v>
      </c>
      <c r="K16" s="7">
        <v>2808.163</v>
      </c>
      <c r="M16" s="7"/>
      <c r="N16" s="7"/>
      <c r="O16" s="7">
        <v>850</v>
      </c>
      <c r="P16" s="7">
        <v>3.75</v>
      </c>
      <c r="Q16" s="7">
        <v>1866.4559999999999</v>
      </c>
      <c r="S16" s="18"/>
      <c r="T16" s="18"/>
      <c r="U16" s="18">
        <v>850</v>
      </c>
      <c r="V16" s="18">
        <v>3</v>
      </c>
      <c r="W16" s="18">
        <v>2517.991</v>
      </c>
      <c r="Y16" s="18"/>
      <c r="Z16" s="18"/>
      <c r="AA16" s="18">
        <v>850</v>
      </c>
      <c r="AB16" s="18">
        <v>3</v>
      </c>
      <c r="AC16" s="18">
        <v>4317.87</v>
      </c>
      <c r="AE16" s="24"/>
      <c r="AF16" s="24"/>
      <c r="AG16" s="24">
        <v>650</v>
      </c>
      <c r="AH16" s="24">
        <v>3</v>
      </c>
      <c r="AI16" s="24">
        <v>1579.5060000000001</v>
      </c>
    </row>
    <row r="17" spans="1:35">
      <c r="A17" s="3"/>
      <c r="B17" s="3"/>
      <c r="C17" s="3">
        <v>650</v>
      </c>
      <c r="D17" s="3">
        <v>3.75</v>
      </c>
      <c r="E17" s="3">
        <v>2261.6979999999999</v>
      </c>
      <c r="G17" s="7"/>
      <c r="H17" s="7"/>
      <c r="I17" s="7">
        <v>650</v>
      </c>
      <c r="J17" s="7">
        <v>3.75</v>
      </c>
      <c r="K17" s="7">
        <v>2505.7489999999998</v>
      </c>
      <c r="M17" s="7"/>
      <c r="N17" s="7"/>
      <c r="O17" s="7">
        <v>650</v>
      </c>
      <c r="P17" s="7">
        <v>3.75</v>
      </c>
      <c r="Q17" s="7">
        <v>1733.335</v>
      </c>
      <c r="S17" s="18"/>
      <c r="T17" s="18"/>
      <c r="U17" s="18">
        <v>650</v>
      </c>
      <c r="V17" s="18">
        <v>3</v>
      </c>
      <c r="W17" s="18">
        <v>2320.991</v>
      </c>
      <c r="Y17" s="18"/>
      <c r="Z17" s="18"/>
      <c r="AA17" s="18">
        <v>650</v>
      </c>
      <c r="AB17" s="18">
        <v>3</v>
      </c>
      <c r="AC17" s="18">
        <v>4281.2839999999997</v>
      </c>
      <c r="AE17" s="24"/>
      <c r="AF17" s="24"/>
      <c r="AG17" s="24">
        <v>500</v>
      </c>
      <c r="AH17" s="24">
        <v>3</v>
      </c>
      <c r="AI17" s="24">
        <v>1645.213</v>
      </c>
    </row>
    <row r="18" spans="1:35">
      <c r="A18" s="3"/>
      <c r="B18" s="3"/>
      <c r="C18" s="3">
        <v>500</v>
      </c>
      <c r="D18" s="3">
        <v>3.75</v>
      </c>
      <c r="E18" s="3">
        <v>2083.2840000000001</v>
      </c>
      <c r="G18" s="7"/>
      <c r="H18" s="7"/>
      <c r="I18" s="7">
        <v>500</v>
      </c>
      <c r="J18" s="7">
        <v>3.75</v>
      </c>
      <c r="K18" s="7">
        <v>2585.0419999999999</v>
      </c>
      <c r="M18" s="7"/>
      <c r="N18" s="7"/>
      <c r="O18" s="7">
        <v>500</v>
      </c>
      <c r="P18" s="7">
        <v>3.75</v>
      </c>
      <c r="Q18" s="7">
        <v>1803.87</v>
      </c>
      <c r="S18" s="18"/>
      <c r="T18" s="18"/>
      <c r="U18" s="18">
        <v>500</v>
      </c>
      <c r="V18" s="18">
        <v>3</v>
      </c>
      <c r="W18" s="18">
        <v>2541.8200000000002</v>
      </c>
      <c r="Y18" s="18"/>
      <c r="Z18" s="18"/>
      <c r="AA18" s="18">
        <v>500</v>
      </c>
      <c r="AB18" s="18">
        <v>3</v>
      </c>
      <c r="AC18" s="18">
        <v>3973.2840000000001</v>
      </c>
      <c r="AE18" s="24"/>
      <c r="AF18" s="24"/>
      <c r="AG18" s="24">
        <v>400</v>
      </c>
      <c r="AH18" s="24">
        <v>3</v>
      </c>
      <c r="AI18" s="24">
        <v>1536.0920000000001</v>
      </c>
    </row>
    <row r="19" spans="1:35">
      <c r="A19" s="3"/>
      <c r="B19" s="3"/>
      <c r="C19" s="3">
        <v>400</v>
      </c>
      <c r="D19" s="3">
        <v>3.75</v>
      </c>
      <c r="E19" s="3">
        <v>2173.2840000000001</v>
      </c>
      <c r="G19" s="7"/>
      <c r="H19" s="7"/>
      <c r="I19" s="7">
        <v>400</v>
      </c>
      <c r="J19" s="7">
        <v>3.75</v>
      </c>
      <c r="K19" s="7">
        <v>2578.163</v>
      </c>
      <c r="M19" s="7"/>
      <c r="N19" s="7"/>
      <c r="O19" s="7">
        <v>400</v>
      </c>
      <c r="P19" s="7">
        <v>3.75</v>
      </c>
      <c r="Q19" s="7">
        <v>1727.0419999999999</v>
      </c>
      <c r="S19" s="18"/>
      <c r="T19" s="18"/>
      <c r="U19" s="18">
        <v>400</v>
      </c>
      <c r="V19" s="18">
        <v>3</v>
      </c>
      <c r="W19" s="18">
        <v>2376.991</v>
      </c>
      <c r="Y19" s="18"/>
      <c r="Z19" s="18"/>
      <c r="AA19" s="18">
        <v>400</v>
      </c>
      <c r="AB19" s="18">
        <v>3</v>
      </c>
      <c r="AC19" s="18">
        <v>3849.2840000000001</v>
      </c>
      <c r="AE19" s="24"/>
      <c r="AF19" s="24"/>
      <c r="AG19" s="24">
        <v>300</v>
      </c>
      <c r="AH19" s="24">
        <v>3</v>
      </c>
      <c r="AI19" s="24">
        <v>1613.6780000000001</v>
      </c>
    </row>
    <row r="20" spans="1:35">
      <c r="A20" s="3"/>
      <c r="B20" s="3"/>
      <c r="C20" s="3">
        <v>300</v>
      </c>
      <c r="D20" s="3">
        <v>3.75</v>
      </c>
      <c r="E20" s="3">
        <v>2403.991</v>
      </c>
      <c r="G20" s="7"/>
      <c r="H20" s="7"/>
      <c r="I20" s="7">
        <v>300</v>
      </c>
      <c r="J20" s="7">
        <v>3.75</v>
      </c>
      <c r="K20" s="7">
        <v>2426.163</v>
      </c>
      <c r="M20" s="7"/>
      <c r="N20" s="7"/>
      <c r="O20" s="7">
        <v>300</v>
      </c>
      <c r="P20" s="7">
        <v>3.75</v>
      </c>
      <c r="Q20" s="7">
        <v>1658.749</v>
      </c>
      <c r="S20" s="18"/>
      <c r="T20" s="18"/>
      <c r="U20" s="18">
        <v>300</v>
      </c>
      <c r="V20" s="18">
        <v>3</v>
      </c>
      <c r="W20" s="18">
        <v>2295.9409999999998</v>
      </c>
      <c r="Y20" s="18"/>
      <c r="Z20" s="18"/>
      <c r="AA20" s="18">
        <v>300</v>
      </c>
      <c r="AB20" s="18">
        <v>3</v>
      </c>
      <c r="AC20" s="18">
        <v>4455.87</v>
      </c>
      <c r="AE20" s="24"/>
      <c r="AF20" s="24"/>
      <c r="AG20" s="24">
        <v>200</v>
      </c>
      <c r="AH20" s="24">
        <v>3</v>
      </c>
      <c r="AI20" s="24">
        <v>1837.0920000000001</v>
      </c>
    </row>
    <row r="21" spans="1:35">
      <c r="A21" s="3"/>
      <c r="B21" s="3"/>
      <c r="C21" s="3">
        <v>200</v>
      </c>
      <c r="D21" s="3">
        <v>3.75</v>
      </c>
      <c r="E21" s="3">
        <v>2430.2840000000001</v>
      </c>
      <c r="G21" s="7"/>
      <c r="H21" s="7"/>
      <c r="I21" s="7">
        <v>200</v>
      </c>
      <c r="J21" s="7">
        <v>3.75</v>
      </c>
      <c r="K21" s="7">
        <v>2474.4560000000001</v>
      </c>
      <c r="M21" s="7"/>
      <c r="N21" s="7"/>
      <c r="O21" s="7">
        <v>200</v>
      </c>
      <c r="P21" s="7">
        <v>3.75</v>
      </c>
      <c r="Q21" s="7">
        <v>1706.4559999999999</v>
      </c>
      <c r="S21" s="18"/>
      <c r="T21" s="18"/>
      <c r="U21" s="18">
        <v>200</v>
      </c>
      <c r="V21" s="18">
        <v>3</v>
      </c>
      <c r="W21" s="18">
        <v>2314.2840000000001</v>
      </c>
      <c r="Y21" s="18"/>
      <c r="Z21" s="18"/>
      <c r="AA21" s="18">
        <v>200</v>
      </c>
      <c r="AB21" s="18">
        <v>3</v>
      </c>
      <c r="AC21" s="18">
        <v>3168.0419999999999</v>
      </c>
      <c r="AE21" s="24"/>
      <c r="AF21" s="24">
        <v>25</v>
      </c>
      <c r="AG21" s="24">
        <v>2000</v>
      </c>
      <c r="AH21" s="24">
        <v>1</v>
      </c>
      <c r="AI21" s="24">
        <v>494.971</v>
      </c>
    </row>
    <row r="22" spans="1:35">
      <c r="A22" s="3"/>
      <c r="B22" s="3"/>
      <c r="C22" s="3">
        <v>100</v>
      </c>
      <c r="D22" s="3">
        <v>5</v>
      </c>
      <c r="E22" s="3">
        <v>2707.82</v>
      </c>
      <c r="G22" s="7"/>
      <c r="H22" s="7"/>
      <c r="I22" s="7">
        <v>100</v>
      </c>
      <c r="J22" s="7">
        <v>5</v>
      </c>
      <c r="K22" s="7">
        <v>2975.6979999999999</v>
      </c>
      <c r="M22" s="7"/>
      <c r="N22" s="7"/>
      <c r="O22" s="7">
        <v>100</v>
      </c>
      <c r="P22" s="7">
        <v>5</v>
      </c>
      <c r="Q22" s="7">
        <v>2091.991</v>
      </c>
      <c r="S22" s="18"/>
      <c r="T22" s="18"/>
      <c r="U22" s="18">
        <v>100</v>
      </c>
      <c r="V22" s="18">
        <v>4</v>
      </c>
      <c r="W22" s="18">
        <v>2601.355</v>
      </c>
      <c r="Y22" s="18"/>
      <c r="Z22" s="18"/>
      <c r="AA22" s="18">
        <v>100</v>
      </c>
      <c r="AB22" s="18">
        <v>4</v>
      </c>
      <c r="AC22" s="18">
        <v>3964.82</v>
      </c>
      <c r="AE22" s="24"/>
      <c r="AF22" s="24"/>
      <c r="AG22" s="24">
        <v>1500</v>
      </c>
      <c r="AH22" s="24">
        <v>3.5</v>
      </c>
      <c r="AI22" s="24">
        <v>2893.2130000000002</v>
      </c>
    </row>
    <row r="23" spans="1:35">
      <c r="A23" s="3"/>
      <c r="B23" s="3">
        <v>31.25</v>
      </c>
      <c r="C23" s="3">
        <v>2000</v>
      </c>
      <c r="D23" s="3">
        <f t="shared" ref="D23:D52" si="0">D13/2</f>
        <v>1.25</v>
      </c>
      <c r="E23" s="3">
        <v>989.92</v>
      </c>
      <c r="G23" s="7"/>
      <c r="H23" s="7">
        <v>31.25</v>
      </c>
      <c r="I23" s="7">
        <v>2000</v>
      </c>
      <c r="J23" s="7">
        <f t="shared" ref="J23:J62" si="1">J13/2</f>
        <v>1.25</v>
      </c>
      <c r="K23" s="7">
        <v>2229.335</v>
      </c>
      <c r="M23" s="7"/>
      <c r="N23" s="7">
        <v>31.25</v>
      </c>
      <c r="O23" s="7">
        <v>2000</v>
      </c>
      <c r="P23" s="7">
        <f t="shared" ref="P23:P62" si="2">P13/2</f>
        <v>1.25</v>
      </c>
      <c r="Q23" s="7">
        <v>1543.92</v>
      </c>
      <c r="S23" s="18"/>
      <c r="T23" s="18">
        <v>25</v>
      </c>
      <c r="U23" s="18">
        <v>2000</v>
      </c>
      <c r="V23" s="18">
        <v>1</v>
      </c>
      <c r="W23" s="18">
        <v>866.62699999999995</v>
      </c>
      <c r="Y23" s="18"/>
      <c r="Z23" s="18">
        <v>25</v>
      </c>
      <c r="AA23" s="18">
        <v>2000</v>
      </c>
      <c r="AB23" s="18">
        <v>1</v>
      </c>
      <c r="AC23" s="18">
        <v>1083.5060000000001</v>
      </c>
      <c r="AE23" s="24"/>
      <c r="AF23" s="24"/>
      <c r="AG23" s="24">
        <v>1000</v>
      </c>
      <c r="AH23" s="24">
        <v>1.5</v>
      </c>
      <c r="AI23" s="24">
        <v>784.971</v>
      </c>
    </row>
    <row r="24" spans="1:35">
      <c r="A24" s="3"/>
      <c r="B24" s="3"/>
      <c r="C24" s="3">
        <v>1500</v>
      </c>
      <c r="D24" s="3">
        <f t="shared" si="0"/>
        <v>4.375</v>
      </c>
      <c r="E24" s="3">
        <v>2294.335</v>
      </c>
      <c r="G24" s="7"/>
      <c r="H24" s="7"/>
      <c r="I24" s="7">
        <v>1500</v>
      </c>
      <c r="J24" s="7">
        <f t="shared" si="1"/>
        <v>4.375</v>
      </c>
      <c r="K24" s="7">
        <v>5478.527</v>
      </c>
      <c r="M24" s="7"/>
      <c r="N24" s="7"/>
      <c r="O24" s="7">
        <v>1500</v>
      </c>
      <c r="P24" s="7">
        <f t="shared" si="2"/>
        <v>4.375</v>
      </c>
      <c r="Q24" s="7">
        <v>5476.82</v>
      </c>
      <c r="S24" s="18"/>
      <c r="T24" s="18"/>
      <c r="U24" s="18">
        <v>1500</v>
      </c>
      <c r="V24" s="18">
        <v>3.5</v>
      </c>
      <c r="W24" s="18">
        <v>4741.1130000000003</v>
      </c>
      <c r="Y24" s="18"/>
      <c r="Z24" s="18"/>
      <c r="AA24" s="18">
        <v>1500</v>
      </c>
      <c r="AB24" s="18">
        <v>3.5</v>
      </c>
      <c r="AC24" s="18">
        <v>5730.4059999999999</v>
      </c>
      <c r="AE24" s="24"/>
      <c r="AF24" s="24"/>
      <c r="AG24" s="24">
        <v>850</v>
      </c>
      <c r="AH24" s="24">
        <v>1.5</v>
      </c>
      <c r="AI24" s="24">
        <v>764.55600000000004</v>
      </c>
    </row>
    <row r="25" spans="1:35">
      <c r="A25" s="3"/>
      <c r="B25" s="3"/>
      <c r="C25" s="3">
        <v>1000</v>
      </c>
      <c r="D25" s="3">
        <f t="shared" si="0"/>
        <v>1.875</v>
      </c>
      <c r="E25" s="3">
        <v>1176.5060000000001</v>
      </c>
      <c r="G25" s="7"/>
      <c r="H25" s="7"/>
      <c r="I25" s="7">
        <v>1000</v>
      </c>
      <c r="J25" s="7">
        <f t="shared" si="1"/>
        <v>1.875</v>
      </c>
      <c r="K25" s="7">
        <v>3126.5770000000002</v>
      </c>
      <c r="M25" s="7"/>
      <c r="N25" s="7"/>
      <c r="O25" s="7">
        <v>1000</v>
      </c>
      <c r="P25" s="7">
        <f t="shared" si="2"/>
        <v>1.875</v>
      </c>
      <c r="Q25" s="7">
        <v>2190.87</v>
      </c>
      <c r="S25" s="18"/>
      <c r="T25" s="18"/>
      <c r="U25" s="18">
        <v>1000</v>
      </c>
      <c r="V25" s="18">
        <v>1.5</v>
      </c>
      <c r="W25" s="18">
        <v>1511.0419999999999</v>
      </c>
      <c r="Y25" s="18"/>
      <c r="Z25" s="18"/>
      <c r="AA25" s="18">
        <v>1000</v>
      </c>
      <c r="AB25" s="18">
        <v>1.5</v>
      </c>
      <c r="AC25" s="18">
        <v>1657.335</v>
      </c>
      <c r="AE25" s="24"/>
      <c r="AF25" s="24"/>
      <c r="AG25" s="24">
        <v>650</v>
      </c>
      <c r="AH25" s="24">
        <v>1.5</v>
      </c>
      <c r="AI25" s="24">
        <v>719.971</v>
      </c>
    </row>
    <row r="26" spans="1:35">
      <c r="A26" s="3"/>
      <c r="B26" s="3"/>
      <c r="C26" s="3">
        <v>850</v>
      </c>
      <c r="D26" s="3">
        <f t="shared" si="0"/>
        <v>1.875</v>
      </c>
      <c r="E26" s="3">
        <v>973.678</v>
      </c>
      <c r="G26" s="7"/>
      <c r="H26" s="7"/>
      <c r="I26" s="7">
        <v>850</v>
      </c>
      <c r="J26" s="7">
        <f t="shared" si="1"/>
        <v>1.875</v>
      </c>
      <c r="K26" s="7">
        <v>2934.163</v>
      </c>
      <c r="M26" s="7"/>
      <c r="N26" s="7"/>
      <c r="O26" s="7">
        <v>850</v>
      </c>
      <c r="P26" s="7">
        <f t="shared" si="2"/>
        <v>1.875</v>
      </c>
      <c r="Q26" s="7">
        <v>2040.4559999999999</v>
      </c>
      <c r="S26" s="18"/>
      <c r="T26" s="18"/>
      <c r="U26" s="18">
        <v>850</v>
      </c>
      <c r="V26" s="18">
        <v>1.5</v>
      </c>
      <c r="W26" s="18">
        <v>1344.335</v>
      </c>
      <c r="Y26" s="18"/>
      <c r="Z26" s="18"/>
      <c r="AA26" s="18">
        <v>850</v>
      </c>
      <c r="AB26" s="18">
        <v>1.5</v>
      </c>
      <c r="AC26" s="18">
        <v>2021.335</v>
      </c>
      <c r="AE26" s="24"/>
      <c r="AF26" s="24"/>
      <c r="AG26" s="24">
        <v>500</v>
      </c>
      <c r="AH26" s="24">
        <v>1.5</v>
      </c>
      <c r="AI26" s="24">
        <v>777.09199999999998</v>
      </c>
    </row>
    <row r="27" spans="1:35">
      <c r="A27" s="3"/>
      <c r="B27" s="3"/>
      <c r="C27" s="3">
        <v>650</v>
      </c>
      <c r="D27" s="3">
        <f t="shared" si="0"/>
        <v>1.875</v>
      </c>
      <c r="E27" s="3">
        <v>927.79899999999998</v>
      </c>
      <c r="G27" s="7"/>
      <c r="H27" s="7"/>
      <c r="I27" s="7">
        <v>650</v>
      </c>
      <c r="J27" s="7">
        <f t="shared" si="1"/>
        <v>1.875</v>
      </c>
      <c r="K27" s="7">
        <v>2558.4560000000001</v>
      </c>
      <c r="M27" s="7"/>
      <c r="N27" s="7"/>
      <c r="O27" s="7">
        <v>650</v>
      </c>
      <c r="P27" s="7">
        <f t="shared" si="2"/>
        <v>1.875</v>
      </c>
      <c r="Q27" s="7">
        <v>1787.749</v>
      </c>
      <c r="S27" s="18"/>
      <c r="T27" s="18"/>
      <c r="U27" s="18">
        <v>650</v>
      </c>
      <c r="V27" s="18">
        <v>1.5</v>
      </c>
      <c r="W27" s="18">
        <v>1370.0419999999999</v>
      </c>
      <c r="Y27" s="18"/>
      <c r="Z27" s="18"/>
      <c r="AA27" s="18">
        <v>650</v>
      </c>
      <c r="AB27" s="18">
        <v>1.5</v>
      </c>
      <c r="AC27" s="18">
        <v>1584.627</v>
      </c>
      <c r="AE27" s="24"/>
      <c r="AF27" s="24"/>
      <c r="AG27" s="24">
        <v>400</v>
      </c>
      <c r="AH27" s="24">
        <v>1.5</v>
      </c>
      <c r="AI27" s="24">
        <v>731.971</v>
      </c>
    </row>
    <row r="28" spans="1:35">
      <c r="A28" s="3"/>
      <c r="B28" s="3"/>
      <c r="C28" s="3">
        <v>500</v>
      </c>
      <c r="D28" s="3">
        <f t="shared" si="0"/>
        <v>1.875</v>
      </c>
      <c r="E28" s="3">
        <v>925.38499999999999</v>
      </c>
      <c r="G28" s="7"/>
      <c r="H28" s="7"/>
      <c r="I28" s="7">
        <v>500</v>
      </c>
      <c r="J28" s="7">
        <f t="shared" si="1"/>
        <v>1.875</v>
      </c>
      <c r="K28" s="7">
        <v>2747.0419999999999</v>
      </c>
      <c r="M28" s="7"/>
      <c r="N28" s="7"/>
      <c r="O28" s="7">
        <v>500</v>
      </c>
      <c r="P28" s="7">
        <f t="shared" si="2"/>
        <v>1.875</v>
      </c>
      <c r="Q28" s="7">
        <v>1928.163</v>
      </c>
      <c r="S28" s="18"/>
      <c r="T28" s="18"/>
      <c r="U28" s="18">
        <v>500</v>
      </c>
      <c r="V28" s="18">
        <v>1.5</v>
      </c>
      <c r="W28" s="18">
        <v>1426.0419999999999</v>
      </c>
      <c r="Y28" s="18"/>
      <c r="Z28" s="18"/>
      <c r="AA28" s="18">
        <v>500</v>
      </c>
      <c r="AB28" s="18">
        <v>1.5</v>
      </c>
      <c r="AC28" s="18">
        <v>1392.92</v>
      </c>
      <c r="AE28" s="24"/>
      <c r="AF28" s="24"/>
      <c r="AG28" s="24">
        <v>300</v>
      </c>
      <c r="AH28" s="24">
        <v>1.5</v>
      </c>
      <c r="AI28" s="24">
        <v>772.971</v>
      </c>
    </row>
    <row r="29" spans="1:35">
      <c r="A29" s="3"/>
      <c r="B29" s="3"/>
      <c r="C29" s="3">
        <v>400</v>
      </c>
      <c r="D29" s="3">
        <f t="shared" si="0"/>
        <v>1.875</v>
      </c>
      <c r="E29" s="3">
        <v>1014.213</v>
      </c>
      <c r="G29" s="7"/>
      <c r="H29" s="7"/>
      <c r="I29" s="7">
        <v>400</v>
      </c>
      <c r="J29" s="7">
        <f t="shared" si="1"/>
        <v>1.875</v>
      </c>
      <c r="K29" s="7">
        <v>2628.5770000000002</v>
      </c>
      <c r="M29" s="7"/>
      <c r="N29" s="7"/>
      <c r="O29" s="7">
        <v>400</v>
      </c>
      <c r="P29" s="7">
        <f t="shared" si="2"/>
        <v>1.875</v>
      </c>
      <c r="Q29" s="7">
        <v>1801.87</v>
      </c>
      <c r="S29" s="18"/>
      <c r="T29" s="18"/>
      <c r="U29" s="18">
        <v>400</v>
      </c>
      <c r="V29" s="18">
        <v>1.5</v>
      </c>
      <c r="W29" s="18">
        <v>1385.0419999999999</v>
      </c>
      <c r="Y29" s="18"/>
      <c r="Z29" s="18"/>
      <c r="AA29" s="18">
        <v>400</v>
      </c>
      <c r="AB29" s="18">
        <v>1.5</v>
      </c>
      <c r="AC29" s="18">
        <v>1283.213</v>
      </c>
      <c r="AE29" s="24"/>
      <c r="AF29" s="24"/>
      <c r="AG29" s="24">
        <v>200</v>
      </c>
      <c r="AH29" s="24">
        <v>1.5</v>
      </c>
      <c r="AI29" s="24">
        <v>717.26300000000003</v>
      </c>
    </row>
    <row r="30" spans="1:35">
      <c r="A30" s="3"/>
      <c r="B30" s="3"/>
      <c r="C30" s="3">
        <v>300</v>
      </c>
      <c r="D30" s="3">
        <f t="shared" si="0"/>
        <v>1.875</v>
      </c>
      <c r="E30" s="3">
        <v>1082.213</v>
      </c>
      <c r="G30" s="7"/>
      <c r="H30" s="7"/>
      <c r="I30" s="7">
        <v>300</v>
      </c>
      <c r="J30" s="7">
        <f t="shared" si="1"/>
        <v>1.875</v>
      </c>
      <c r="K30" s="7">
        <v>2423.87</v>
      </c>
      <c r="M30" s="7"/>
      <c r="N30" s="7"/>
      <c r="O30" s="7">
        <v>300</v>
      </c>
      <c r="P30" s="7">
        <f t="shared" si="2"/>
        <v>1.875</v>
      </c>
      <c r="Q30" s="7">
        <v>1669.749</v>
      </c>
      <c r="S30" s="18"/>
      <c r="T30" s="18"/>
      <c r="U30" s="18">
        <v>300</v>
      </c>
      <c r="V30" s="18">
        <v>1.5</v>
      </c>
      <c r="W30" s="18">
        <v>1302.749</v>
      </c>
      <c r="Y30" s="18"/>
      <c r="Z30" s="18"/>
      <c r="AA30" s="18">
        <v>300</v>
      </c>
      <c r="AB30" s="18">
        <v>1.5</v>
      </c>
      <c r="AC30" s="18">
        <v>1421.5060000000001</v>
      </c>
      <c r="AE30" s="24"/>
      <c r="AF30" s="24">
        <v>12.5</v>
      </c>
      <c r="AG30" s="24">
        <v>2000</v>
      </c>
      <c r="AH30" s="24">
        <v>0.5</v>
      </c>
      <c r="AI30" s="24">
        <v>177.435</v>
      </c>
    </row>
    <row r="31" spans="1:35">
      <c r="A31" s="3"/>
      <c r="B31" s="3"/>
      <c r="C31" s="3">
        <v>200</v>
      </c>
      <c r="D31" s="3">
        <f t="shared" si="0"/>
        <v>1.875</v>
      </c>
      <c r="E31" s="3">
        <v>1195.627</v>
      </c>
      <c r="G31" s="7"/>
      <c r="H31" s="7"/>
      <c r="I31" s="7">
        <v>200</v>
      </c>
      <c r="J31" s="7">
        <f t="shared" si="1"/>
        <v>1.875</v>
      </c>
      <c r="K31" s="7">
        <v>2163.7489999999998</v>
      </c>
      <c r="M31" s="7"/>
      <c r="N31" s="7"/>
      <c r="O31" s="7">
        <v>200</v>
      </c>
      <c r="P31" s="7">
        <f t="shared" si="2"/>
        <v>1.875</v>
      </c>
      <c r="Q31" s="7">
        <v>1503.335</v>
      </c>
      <c r="S31" s="18"/>
      <c r="T31" s="18"/>
      <c r="U31" s="18">
        <v>200</v>
      </c>
      <c r="V31" s="18">
        <v>1.5</v>
      </c>
      <c r="W31" s="18">
        <v>1324.749</v>
      </c>
      <c r="Y31" s="18"/>
      <c r="Z31" s="18"/>
      <c r="AA31" s="18">
        <v>200</v>
      </c>
      <c r="AB31" s="18">
        <v>1.5</v>
      </c>
      <c r="AC31" s="18">
        <v>1290.799</v>
      </c>
      <c r="AE31" s="24"/>
      <c r="AF31" s="24"/>
      <c r="AG31" s="24">
        <v>1500</v>
      </c>
      <c r="AH31" s="24">
        <v>1.75</v>
      </c>
      <c r="AI31" s="24">
        <v>828.09199999999998</v>
      </c>
    </row>
    <row r="32" spans="1:35">
      <c r="A32" s="3"/>
      <c r="B32" s="3"/>
      <c r="C32" s="3">
        <v>100</v>
      </c>
      <c r="D32" s="3">
        <f t="shared" si="0"/>
        <v>2.5</v>
      </c>
      <c r="E32" s="3">
        <v>1461.991</v>
      </c>
      <c r="G32" s="7"/>
      <c r="H32" s="7"/>
      <c r="I32" s="7">
        <v>100</v>
      </c>
      <c r="J32" s="7">
        <f t="shared" si="1"/>
        <v>2.5</v>
      </c>
      <c r="K32" s="7">
        <v>2328.2840000000001</v>
      </c>
      <c r="M32" s="7"/>
      <c r="N32" s="7"/>
      <c r="O32" s="7">
        <v>100</v>
      </c>
      <c r="P32" s="7">
        <f t="shared" si="2"/>
        <v>2.5</v>
      </c>
      <c r="Q32" s="7">
        <v>1649.577</v>
      </c>
      <c r="S32" s="18"/>
      <c r="T32" s="18"/>
      <c r="U32" s="18">
        <v>100</v>
      </c>
      <c r="V32" s="18">
        <v>2</v>
      </c>
      <c r="W32" s="18">
        <v>1556.2339999999999</v>
      </c>
      <c r="Y32" s="18"/>
      <c r="Z32" s="18"/>
      <c r="AA32" s="18">
        <v>100</v>
      </c>
      <c r="AB32" s="18">
        <v>2</v>
      </c>
      <c r="AC32" s="18">
        <v>1757.2840000000001</v>
      </c>
      <c r="AE32" s="24"/>
      <c r="AF32" s="24"/>
      <c r="AG32" s="24">
        <v>1000</v>
      </c>
      <c r="AH32" s="24">
        <v>0.75</v>
      </c>
      <c r="AI32" s="24">
        <v>225.55600000000001</v>
      </c>
    </row>
    <row r="33" spans="1:35">
      <c r="A33" s="3"/>
      <c r="B33" s="3">
        <v>15.625</v>
      </c>
      <c r="C33" s="3">
        <v>2000</v>
      </c>
      <c r="D33" s="3">
        <f t="shared" si="0"/>
        <v>0.625</v>
      </c>
      <c r="E33" s="3">
        <v>447.971</v>
      </c>
      <c r="G33" s="7"/>
      <c r="H33" s="7">
        <v>15.625</v>
      </c>
      <c r="I33" s="7">
        <v>2000</v>
      </c>
      <c r="J33" s="7">
        <f t="shared" si="1"/>
        <v>0.625</v>
      </c>
      <c r="K33" s="7">
        <v>802.38499999999999</v>
      </c>
      <c r="M33" s="7"/>
      <c r="N33" s="7">
        <v>15.625</v>
      </c>
      <c r="O33" s="7">
        <v>2000</v>
      </c>
      <c r="P33" s="7">
        <f t="shared" si="2"/>
        <v>0.625</v>
      </c>
      <c r="Q33" s="7">
        <v>559.09199999999998</v>
      </c>
      <c r="S33" s="18"/>
      <c r="T33" s="18">
        <v>12.5</v>
      </c>
      <c r="U33" s="18">
        <v>2000</v>
      </c>
      <c r="V33" s="18">
        <v>0.5</v>
      </c>
      <c r="W33" s="18">
        <v>784.09199999999998</v>
      </c>
      <c r="Y33" s="18"/>
      <c r="Z33" s="18">
        <v>12.5</v>
      </c>
      <c r="AA33" s="18">
        <v>2000</v>
      </c>
      <c r="AB33" s="18">
        <v>0.5</v>
      </c>
      <c r="AC33" s="18">
        <v>466.971</v>
      </c>
      <c r="AE33" s="24"/>
      <c r="AF33" s="24"/>
      <c r="AG33" s="24">
        <v>850</v>
      </c>
      <c r="AH33" s="24">
        <v>0.75</v>
      </c>
      <c r="AI33" s="24">
        <v>231.84899999999999</v>
      </c>
    </row>
    <row r="34" spans="1:35">
      <c r="A34" s="3"/>
      <c r="B34" s="3"/>
      <c r="C34" s="3">
        <v>1500</v>
      </c>
      <c r="D34" s="3">
        <f t="shared" si="0"/>
        <v>2.1875</v>
      </c>
      <c r="E34" s="3">
        <v>1375.335</v>
      </c>
      <c r="G34" s="7"/>
      <c r="H34" s="7"/>
      <c r="I34" s="7">
        <v>1500</v>
      </c>
      <c r="J34" s="7">
        <f t="shared" si="1"/>
        <v>2.1875</v>
      </c>
      <c r="K34" s="7">
        <v>3203.5770000000002</v>
      </c>
      <c r="M34" s="7"/>
      <c r="N34" s="7"/>
      <c r="O34" s="7">
        <v>1500</v>
      </c>
      <c r="P34" s="7">
        <f t="shared" si="2"/>
        <v>2.1875</v>
      </c>
      <c r="Q34" s="7">
        <v>2702.5770000000002</v>
      </c>
      <c r="S34" s="18"/>
      <c r="T34" s="18"/>
      <c r="U34" s="18">
        <v>1500</v>
      </c>
      <c r="V34" s="18">
        <v>1.75</v>
      </c>
      <c r="W34" s="18">
        <v>3853.87</v>
      </c>
      <c r="Y34" s="18"/>
      <c r="Z34" s="18"/>
      <c r="AA34" s="18">
        <v>1500</v>
      </c>
      <c r="AB34" s="18">
        <v>1.75</v>
      </c>
      <c r="AC34" s="18">
        <v>3175.4560000000001</v>
      </c>
      <c r="AE34" s="24"/>
      <c r="AF34" s="24"/>
      <c r="AG34" s="24">
        <v>650</v>
      </c>
      <c r="AH34" s="24">
        <v>0.75</v>
      </c>
      <c r="AI34" s="24">
        <v>202.55600000000001</v>
      </c>
    </row>
    <row r="35" spans="1:35">
      <c r="A35" s="3"/>
      <c r="B35" s="3"/>
      <c r="C35" s="3">
        <v>1000</v>
      </c>
      <c r="D35" s="3">
        <f t="shared" si="0"/>
        <v>0.9375</v>
      </c>
      <c r="E35" s="3">
        <v>512.38499999999999</v>
      </c>
      <c r="G35" s="7"/>
      <c r="H35" s="7"/>
      <c r="I35" s="7">
        <v>1000</v>
      </c>
      <c r="J35" s="7">
        <f t="shared" si="1"/>
        <v>0.9375</v>
      </c>
      <c r="K35" s="7">
        <v>987.50599999999997</v>
      </c>
      <c r="M35" s="7"/>
      <c r="N35" s="7"/>
      <c r="O35" s="7">
        <v>1000</v>
      </c>
      <c r="P35" s="7">
        <f t="shared" si="2"/>
        <v>0.9375</v>
      </c>
      <c r="Q35" s="7">
        <v>651.09199999999998</v>
      </c>
      <c r="S35" s="18"/>
      <c r="T35" s="18"/>
      <c r="U35" s="18">
        <v>1000</v>
      </c>
      <c r="V35" s="18">
        <v>0.75</v>
      </c>
      <c r="W35" s="18">
        <v>1048.335</v>
      </c>
      <c r="Y35" s="18"/>
      <c r="Z35" s="18"/>
      <c r="AA35" s="18">
        <v>1000</v>
      </c>
      <c r="AB35" s="18">
        <v>0.75</v>
      </c>
      <c r="AC35" s="18">
        <v>863.92</v>
      </c>
      <c r="AE35" s="24"/>
      <c r="AF35" s="24"/>
      <c r="AG35" s="24">
        <v>500</v>
      </c>
      <c r="AH35" s="24">
        <v>0.75</v>
      </c>
      <c r="AI35" s="24">
        <v>227.26300000000001</v>
      </c>
    </row>
    <row r="36" spans="1:35">
      <c r="A36" s="3"/>
      <c r="B36" s="3"/>
      <c r="C36" s="3">
        <v>850</v>
      </c>
      <c r="D36" s="3">
        <f t="shared" si="0"/>
        <v>0.9375</v>
      </c>
      <c r="E36" s="3">
        <v>423.55599999999998</v>
      </c>
      <c r="G36" s="7"/>
      <c r="H36" s="7"/>
      <c r="I36" s="7">
        <v>850</v>
      </c>
      <c r="J36" s="7">
        <f t="shared" si="1"/>
        <v>0.9375</v>
      </c>
      <c r="K36" s="7">
        <v>824.09199999999998</v>
      </c>
      <c r="M36" s="7"/>
      <c r="N36" s="7"/>
      <c r="O36" s="7">
        <v>850</v>
      </c>
      <c r="P36" s="7">
        <f t="shared" si="2"/>
        <v>0.9375</v>
      </c>
      <c r="Q36" s="7">
        <v>588.38499999999999</v>
      </c>
      <c r="S36" s="18"/>
      <c r="T36" s="18"/>
      <c r="U36" s="18">
        <v>850</v>
      </c>
      <c r="V36" s="18">
        <v>0.75</v>
      </c>
      <c r="W36" s="18">
        <v>990.79899999999998</v>
      </c>
      <c r="Y36" s="18"/>
      <c r="Z36" s="18"/>
      <c r="AA36" s="18">
        <v>850</v>
      </c>
      <c r="AB36" s="18">
        <v>0.75</v>
      </c>
      <c r="AC36" s="18">
        <v>712.09199999999998</v>
      </c>
      <c r="AE36" s="24"/>
      <c r="AF36" s="24"/>
      <c r="AG36" s="24">
        <v>400</v>
      </c>
      <c r="AH36" s="24">
        <v>0.75</v>
      </c>
      <c r="AI36" s="24">
        <v>268.38499999999999</v>
      </c>
    </row>
    <row r="37" spans="1:35">
      <c r="A37" s="3"/>
      <c r="B37" s="3"/>
      <c r="C37" s="3">
        <v>650</v>
      </c>
      <c r="D37" s="3">
        <f t="shared" si="0"/>
        <v>0.9375</v>
      </c>
      <c r="E37" s="3">
        <v>423.971</v>
      </c>
      <c r="G37" s="7"/>
      <c r="H37" s="7"/>
      <c r="I37" s="7">
        <v>650</v>
      </c>
      <c r="J37" s="7">
        <f t="shared" si="1"/>
        <v>0.9375</v>
      </c>
      <c r="K37" s="7">
        <v>772.92</v>
      </c>
      <c r="M37" s="7"/>
      <c r="N37" s="7"/>
      <c r="O37" s="7">
        <v>650</v>
      </c>
      <c r="P37" s="7">
        <f t="shared" si="2"/>
        <v>0.9375</v>
      </c>
      <c r="Q37" s="7">
        <v>509.971</v>
      </c>
      <c r="S37" s="18"/>
      <c r="T37" s="18"/>
      <c r="U37" s="18">
        <v>650</v>
      </c>
      <c r="V37" s="18">
        <v>0.75</v>
      </c>
      <c r="W37" s="18">
        <v>966.50599999999997</v>
      </c>
      <c r="Y37" s="18"/>
      <c r="Z37" s="18"/>
      <c r="AA37" s="18">
        <v>650</v>
      </c>
      <c r="AB37" s="18">
        <v>0.75</v>
      </c>
      <c r="AC37" s="18">
        <v>617.38499999999999</v>
      </c>
      <c r="AE37" s="24"/>
      <c r="AF37" s="24"/>
      <c r="AG37" s="24">
        <v>300</v>
      </c>
      <c r="AH37" s="24">
        <v>0.75</v>
      </c>
      <c r="AI37" s="24">
        <v>237.26300000000001</v>
      </c>
    </row>
    <row r="38" spans="1:35">
      <c r="A38" s="3"/>
      <c r="B38" s="3"/>
      <c r="C38" s="3">
        <v>500</v>
      </c>
      <c r="D38" s="3">
        <f t="shared" si="0"/>
        <v>0.9375</v>
      </c>
      <c r="E38" s="3">
        <v>442.678</v>
      </c>
      <c r="G38" s="7"/>
      <c r="H38" s="7"/>
      <c r="I38" s="7">
        <v>500</v>
      </c>
      <c r="J38" s="7">
        <f t="shared" si="1"/>
        <v>0.9375</v>
      </c>
      <c r="K38" s="7">
        <v>887.09199999999998</v>
      </c>
      <c r="M38" s="7"/>
      <c r="N38" s="7"/>
      <c r="O38" s="7">
        <v>500</v>
      </c>
      <c r="P38" s="7">
        <f t="shared" si="2"/>
        <v>0.9375</v>
      </c>
      <c r="Q38" s="7">
        <v>615.79899999999998</v>
      </c>
      <c r="S38" s="18"/>
      <c r="T38" s="18"/>
      <c r="U38" s="18">
        <v>500</v>
      </c>
      <c r="V38" s="18">
        <v>0.75</v>
      </c>
      <c r="W38" s="18">
        <v>1113.4559999999999</v>
      </c>
      <c r="Y38" s="18"/>
      <c r="Z38" s="18"/>
      <c r="AA38" s="18">
        <v>500</v>
      </c>
      <c r="AB38" s="18">
        <v>0.75</v>
      </c>
      <c r="AC38" s="18">
        <v>878.92</v>
      </c>
      <c r="AE38" s="24"/>
      <c r="AF38" s="24"/>
      <c r="AG38" s="24">
        <v>200</v>
      </c>
      <c r="AH38" s="24">
        <v>0.75</v>
      </c>
      <c r="AI38" s="24">
        <v>260.971</v>
      </c>
    </row>
    <row r="39" spans="1:35">
      <c r="A39" s="3"/>
      <c r="B39" s="3"/>
      <c r="C39" s="3">
        <v>400</v>
      </c>
      <c r="D39" s="3">
        <f t="shared" si="0"/>
        <v>0.9375</v>
      </c>
      <c r="E39" s="3">
        <v>399.26299999999998</v>
      </c>
      <c r="G39" s="7"/>
      <c r="H39" s="7"/>
      <c r="I39" s="7">
        <v>400</v>
      </c>
      <c r="J39" s="7">
        <f t="shared" si="1"/>
        <v>0.9375</v>
      </c>
      <c r="K39" s="7">
        <v>863.09199999999998</v>
      </c>
      <c r="M39" s="7"/>
      <c r="N39" s="7"/>
      <c r="O39" s="7">
        <v>400</v>
      </c>
      <c r="P39" s="7">
        <f t="shared" si="2"/>
        <v>0.9375</v>
      </c>
      <c r="Q39" s="7">
        <v>610.09199999999998</v>
      </c>
      <c r="S39" s="18"/>
      <c r="T39" s="18"/>
      <c r="U39" s="18">
        <v>400</v>
      </c>
      <c r="V39" s="18">
        <v>0.75</v>
      </c>
      <c r="W39" s="18">
        <v>1058.335</v>
      </c>
      <c r="Y39" s="18"/>
      <c r="Z39" s="18"/>
      <c r="AA39" s="18">
        <v>400</v>
      </c>
      <c r="AB39" s="18">
        <v>0.75</v>
      </c>
      <c r="AC39" s="18">
        <v>883.92</v>
      </c>
      <c r="AE39" s="24"/>
      <c r="AF39" s="24">
        <v>6.25</v>
      </c>
      <c r="AG39" s="24">
        <v>2000</v>
      </c>
      <c r="AH39" s="24">
        <v>0.25</v>
      </c>
      <c r="AI39" s="24">
        <v>111.31399999999999</v>
      </c>
    </row>
    <row r="40" spans="1:35">
      <c r="A40" s="3"/>
      <c r="B40" s="3"/>
      <c r="C40" s="3">
        <v>300</v>
      </c>
      <c r="D40" s="3">
        <f t="shared" si="0"/>
        <v>0.9375</v>
      </c>
      <c r="E40" s="3">
        <v>470.09199999999998</v>
      </c>
      <c r="G40" s="7"/>
      <c r="H40" s="7"/>
      <c r="I40" s="7">
        <v>300</v>
      </c>
      <c r="J40" s="7">
        <f t="shared" si="1"/>
        <v>0.9375</v>
      </c>
      <c r="K40" s="7">
        <v>871.09199999999998</v>
      </c>
      <c r="M40" s="7"/>
      <c r="N40" s="7"/>
      <c r="O40" s="7">
        <v>300</v>
      </c>
      <c r="P40" s="7">
        <f t="shared" si="2"/>
        <v>0.9375</v>
      </c>
      <c r="Q40" s="7">
        <v>626.09199999999998</v>
      </c>
      <c r="S40" s="18"/>
      <c r="T40" s="18"/>
      <c r="U40" s="18">
        <v>300</v>
      </c>
      <c r="V40" s="18">
        <v>0.75</v>
      </c>
      <c r="W40" s="18">
        <v>1099.92</v>
      </c>
      <c r="Y40" s="18"/>
      <c r="Z40" s="18"/>
      <c r="AA40" s="18">
        <v>300</v>
      </c>
      <c r="AB40" s="18">
        <v>0.75</v>
      </c>
      <c r="AC40" s="18">
        <v>741.38499999999999</v>
      </c>
      <c r="AE40" s="24"/>
      <c r="AF40" s="24"/>
      <c r="AG40" s="24">
        <v>1500</v>
      </c>
      <c r="AH40" s="24">
        <v>0.875</v>
      </c>
      <c r="AI40" s="24">
        <v>311.971</v>
      </c>
    </row>
    <row r="41" spans="1:35">
      <c r="A41" s="3"/>
      <c r="B41" s="3"/>
      <c r="C41" s="3">
        <v>200</v>
      </c>
      <c r="D41" s="3">
        <f t="shared" si="0"/>
        <v>0.9375</v>
      </c>
      <c r="E41" s="3">
        <v>459.678</v>
      </c>
      <c r="G41" s="7"/>
      <c r="H41" s="7"/>
      <c r="I41" s="7">
        <v>200</v>
      </c>
      <c r="J41" s="7">
        <f t="shared" si="1"/>
        <v>0.9375</v>
      </c>
      <c r="K41" s="7">
        <v>864.09199999999998</v>
      </c>
      <c r="M41" s="7"/>
      <c r="N41" s="7"/>
      <c r="O41" s="7">
        <v>200</v>
      </c>
      <c r="P41" s="7">
        <f t="shared" si="2"/>
        <v>0.9375</v>
      </c>
      <c r="Q41" s="7">
        <v>621.38499999999999</v>
      </c>
      <c r="S41" s="18"/>
      <c r="T41" s="18"/>
      <c r="U41" s="18">
        <v>200</v>
      </c>
      <c r="V41" s="18">
        <v>0.75</v>
      </c>
      <c r="W41" s="18">
        <v>1191.0419999999999</v>
      </c>
      <c r="Y41" s="18"/>
      <c r="Z41" s="18"/>
      <c r="AA41" s="18">
        <v>200</v>
      </c>
      <c r="AB41" s="18">
        <v>0.75</v>
      </c>
      <c r="AC41" s="18">
        <v>832.21299999999997</v>
      </c>
      <c r="AE41" s="24"/>
      <c r="AF41" s="24"/>
      <c r="AG41" s="24">
        <v>1000</v>
      </c>
      <c r="AH41" s="24">
        <v>0.375</v>
      </c>
      <c r="AI41" s="24">
        <v>127.435</v>
      </c>
    </row>
    <row r="42" spans="1:35">
      <c r="A42" s="3"/>
      <c r="B42" s="3"/>
      <c r="C42" s="3">
        <v>100</v>
      </c>
      <c r="D42" s="3">
        <f t="shared" si="0"/>
        <v>1.25</v>
      </c>
      <c r="E42" s="3">
        <v>533.33500000000004</v>
      </c>
      <c r="G42" s="7"/>
      <c r="H42" s="7"/>
      <c r="I42" s="7">
        <v>100</v>
      </c>
      <c r="J42" s="7">
        <f t="shared" si="1"/>
        <v>1.25</v>
      </c>
      <c r="K42" s="7">
        <v>1087.577</v>
      </c>
      <c r="M42" s="7"/>
      <c r="N42" s="7"/>
      <c r="O42" s="7">
        <v>100</v>
      </c>
      <c r="P42" s="7">
        <f t="shared" si="2"/>
        <v>1.25</v>
      </c>
      <c r="Q42" s="7">
        <v>730.04200000000003</v>
      </c>
      <c r="S42" s="18"/>
      <c r="T42" s="18"/>
      <c r="U42" s="18">
        <v>100</v>
      </c>
      <c r="V42" s="18">
        <v>1</v>
      </c>
      <c r="W42" s="18">
        <v>1086.2840000000001</v>
      </c>
      <c r="Y42" s="18"/>
      <c r="Z42" s="18"/>
      <c r="AA42" s="18">
        <v>100</v>
      </c>
      <c r="AB42" s="18">
        <v>1</v>
      </c>
      <c r="AC42" s="18">
        <v>724.577</v>
      </c>
      <c r="AE42" s="24"/>
      <c r="AF42" s="24"/>
      <c r="AG42" s="24">
        <v>850</v>
      </c>
      <c r="AH42" s="24">
        <v>0.375</v>
      </c>
      <c r="AI42" s="24">
        <v>122.021</v>
      </c>
    </row>
    <row r="43" spans="1:35">
      <c r="A43" s="3"/>
      <c r="B43" s="3">
        <v>7.8150000000000004</v>
      </c>
      <c r="C43" s="3">
        <v>2000</v>
      </c>
      <c r="D43" s="3">
        <f t="shared" si="0"/>
        <v>0.3125</v>
      </c>
      <c r="E43" s="3">
        <v>247.38499999999999</v>
      </c>
      <c r="G43" s="7"/>
      <c r="H43" s="7">
        <v>7.8150000000000004</v>
      </c>
      <c r="I43" s="7">
        <v>2000</v>
      </c>
      <c r="J43" s="7">
        <f t="shared" si="1"/>
        <v>0.3125</v>
      </c>
      <c r="K43" s="7">
        <v>490.79899999999998</v>
      </c>
      <c r="M43" s="7"/>
      <c r="N43" s="7">
        <v>7.8150000000000004</v>
      </c>
      <c r="O43" s="7">
        <v>2000</v>
      </c>
      <c r="P43" s="7">
        <f t="shared" si="2"/>
        <v>0.3125</v>
      </c>
      <c r="Q43" s="7">
        <v>347.38499999999999</v>
      </c>
      <c r="S43" s="18"/>
      <c r="T43" s="18">
        <f>T33/2</f>
        <v>6.25</v>
      </c>
      <c r="U43" s="18">
        <v>2000</v>
      </c>
      <c r="V43" s="18">
        <v>0.25</v>
      </c>
      <c r="W43" s="18">
        <v>495.38499999999999</v>
      </c>
      <c r="Y43" s="18"/>
      <c r="Z43" s="18">
        <f>Z33/2</f>
        <v>6.25</v>
      </c>
      <c r="AA43" s="18">
        <v>2000</v>
      </c>
      <c r="AB43" s="18">
        <v>0.25</v>
      </c>
      <c r="AC43" s="18">
        <v>335.55599999999998</v>
      </c>
      <c r="AE43" s="24"/>
      <c r="AF43" s="24"/>
      <c r="AG43" s="24">
        <v>650</v>
      </c>
      <c r="AH43" s="24">
        <v>0.375</v>
      </c>
      <c r="AI43" s="24">
        <v>113.435</v>
      </c>
    </row>
    <row r="44" spans="1:35">
      <c r="A44" s="3"/>
      <c r="B44" s="3"/>
      <c r="C44" s="3">
        <v>1500</v>
      </c>
      <c r="D44" s="3">
        <f t="shared" si="0"/>
        <v>1.09375</v>
      </c>
      <c r="E44" s="3">
        <v>873.79899999999998</v>
      </c>
      <c r="G44" s="7"/>
      <c r="H44" s="7"/>
      <c r="I44" s="7">
        <v>1500</v>
      </c>
      <c r="J44" s="7">
        <f t="shared" si="1"/>
        <v>1.09375</v>
      </c>
      <c r="K44" s="7">
        <v>2323.7489999999998</v>
      </c>
      <c r="M44" s="7"/>
      <c r="N44" s="7"/>
      <c r="O44" s="7">
        <v>1500</v>
      </c>
      <c r="P44" s="7">
        <f t="shared" si="2"/>
        <v>1.09375</v>
      </c>
      <c r="Q44" s="7">
        <v>1573.335</v>
      </c>
      <c r="S44" s="18"/>
      <c r="T44" s="18"/>
      <c r="U44" s="18">
        <v>1500</v>
      </c>
      <c r="V44" s="18">
        <v>0.875</v>
      </c>
      <c r="W44" s="18">
        <v>2235.5770000000002</v>
      </c>
      <c r="Y44" s="18"/>
      <c r="Z44" s="18"/>
      <c r="AA44" s="18">
        <v>1500</v>
      </c>
      <c r="AB44" s="18">
        <v>0.875</v>
      </c>
      <c r="AC44" s="18">
        <v>1981.92</v>
      </c>
      <c r="AE44" s="24"/>
      <c r="AF44" s="24"/>
      <c r="AG44" s="24">
        <v>500</v>
      </c>
      <c r="AH44" s="24">
        <v>0.375</v>
      </c>
      <c r="AI44" s="24">
        <v>129.435</v>
      </c>
    </row>
    <row r="45" spans="1:35">
      <c r="A45" s="3"/>
      <c r="B45" s="3"/>
      <c r="C45" s="3">
        <v>1000</v>
      </c>
      <c r="D45" s="3">
        <f t="shared" si="0"/>
        <v>0.46875</v>
      </c>
      <c r="E45" s="3">
        <v>299.971</v>
      </c>
      <c r="G45" s="7"/>
      <c r="H45" s="7"/>
      <c r="I45" s="7">
        <v>1000</v>
      </c>
      <c r="J45" s="7">
        <f t="shared" si="1"/>
        <v>0.46875</v>
      </c>
      <c r="K45" s="7">
        <v>575.38499999999999</v>
      </c>
      <c r="M45" s="7"/>
      <c r="N45" s="7"/>
      <c r="O45" s="7">
        <v>1000</v>
      </c>
      <c r="P45" s="7">
        <f t="shared" si="2"/>
        <v>0.46875</v>
      </c>
      <c r="Q45" s="7">
        <v>415.971</v>
      </c>
      <c r="S45" s="18"/>
      <c r="T45" s="18"/>
      <c r="U45" s="18">
        <v>1000</v>
      </c>
      <c r="V45" s="18">
        <v>0.375</v>
      </c>
      <c r="W45" s="18">
        <v>633.91999999999996</v>
      </c>
      <c r="Y45" s="18"/>
      <c r="Z45" s="18"/>
      <c r="AA45" s="18">
        <v>1000</v>
      </c>
      <c r="AB45" s="18">
        <v>0.375</v>
      </c>
      <c r="AC45" s="18">
        <v>502.09199999999998</v>
      </c>
      <c r="AE45" s="24"/>
      <c r="AF45" s="24"/>
      <c r="AG45" s="24">
        <v>400</v>
      </c>
      <c r="AH45" s="24">
        <v>0.375</v>
      </c>
      <c r="AI45" s="24">
        <v>130.142</v>
      </c>
    </row>
    <row r="46" spans="1:35">
      <c r="A46" s="3"/>
      <c r="B46" s="3"/>
      <c r="C46" s="3">
        <v>850</v>
      </c>
      <c r="D46" s="3">
        <f t="shared" si="0"/>
        <v>0.46875</v>
      </c>
      <c r="E46" s="3">
        <v>235.84899999999999</v>
      </c>
      <c r="G46" s="7"/>
      <c r="H46" s="7"/>
      <c r="I46" s="7">
        <v>850</v>
      </c>
      <c r="J46" s="7">
        <f t="shared" si="1"/>
        <v>0.46875</v>
      </c>
      <c r="K46" s="7">
        <v>529.26300000000003</v>
      </c>
      <c r="M46" s="7"/>
      <c r="N46" s="7"/>
      <c r="O46" s="7">
        <v>850</v>
      </c>
      <c r="P46" s="7">
        <f t="shared" si="2"/>
        <v>0.46875</v>
      </c>
      <c r="Q46" s="7">
        <v>392.55599999999998</v>
      </c>
      <c r="S46" s="18"/>
      <c r="T46" s="18"/>
      <c r="U46" s="18">
        <v>850</v>
      </c>
      <c r="V46" s="18">
        <v>0.375</v>
      </c>
      <c r="W46" s="18">
        <v>498.678</v>
      </c>
      <c r="Y46" s="18"/>
      <c r="Z46" s="18"/>
      <c r="AA46" s="18">
        <v>850</v>
      </c>
      <c r="AB46" s="18">
        <v>0.375</v>
      </c>
      <c r="AC46" s="18">
        <v>516.09199999999998</v>
      </c>
      <c r="AE46" s="24"/>
      <c r="AF46" s="24"/>
      <c r="AG46" s="24">
        <v>300</v>
      </c>
      <c r="AH46" s="24">
        <v>0.375</v>
      </c>
      <c r="AI46" s="24">
        <v>152.84899999999999</v>
      </c>
    </row>
    <row r="47" spans="1:35">
      <c r="A47" s="3"/>
      <c r="B47" s="3"/>
      <c r="C47" s="3">
        <v>650</v>
      </c>
      <c r="D47" s="3">
        <f t="shared" si="0"/>
        <v>0.46875</v>
      </c>
      <c r="E47" s="3">
        <v>206.435</v>
      </c>
      <c r="G47" s="7"/>
      <c r="H47" s="7"/>
      <c r="I47" s="7">
        <v>650</v>
      </c>
      <c r="J47" s="7">
        <f t="shared" si="1"/>
        <v>0.46875</v>
      </c>
      <c r="K47" s="7">
        <v>459.971</v>
      </c>
      <c r="M47" s="7"/>
      <c r="N47" s="7"/>
      <c r="O47" s="7">
        <v>650</v>
      </c>
      <c r="P47" s="7">
        <f t="shared" si="2"/>
        <v>0.46875</v>
      </c>
      <c r="Q47" s="7">
        <v>322.142</v>
      </c>
      <c r="S47" s="18"/>
      <c r="T47" s="18"/>
      <c r="U47" s="18">
        <v>650</v>
      </c>
      <c r="V47" s="18">
        <v>0.375</v>
      </c>
      <c r="W47" s="18">
        <v>406.26299999999998</v>
      </c>
      <c r="Y47" s="18"/>
      <c r="Z47" s="18"/>
      <c r="AA47" s="18">
        <v>650</v>
      </c>
      <c r="AB47" s="18">
        <v>0.375</v>
      </c>
      <c r="AC47" s="18">
        <v>331.26299999999998</v>
      </c>
      <c r="AE47" s="24"/>
      <c r="AF47" s="24"/>
      <c r="AG47" s="24">
        <v>200</v>
      </c>
      <c r="AH47" s="24">
        <v>0.375</v>
      </c>
      <c r="AI47" s="24">
        <v>171.55600000000001</v>
      </c>
    </row>
    <row r="48" spans="1:35">
      <c r="A48" s="3"/>
      <c r="B48" s="3"/>
      <c r="C48" s="3">
        <v>500</v>
      </c>
      <c r="D48" s="3">
        <f t="shared" si="0"/>
        <v>0.46875</v>
      </c>
      <c r="E48" s="3">
        <v>180.435</v>
      </c>
      <c r="G48" s="7"/>
      <c r="H48" s="7"/>
      <c r="I48" s="7">
        <v>500</v>
      </c>
      <c r="J48" s="7">
        <f t="shared" si="1"/>
        <v>0.46875</v>
      </c>
      <c r="K48" s="7">
        <v>612.79899999999998</v>
      </c>
      <c r="M48" s="7"/>
      <c r="N48" s="7"/>
      <c r="O48" s="7">
        <v>500</v>
      </c>
      <c r="P48" s="7">
        <f t="shared" si="2"/>
        <v>0.46875</v>
      </c>
      <c r="Q48" s="7">
        <v>400.971</v>
      </c>
      <c r="S48" s="18"/>
      <c r="T48" s="18"/>
      <c r="U48" s="18">
        <v>500</v>
      </c>
      <c r="V48" s="18">
        <v>0.375</v>
      </c>
      <c r="W48" s="18">
        <v>437.38499999999999</v>
      </c>
      <c r="Y48" s="18"/>
      <c r="Z48" s="18"/>
      <c r="AA48" s="18">
        <v>500</v>
      </c>
      <c r="AB48" s="18">
        <v>0.375</v>
      </c>
      <c r="AC48" s="18">
        <v>476.09199999999998</v>
      </c>
      <c r="AE48" s="24"/>
      <c r="AF48" s="24">
        <v>3.125</v>
      </c>
      <c r="AG48" s="24">
        <v>2000</v>
      </c>
      <c r="AH48" s="24">
        <v>0.125</v>
      </c>
      <c r="AI48" s="24">
        <v>49.363999999999997</v>
      </c>
    </row>
    <row r="49" spans="1:35">
      <c r="A49" s="3"/>
      <c r="B49" s="3"/>
      <c r="C49" s="3">
        <v>400</v>
      </c>
      <c r="D49" s="3">
        <f t="shared" si="0"/>
        <v>0.46875</v>
      </c>
      <c r="E49" s="3">
        <v>211.84899999999999</v>
      </c>
      <c r="G49" s="7"/>
      <c r="H49" s="7"/>
      <c r="I49" s="7">
        <v>400</v>
      </c>
      <c r="J49" s="7">
        <f t="shared" si="1"/>
        <v>0.46875</v>
      </c>
      <c r="K49" s="7">
        <v>521.678</v>
      </c>
      <c r="M49" s="7"/>
      <c r="N49" s="7"/>
      <c r="O49" s="7">
        <v>400</v>
      </c>
      <c r="P49" s="7">
        <f t="shared" si="2"/>
        <v>0.46875</v>
      </c>
      <c r="Q49" s="7">
        <v>351.26299999999998</v>
      </c>
      <c r="S49" s="18"/>
      <c r="T49" s="18"/>
      <c r="U49" s="18">
        <v>400</v>
      </c>
      <c r="V49" s="18">
        <v>0.375</v>
      </c>
      <c r="W49" s="18">
        <v>394.26299999999998</v>
      </c>
      <c r="Y49" s="18"/>
      <c r="Z49" s="18"/>
      <c r="AA49" s="18">
        <v>400</v>
      </c>
      <c r="AB49" s="18">
        <v>0.375</v>
      </c>
      <c r="AC49" s="18">
        <v>487.38499999999999</v>
      </c>
      <c r="AE49" s="24"/>
      <c r="AF49" s="24"/>
      <c r="AG49" s="24">
        <v>1500</v>
      </c>
      <c r="AH49" s="24">
        <v>0.4375</v>
      </c>
      <c r="AI49" s="24">
        <v>144.435</v>
      </c>
    </row>
    <row r="50" spans="1:35">
      <c r="A50" s="3"/>
      <c r="B50" s="3"/>
      <c r="C50" s="3">
        <v>300</v>
      </c>
      <c r="D50" s="3">
        <f t="shared" si="0"/>
        <v>0.46875</v>
      </c>
      <c r="E50" s="3">
        <v>219.55600000000001</v>
      </c>
      <c r="G50" s="7"/>
      <c r="H50" s="7"/>
      <c r="I50" s="7">
        <v>300</v>
      </c>
      <c r="J50" s="7">
        <f t="shared" si="1"/>
        <v>0.46875</v>
      </c>
      <c r="K50" s="7">
        <v>601.91999999999996</v>
      </c>
      <c r="M50" s="7"/>
      <c r="N50" s="7"/>
      <c r="O50" s="7">
        <v>300</v>
      </c>
      <c r="P50" s="7">
        <f t="shared" si="2"/>
        <v>0.46875</v>
      </c>
      <c r="Q50" s="7">
        <v>395.678</v>
      </c>
      <c r="S50" s="18"/>
      <c r="T50" s="18"/>
      <c r="U50" s="18">
        <v>300</v>
      </c>
      <c r="V50" s="18">
        <v>0.375</v>
      </c>
      <c r="W50" s="18">
        <v>395.26299999999998</v>
      </c>
      <c r="Y50" s="18"/>
      <c r="Z50" s="18"/>
      <c r="AA50" s="18">
        <v>300</v>
      </c>
      <c r="AB50" s="18">
        <v>0.375</v>
      </c>
      <c r="AC50" s="18">
        <v>406.678</v>
      </c>
      <c r="AE50" s="24"/>
      <c r="AF50" s="24"/>
      <c r="AG50" s="24">
        <v>1000</v>
      </c>
      <c r="AH50" s="24">
        <v>0.1875</v>
      </c>
      <c r="AI50" s="24">
        <v>51.656999999999996</v>
      </c>
    </row>
    <row r="51" spans="1:35">
      <c r="A51" s="3"/>
      <c r="B51" s="3"/>
      <c r="C51" s="3">
        <v>200</v>
      </c>
      <c r="D51" s="3">
        <f t="shared" si="0"/>
        <v>0.46875</v>
      </c>
      <c r="E51" s="3">
        <v>251.971</v>
      </c>
      <c r="G51" s="7"/>
      <c r="H51" s="7"/>
      <c r="I51" s="7">
        <v>200</v>
      </c>
      <c r="J51" s="7">
        <f t="shared" si="1"/>
        <v>0.46875</v>
      </c>
      <c r="K51" s="7">
        <v>527.09199999999998</v>
      </c>
      <c r="M51" s="7"/>
      <c r="N51" s="7"/>
      <c r="O51" s="7">
        <v>200</v>
      </c>
      <c r="P51" s="7">
        <f t="shared" si="2"/>
        <v>0.46875</v>
      </c>
      <c r="Q51" s="7">
        <v>354.678</v>
      </c>
      <c r="S51" s="18"/>
      <c r="T51" s="18"/>
      <c r="U51" s="18">
        <v>200</v>
      </c>
      <c r="V51" s="18">
        <v>0.375</v>
      </c>
      <c r="W51" s="18">
        <v>439.38499999999999</v>
      </c>
      <c r="Y51" s="18"/>
      <c r="Z51" s="18"/>
      <c r="AA51" s="18">
        <v>200</v>
      </c>
      <c r="AB51" s="18">
        <v>0.375</v>
      </c>
      <c r="AC51" s="18">
        <v>486.09199999999998</v>
      </c>
      <c r="AE51" s="24"/>
      <c r="AF51" s="24"/>
      <c r="AG51" s="24">
        <v>850</v>
      </c>
      <c r="AH51" s="24">
        <v>0.1875</v>
      </c>
      <c r="AI51" s="24">
        <v>52.777999999999999</v>
      </c>
    </row>
    <row r="52" spans="1:35">
      <c r="A52" s="3"/>
      <c r="B52" s="3"/>
      <c r="C52" s="3">
        <v>100</v>
      </c>
      <c r="D52" s="3">
        <f t="shared" si="0"/>
        <v>0.625</v>
      </c>
      <c r="E52" s="3">
        <v>282.50599999999997</v>
      </c>
      <c r="G52" s="7"/>
      <c r="H52" s="7"/>
      <c r="I52" s="7">
        <v>100</v>
      </c>
      <c r="J52" s="7">
        <f t="shared" si="1"/>
        <v>0.625</v>
      </c>
      <c r="K52" s="7">
        <v>618.45600000000002</v>
      </c>
      <c r="M52" s="7"/>
      <c r="N52" s="7"/>
      <c r="O52" s="7">
        <v>100</v>
      </c>
      <c r="P52" s="7">
        <f t="shared" si="2"/>
        <v>0.625</v>
      </c>
      <c r="Q52" s="7">
        <v>450.62700000000001</v>
      </c>
      <c r="S52" s="18"/>
      <c r="T52" s="18"/>
      <c r="U52" s="18">
        <v>100</v>
      </c>
      <c r="V52" s="18">
        <v>0.5</v>
      </c>
      <c r="W52" s="18">
        <v>516.74900000000002</v>
      </c>
      <c r="Y52" s="18"/>
      <c r="Z52" s="18"/>
      <c r="AA52" s="18">
        <v>100</v>
      </c>
      <c r="AB52" s="18">
        <v>0.5</v>
      </c>
      <c r="AC52" s="18">
        <v>479.04199999999997</v>
      </c>
      <c r="AE52" s="24"/>
      <c r="AF52" s="24"/>
      <c r="AG52" s="24">
        <v>650</v>
      </c>
      <c r="AH52" s="24">
        <v>0.1875</v>
      </c>
      <c r="AI52" s="24">
        <v>85.778000000000006</v>
      </c>
    </row>
    <row r="53" spans="1:35">
      <c r="A53" s="3" t="s">
        <v>7</v>
      </c>
      <c r="B53" s="3" t="s">
        <v>4</v>
      </c>
      <c r="C53" s="3"/>
      <c r="D53" s="3"/>
      <c r="E53" s="3">
        <v>3986.598</v>
      </c>
      <c r="G53" s="7"/>
      <c r="H53" s="7">
        <v>3.90625</v>
      </c>
      <c r="I53" s="7">
        <v>2000</v>
      </c>
      <c r="J53" s="7">
        <f t="shared" si="1"/>
        <v>0.15625</v>
      </c>
      <c r="K53" s="7">
        <v>205.142</v>
      </c>
      <c r="M53" s="7"/>
      <c r="N53" s="7">
        <v>3.90625</v>
      </c>
      <c r="O53" s="7">
        <v>2000</v>
      </c>
      <c r="P53" s="7">
        <f t="shared" si="2"/>
        <v>0.15625</v>
      </c>
      <c r="Q53" s="7">
        <v>121.31399999999999</v>
      </c>
      <c r="S53" s="18"/>
      <c r="T53" s="18">
        <f>T43/2</f>
        <v>3.125</v>
      </c>
      <c r="U53" s="18">
        <v>2000</v>
      </c>
      <c r="V53" s="18">
        <v>0.125</v>
      </c>
      <c r="W53" s="18">
        <v>157.435</v>
      </c>
      <c r="Y53" s="18"/>
      <c r="Z53" s="18">
        <f>Z43/2</f>
        <v>3.125</v>
      </c>
      <c r="AA53" s="18">
        <v>2000</v>
      </c>
      <c r="AB53" s="18">
        <v>0.125</v>
      </c>
      <c r="AC53" s="18">
        <v>138.72800000000001</v>
      </c>
      <c r="AE53" s="24"/>
      <c r="AF53" s="24"/>
      <c r="AG53" s="24">
        <v>500</v>
      </c>
      <c r="AH53" s="24">
        <v>0.1875</v>
      </c>
      <c r="AI53" s="24">
        <v>52.363999999999997</v>
      </c>
    </row>
    <row r="54" spans="1:35">
      <c r="A54" s="3"/>
      <c r="B54" s="3"/>
      <c r="C54" s="3"/>
      <c r="D54" s="3"/>
      <c r="E54" s="3">
        <v>2936.627</v>
      </c>
      <c r="G54" s="7"/>
      <c r="H54" s="7"/>
      <c r="I54" s="7">
        <v>1500</v>
      </c>
      <c r="J54" s="7">
        <f t="shared" si="1"/>
        <v>0.546875</v>
      </c>
      <c r="K54" s="7">
        <v>833.92</v>
      </c>
      <c r="M54" s="7"/>
      <c r="N54" s="7"/>
      <c r="O54" s="7">
        <v>1500</v>
      </c>
      <c r="P54" s="7">
        <f t="shared" si="2"/>
        <v>0.546875</v>
      </c>
      <c r="Q54" s="7">
        <v>566.50599999999997</v>
      </c>
      <c r="S54" s="18"/>
      <c r="T54" s="18"/>
      <c r="U54" s="18">
        <v>1500</v>
      </c>
      <c r="V54" s="18">
        <v>0.4375</v>
      </c>
      <c r="W54" s="18">
        <v>577.38499999999999</v>
      </c>
      <c r="Y54" s="18"/>
      <c r="Z54" s="18"/>
      <c r="AA54" s="18">
        <v>1500</v>
      </c>
      <c r="AB54" s="18">
        <v>0.4375</v>
      </c>
      <c r="AC54" s="18">
        <v>617.971</v>
      </c>
      <c r="AE54" s="24"/>
      <c r="AF54" s="24"/>
      <c r="AG54" s="24">
        <v>400</v>
      </c>
      <c r="AH54" s="24">
        <v>0.1875</v>
      </c>
      <c r="AI54" s="24">
        <v>61.777999999999999</v>
      </c>
    </row>
    <row r="55" spans="1:35">
      <c r="A55" s="3"/>
      <c r="B55" s="3" t="s">
        <v>5</v>
      </c>
      <c r="C55" s="3"/>
      <c r="D55" s="3"/>
      <c r="E55" s="3">
        <v>2840.77</v>
      </c>
      <c r="G55" s="7"/>
      <c r="H55" s="7"/>
      <c r="I55" s="7">
        <v>1000</v>
      </c>
      <c r="J55" s="7">
        <f t="shared" si="1"/>
        <v>0.234375</v>
      </c>
      <c r="K55" s="7">
        <v>204.435</v>
      </c>
      <c r="M55" s="7"/>
      <c r="N55" s="7"/>
      <c r="O55" s="7">
        <v>1000</v>
      </c>
      <c r="P55" s="7">
        <f t="shared" si="2"/>
        <v>0.234375</v>
      </c>
      <c r="Q55" s="7">
        <v>169.435</v>
      </c>
      <c r="S55" s="18"/>
      <c r="T55" s="18"/>
      <c r="U55" s="18">
        <v>1000</v>
      </c>
      <c r="V55" s="18">
        <v>0.1875</v>
      </c>
      <c r="W55" s="18">
        <v>222.84899999999999</v>
      </c>
      <c r="Y55" s="18"/>
      <c r="Z55" s="18"/>
      <c r="AA55" s="18">
        <v>1000</v>
      </c>
      <c r="AB55" s="18">
        <v>0.1875</v>
      </c>
      <c r="AC55" s="18">
        <v>153.435</v>
      </c>
      <c r="AE55" s="24"/>
      <c r="AF55" s="24"/>
      <c r="AG55" s="24">
        <v>300</v>
      </c>
      <c r="AH55" s="24">
        <v>0.1875</v>
      </c>
      <c r="AI55" s="24">
        <v>78.191999999999993</v>
      </c>
    </row>
    <row r="56" spans="1:35">
      <c r="A56" s="3"/>
      <c r="B56" s="3"/>
      <c r="C56" s="3"/>
      <c r="D56" s="3"/>
      <c r="E56" s="3">
        <v>2666.0419999999999</v>
      </c>
      <c r="G56" s="7"/>
      <c r="H56" s="7"/>
      <c r="I56" s="7">
        <v>850</v>
      </c>
      <c r="J56" s="7">
        <f t="shared" si="1"/>
        <v>0.234375</v>
      </c>
      <c r="K56" s="7">
        <v>292.678</v>
      </c>
      <c r="M56" s="7"/>
      <c r="N56" s="7"/>
      <c r="O56" s="7">
        <v>850</v>
      </c>
      <c r="P56" s="7">
        <f t="shared" si="2"/>
        <v>0.234375</v>
      </c>
      <c r="Q56" s="7">
        <v>205.678</v>
      </c>
      <c r="S56" s="18"/>
      <c r="T56" s="18"/>
      <c r="U56" s="18">
        <v>850</v>
      </c>
      <c r="V56" s="18">
        <v>0.1875</v>
      </c>
      <c r="W56" s="18">
        <v>165.72800000000001</v>
      </c>
      <c r="Y56" s="18"/>
      <c r="Z56" s="18"/>
      <c r="AA56" s="18">
        <v>850</v>
      </c>
      <c r="AB56" s="18">
        <v>0.1875</v>
      </c>
      <c r="AC56" s="18">
        <v>220.26300000000001</v>
      </c>
      <c r="AE56" s="24"/>
      <c r="AF56" s="24"/>
      <c r="AG56" s="24">
        <v>200</v>
      </c>
      <c r="AH56" s="24">
        <v>0.1875</v>
      </c>
      <c r="AI56" s="24">
        <v>98.606999999999999</v>
      </c>
    </row>
    <row r="57" spans="1:35">
      <c r="A57" s="3"/>
      <c r="B57" s="3" t="s">
        <v>6</v>
      </c>
      <c r="C57" s="3"/>
      <c r="D57" s="3"/>
      <c r="E57" s="3">
        <v>1053.749</v>
      </c>
      <c r="G57" s="7"/>
      <c r="H57" s="7"/>
      <c r="I57" s="7">
        <v>650</v>
      </c>
      <c r="J57" s="7">
        <f t="shared" si="1"/>
        <v>0.234375</v>
      </c>
      <c r="K57" s="7">
        <v>213.142</v>
      </c>
      <c r="M57" s="7"/>
      <c r="N57" s="7"/>
      <c r="O57" s="7">
        <v>650</v>
      </c>
      <c r="P57" s="7">
        <f t="shared" si="2"/>
        <v>0.234375</v>
      </c>
      <c r="Q57" s="7">
        <v>139.435</v>
      </c>
      <c r="S57" s="18"/>
      <c r="T57" s="18"/>
      <c r="U57" s="18">
        <v>650</v>
      </c>
      <c r="V57" s="23">
        <v>0.1875</v>
      </c>
      <c r="W57" s="18">
        <v>177.142</v>
      </c>
      <c r="Y57" s="18"/>
      <c r="Z57" s="18"/>
      <c r="AA57" s="18">
        <v>650</v>
      </c>
      <c r="AB57" s="18">
        <v>0.1875</v>
      </c>
      <c r="AC57" s="18">
        <v>170.84899999999999</v>
      </c>
      <c r="AE57" s="24" t="s">
        <v>17</v>
      </c>
      <c r="AF57" s="24" t="s">
        <v>4</v>
      </c>
      <c r="AG57" s="24"/>
      <c r="AH57" s="24"/>
      <c r="AI57" s="24">
        <v>3748.4769999999999</v>
      </c>
    </row>
    <row r="58" spans="1:35">
      <c r="A58" s="3"/>
      <c r="B58" s="3"/>
      <c r="C58" s="3"/>
      <c r="D58" s="3"/>
      <c r="E58" s="3">
        <v>1117.213</v>
      </c>
      <c r="G58" s="7"/>
      <c r="H58" s="7"/>
      <c r="I58" s="7">
        <v>500</v>
      </c>
      <c r="J58" s="7">
        <f t="shared" si="1"/>
        <v>0.234375</v>
      </c>
      <c r="K58" s="7">
        <v>245.678</v>
      </c>
      <c r="M58" s="7"/>
      <c r="N58" s="7"/>
      <c r="O58" s="7">
        <v>500</v>
      </c>
      <c r="P58" s="7">
        <f t="shared" si="2"/>
        <v>0.234375</v>
      </c>
      <c r="Q58" s="7">
        <v>202.55600000000001</v>
      </c>
      <c r="S58" s="18"/>
      <c r="T58" s="18"/>
      <c r="U58" s="18">
        <v>500</v>
      </c>
      <c r="V58" s="23">
        <v>0.1875</v>
      </c>
      <c r="W58" s="18">
        <v>202.26300000000001</v>
      </c>
      <c r="Y58" s="18"/>
      <c r="Z58" s="18"/>
      <c r="AA58" s="18">
        <v>500</v>
      </c>
      <c r="AB58" s="18">
        <v>0.1875</v>
      </c>
      <c r="AC58" s="18">
        <v>197.55600000000001</v>
      </c>
      <c r="AE58" s="24"/>
      <c r="AF58" s="24" t="s">
        <v>5</v>
      </c>
      <c r="AG58" s="24"/>
      <c r="AH58" s="24"/>
      <c r="AI58" s="24">
        <v>2228.991</v>
      </c>
    </row>
    <row r="59" spans="1:35">
      <c r="A59" s="3" t="s">
        <v>8</v>
      </c>
      <c r="B59" s="3" t="s">
        <v>4</v>
      </c>
      <c r="C59" s="3"/>
      <c r="D59" s="3"/>
      <c r="E59" s="3">
        <v>2018.527</v>
      </c>
      <c r="G59" s="7"/>
      <c r="H59" s="7"/>
      <c r="I59" s="7">
        <v>400</v>
      </c>
      <c r="J59" s="7">
        <f t="shared" si="1"/>
        <v>0.234375</v>
      </c>
      <c r="K59" s="7">
        <v>242.26300000000001</v>
      </c>
      <c r="M59" s="7"/>
      <c r="N59" s="7"/>
      <c r="O59" s="7">
        <v>400</v>
      </c>
      <c r="P59" s="7">
        <f t="shared" si="2"/>
        <v>0.234375</v>
      </c>
      <c r="Q59" s="7">
        <v>182.84899999999999</v>
      </c>
      <c r="S59" s="18"/>
      <c r="T59" s="18"/>
      <c r="U59" s="18">
        <v>400</v>
      </c>
      <c r="V59" s="23">
        <v>0.1875</v>
      </c>
      <c r="W59" s="18">
        <v>172.142</v>
      </c>
      <c r="Y59" s="18"/>
      <c r="Z59" s="18"/>
      <c r="AA59" s="18">
        <v>400</v>
      </c>
      <c r="AB59" s="18">
        <v>0.1875</v>
      </c>
      <c r="AC59" s="18">
        <v>206.55600000000001</v>
      </c>
      <c r="AE59" s="24"/>
      <c r="AF59" s="24" t="s">
        <v>6</v>
      </c>
      <c r="AG59" s="24"/>
      <c r="AH59" s="24"/>
      <c r="AI59" s="24">
        <v>786.74900000000002</v>
      </c>
    </row>
    <row r="60" spans="1:35">
      <c r="A60" s="3"/>
      <c r="B60" s="3" t="s">
        <v>5</v>
      </c>
      <c r="C60" s="3"/>
      <c r="D60" s="3"/>
      <c r="E60" s="3">
        <v>814.99099999999999</v>
      </c>
      <c r="G60" s="7"/>
      <c r="H60" s="7"/>
      <c r="I60" s="7">
        <v>300</v>
      </c>
      <c r="J60" s="7">
        <f t="shared" si="1"/>
        <v>0.234375</v>
      </c>
      <c r="K60" s="7">
        <v>245.26300000000001</v>
      </c>
      <c r="M60" s="7"/>
      <c r="N60" s="7"/>
      <c r="O60" s="7">
        <v>300</v>
      </c>
      <c r="P60" s="7">
        <f t="shared" si="2"/>
        <v>0.234375</v>
      </c>
      <c r="Q60" s="7">
        <v>149.142</v>
      </c>
      <c r="S60" s="18"/>
      <c r="T60" s="18"/>
      <c r="U60" s="18">
        <v>300</v>
      </c>
      <c r="V60" s="18">
        <v>0.1875</v>
      </c>
      <c r="W60" s="18">
        <v>196.84899999999999</v>
      </c>
      <c r="Y60" s="18"/>
      <c r="Z60" s="18"/>
      <c r="AA60" s="18">
        <v>300</v>
      </c>
      <c r="AB60" s="18">
        <v>0.1875</v>
      </c>
      <c r="AC60" s="18">
        <v>164.84899999999999</v>
      </c>
      <c r="AE60" s="24" t="s">
        <v>81</v>
      </c>
      <c r="AF60" s="24" t="s">
        <v>4</v>
      </c>
      <c r="AG60" s="24"/>
      <c r="AH60" s="24"/>
      <c r="AI60" s="24">
        <v>731.45600000000002</v>
      </c>
    </row>
    <row r="61" spans="1:35">
      <c r="A61" s="3"/>
      <c r="B61" s="3" t="s">
        <v>6</v>
      </c>
      <c r="C61" s="3"/>
      <c r="D61" s="3"/>
      <c r="E61" s="3">
        <v>345.62700000000001</v>
      </c>
      <c r="G61" s="7"/>
      <c r="H61" s="7"/>
      <c r="I61" s="7">
        <v>200</v>
      </c>
      <c r="J61" s="7">
        <f t="shared" si="1"/>
        <v>0.234375</v>
      </c>
      <c r="K61" s="7">
        <v>231.26300000000001</v>
      </c>
      <c r="M61" s="7"/>
      <c r="N61" s="7"/>
      <c r="O61" s="7">
        <v>200</v>
      </c>
      <c r="P61" s="7">
        <f t="shared" si="2"/>
        <v>0.234375</v>
      </c>
      <c r="Q61" s="7">
        <v>162.84899999999999</v>
      </c>
      <c r="S61" s="18"/>
      <c r="T61" s="18"/>
      <c r="U61" s="18">
        <v>200</v>
      </c>
      <c r="V61" s="18">
        <v>0.1875</v>
      </c>
      <c r="W61" s="18">
        <v>188.55600000000001</v>
      </c>
      <c r="Y61" s="18"/>
      <c r="Z61" s="18"/>
      <c r="AA61" s="18">
        <v>200</v>
      </c>
      <c r="AB61" s="18">
        <v>0.1875</v>
      </c>
      <c r="AC61" s="18">
        <v>230.678</v>
      </c>
      <c r="AE61" s="24"/>
      <c r="AF61" s="24" t="s">
        <v>5</v>
      </c>
      <c r="AG61" s="24"/>
      <c r="AH61" s="24"/>
      <c r="AI61" s="24">
        <v>224.09200000000001</v>
      </c>
    </row>
    <row r="62" spans="1:35">
      <c r="G62" s="7"/>
      <c r="H62" s="7"/>
      <c r="I62" s="7">
        <v>100</v>
      </c>
      <c r="J62" s="7">
        <f t="shared" si="1"/>
        <v>0.3125</v>
      </c>
      <c r="K62" s="7">
        <v>258.38499999999999</v>
      </c>
      <c r="M62" s="7"/>
      <c r="N62" s="7"/>
      <c r="O62" s="7">
        <v>100</v>
      </c>
      <c r="P62" s="7">
        <f t="shared" si="2"/>
        <v>0.3125</v>
      </c>
      <c r="Q62" s="7">
        <v>249.38499999999999</v>
      </c>
      <c r="S62" s="18"/>
      <c r="T62" s="18"/>
      <c r="U62" s="18">
        <v>100</v>
      </c>
      <c r="V62" s="18">
        <v>0.25</v>
      </c>
      <c r="W62" s="18">
        <v>328.62700000000001</v>
      </c>
      <c r="Y62" s="18"/>
      <c r="Z62" s="18"/>
      <c r="AA62" s="18">
        <v>100</v>
      </c>
      <c r="AB62" s="18">
        <v>0.25</v>
      </c>
      <c r="AC62" s="18">
        <v>205.26300000000001</v>
      </c>
      <c r="AE62" s="24"/>
      <c r="AF62" s="24" t="s">
        <v>6</v>
      </c>
      <c r="AG62" s="24"/>
      <c r="AH62" s="24"/>
      <c r="AI62" s="24">
        <v>115.31399999999999</v>
      </c>
    </row>
    <row r="63" spans="1:35">
      <c r="G63" s="7" t="s">
        <v>15</v>
      </c>
      <c r="H63" s="7" t="s">
        <v>4</v>
      </c>
      <c r="I63" s="7"/>
      <c r="J63" s="7"/>
      <c r="K63" s="7">
        <v>8332.4470000000001</v>
      </c>
      <c r="M63" s="7" t="s">
        <v>15</v>
      </c>
      <c r="N63" s="7" t="s">
        <v>4</v>
      </c>
      <c r="O63" s="7"/>
      <c r="P63" s="7"/>
      <c r="Q63" s="7">
        <v>6072.6189999999997</v>
      </c>
      <c r="S63" s="18" t="s">
        <v>15</v>
      </c>
      <c r="T63" s="18" t="s">
        <v>4</v>
      </c>
      <c r="U63" s="18"/>
      <c r="V63" s="18"/>
      <c r="W63" s="18">
        <v>2567.3049999999998</v>
      </c>
      <c r="Y63" s="18" t="s">
        <v>15</v>
      </c>
      <c r="Z63" s="18" t="s">
        <v>4</v>
      </c>
      <c r="AA63" s="18"/>
      <c r="AB63" s="18"/>
      <c r="AC63" s="18">
        <v>2748.77</v>
      </c>
      <c r="AE63" s="24" t="s">
        <v>82</v>
      </c>
      <c r="AF63" s="24" t="s">
        <v>4</v>
      </c>
      <c r="AG63" s="24"/>
      <c r="AH63" s="24"/>
      <c r="AI63" s="24">
        <v>471.04199999999997</v>
      </c>
    </row>
    <row r="64" spans="1:35">
      <c r="G64" s="7"/>
      <c r="H64" s="7" t="s">
        <v>5</v>
      </c>
      <c r="I64" s="7"/>
      <c r="J64" s="7"/>
      <c r="K64" s="7">
        <v>2946.0120000000002</v>
      </c>
      <c r="M64" s="7"/>
      <c r="N64" s="7" t="s">
        <v>5</v>
      </c>
      <c r="O64" s="7"/>
      <c r="P64" s="7"/>
      <c r="Q64" s="7">
        <v>2014.184</v>
      </c>
      <c r="S64" s="18"/>
      <c r="T64" s="18" t="s">
        <v>5</v>
      </c>
      <c r="U64" s="18"/>
      <c r="V64" s="18"/>
      <c r="W64" s="18">
        <v>1257.355</v>
      </c>
      <c r="Y64" s="18"/>
      <c r="Z64" s="18" t="s">
        <v>5</v>
      </c>
      <c r="AA64" s="18"/>
      <c r="AB64" s="18"/>
      <c r="AC64" s="18">
        <v>1086.82</v>
      </c>
      <c r="AE64" s="24"/>
      <c r="AF64" s="24" t="s">
        <v>5</v>
      </c>
      <c r="AG64" s="24"/>
      <c r="AH64" s="24"/>
      <c r="AI64" s="24">
        <v>184.142</v>
      </c>
    </row>
    <row r="65" spans="7:35">
      <c r="G65" s="7"/>
      <c r="H65" s="7" t="s">
        <v>6</v>
      </c>
      <c r="I65" s="7"/>
      <c r="J65" s="7"/>
      <c r="K65" s="7">
        <v>1745.4770000000001</v>
      </c>
      <c r="M65" s="7"/>
      <c r="N65" s="7" t="s">
        <v>6</v>
      </c>
      <c r="O65" s="7"/>
      <c r="P65" s="7"/>
      <c r="Q65" s="7">
        <v>1153.527</v>
      </c>
      <c r="S65" s="18"/>
      <c r="T65" s="18" t="s">
        <v>6</v>
      </c>
      <c r="U65" s="18"/>
      <c r="V65" s="18"/>
      <c r="W65" s="18">
        <v>648.6</v>
      </c>
      <c r="Y65" s="18"/>
      <c r="Z65" s="18" t="s">
        <v>6</v>
      </c>
      <c r="AA65" s="18"/>
      <c r="AB65" s="18"/>
      <c r="AC65" s="18">
        <v>323.92</v>
      </c>
      <c r="AE65" s="24"/>
      <c r="AF65" s="24" t="s">
        <v>6</v>
      </c>
      <c r="AG65" s="24"/>
      <c r="AH65" s="24"/>
      <c r="AI65" s="24">
        <v>125.607</v>
      </c>
    </row>
    <row r="66" spans="7:35">
      <c r="G66" s="7" t="s">
        <v>16</v>
      </c>
      <c r="H66" s="7" t="s">
        <v>4</v>
      </c>
      <c r="I66" s="7"/>
      <c r="J66" s="7"/>
      <c r="K66" s="7">
        <v>9752.1540000000005</v>
      </c>
      <c r="M66" s="7" t="s">
        <v>16</v>
      </c>
      <c r="N66" s="7" t="s">
        <v>4</v>
      </c>
      <c r="O66" s="7"/>
      <c r="P66" s="7"/>
      <c r="Q66" s="7">
        <v>6951.8609999999999</v>
      </c>
      <c r="S66" s="18" t="s">
        <v>16</v>
      </c>
      <c r="T66" s="18" t="s">
        <v>4</v>
      </c>
      <c r="U66" s="18"/>
      <c r="V66" s="18"/>
      <c r="W66" s="18">
        <v>4035.79</v>
      </c>
      <c r="Y66" s="18" t="s">
        <v>16</v>
      </c>
      <c r="Z66" s="18" t="s">
        <v>4</v>
      </c>
      <c r="AA66" s="18"/>
      <c r="AB66" s="18"/>
      <c r="AC66" s="18">
        <v>4760.5479999999998</v>
      </c>
      <c r="AE66" s="24" t="s">
        <v>83</v>
      </c>
      <c r="AF66" s="24" t="s">
        <v>4</v>
      </c>
      <c r="AG66" s="24"/>
      <c r="AH66" s="24"/>
      <c r="AI66" s="24">
        <v>1885.627</v>
      </c>
    </row>
    <row r="67" spans="7:35">
      <c r="G67" s="7"/>
      <c r="H67" s="7"/>
      <c r="I67" s="7"/>
      <c r="J67" s="7"/>
      <c r="K67" s="7">
        <v>89.778000000000006</v>
      </c>
      <c r="M67" s="7"/>
      <c r="N67" s="7"/>
      <c r="O67" s="7"/>
      <c r="P67" s="7"/>
      <c r="Q67" s="7">
        <v>70.364000000000004</v>
      </c>
      <c r="S67" s="18"/>
      <c r="T67" s="18"/>
      <c r="U67" s="18"/>
      <c r="V67" s="18"/>
      <c r="W67" s="18">
        <v>35.950000000000003</v>
      </c>
      <c r="Y67" s="18"/>
      <c r="Z67" s="18" t="s">
        <v>5</v>
      </c>
      <c r="AA67" s="18"/>
      <c r="AB67" s="18"/>
      <c r="AC67" s="18">
        <v>1879.4770000000001</v>
      </c>
      <c r="AE67" s="24"/>
      <c r="AF67" s="24"/>
      <c r="AG67" s="24"/>
      <c r="AH67" s="24"/>
      <c r="AI67" s="24">
        <v>2223.2130000000002</v>
      </c>
    </row>
    <row r="68" spans="7:35">
      <c r="G68" s="7"/>
      <c r="H68" s="7"/>
      <c r="I68" s="7"/>
      <c r="J68" s="7"/>
      <c r="K68" s="7">
        <v>217.38499999999999</v>
      </c>
      <c r="M68" s="7"/>
      <c r="N68" s="7"/>
      <c r="O68" s="7"/>
      <c r="P68" s="7"/>
      <c r="Q68" s="7">
        <v>176.678</v>
      </c>
      <c r="S68" s="18"/>
      <c r="T68" s="18"/>
      <c r="U68" s="18"/>
      <c r="V68" s="18"/>
      <c r="W68" s="18">
        <v>49.777999999999999</v>
      </c>
      <c r="Y68" s="18"/>
      <c r="Z68" s="18" t="s">
        <v>6</v>
      </c>
      <c r="AA68" s="18"/>
      <c r="AB68" s="18"/>
      <c r="AC68" s="18">
        <v>592.28399999999999</v>
      </c>
      <c r="AE68" s="24"/>
      <c r="AF68" s="24" t="s">
        <v>5</v>
      </c>
      <c r="AG68" s="24"/>
      <c r="AH68" s="24"/>
      <c r="AI68" s="24">
        <v>667.09199999999998</v>
      </c>
    </row>
    <row r="69" spans="7:35">
      <c r="G69" s="7"/>
      <c r="H69" s="7" t="s">
        <v>5</v>
      </c>
      <c r="I69" s="7"/>
      <c r="J69" s="7"/>
      <c r="K69" s="7">
        <v>4067.5479999999998</v>
      </c>
      <c r="M69" s="7"/>
      <c r="N69" s="7" t="s">
        <v>5</v>
      </c>
      <c r="O69" s="7"/>
      <c r="P69" s="7"/>
      <c r="Q69" s="7">
        <v>2739.8409999999999</v>
      </c>
      <c r="S69" s="18"/>
      <c r="T69" s="18" t="s">
        <v>5</v>
      </c>
      <c r="U69" s="18"/>
      <c r="V69" s="18"/>
      <c r="W69" s="18">
        <v>2369.4969999999998</v>
      </c>
      <c r="Y69" s="18" t="s">
        <v>43</v>
      </c>
      <c r="Z69" s="18" t="s">
        <v>4</v>
      </c>
      <c r="AA69" s="18"/>
      <c r="AB69" s="18"/>
      <c r="AC69" s="18">
        <v>1790.0619999999999</v>
      </c>
      <c r="AE69" s="24"/>
      <c r="AF69" s="24"/>
      <c r="AG69" s="24"/>
      <c r="AH69" s="24"/>
      <c r="AI69" s="24">
        <v>904.21299999999997</v>
      </c>
    </row>
    <row r="70" spans="7:35">
      <c r="G70" s="7"/>
      <c r="H70" s="7"/>
      <c r="I70" s="7"/>
      <c r="J70" s="7"/>
      <c r="K70" s="7">
        <v>48.536000000000001</v>
      </c>
      <c r="M70" s="7"/>
      <c r="N70" s="7"/>
      <c r="O70" s="7"/>
      <c r="P70" s="7"/>
      <c r="Q70" s="7">
        <v>31.536000000000001</v>
      </c>
      <c r="S70" s="18"/>
      <c r="T70" s="18" t="s">
        <v>6</v>
      </c>
      <c r="U70" s="18"/>
      <c r="V70" s="18"/>
      <c r="W70" s="18">
        <v>850.59799999999996</v>
      </c>
      <c r="Y70" s="18"/>
      <c r="Z70" s="18" t="s">
        <v>5</v>
      </c>
      <c r="AA70" s="18"/>
      <c r="AB70" s="18"/>
      <c r="AC70" s="18">
        <v>764.69799999999998</v>
      </c>
      <c r="AE70" s="24"/>
      <c r="AF70" s="24" t="s">
        <v>6</v>
      </c>
      <c r="AG70" s="24"/>
      <c r="AH70" s="24"/>
      <c r="AI70" s="24">
        <v>304.971</v>
      </c>
    </row>
    <row r="71" spans="7:35">
      <c r="G71" s="7"/>
      <c r="H71" s="7"/>
      <c r="I71" s="7"/>
      <c r="J71" s="7"/>
      <c r="K71" s="7">
        <v>34.363999999999997</v>
      </c>
      <c r="M71" s="7"/>
      <c r="N71" s="7"/>
      <c r="O71" s="7"/>
      <c r="P71" s="7"/>
      <c r="Q71" s="7">
        <v>57.777999999999999</v>
      </c>
      <c r="S71" s="18" t="s">
        <v>43</v>
      </c>
      <c r="T71" s="18" t="s">
        <v>4</v>
      </c>
      <c r="U71" s="18"/>
      <c r="V71" s="18"/>
      <c r="W71" s="18">
        <v>2358.2049999999999</v>
      </c>
      <c r="Y71" s="18"/>
      <c r="Z71" s="18" t="s">
        <v>6</v>
      </c>
      <c r="AA71" s="18"/>
      <c r="AB71" s="18"/>
      <c r="AC71" s="18">
        <v>248.84899999999999</v>
      </c>
      <c r="AE71" s="24"/>
      <c r="AF71" s="24"/>
      <c r="AG71" s="24"/>
      <c r="AH71" s="24"/>
      <c r="AI71" s="24">
        <v>369.678</v>
      </c>
    </row>
    <row r="72" spans="7:35">
      <c r="G72" s="7"/>
      <c r="H72" s="7" t="s">
        <v>6</v>
      </c>
      <c r="I72" s="7"/>
      <c r="J72" s="7"/>
      <c r="K72" s="7">
        <v>1719.598</v>
      </c>
      <c r="M72" s="7"/>
      <c r="N72" s="7" t="s">
        <v>6</v>
      </c>
      <c r="O72" s="7"/>
      <c r="P72" s="7"/>
      <c r="Q72" s="7">
        <v>1352.4770000000001</v>
      </c>
      <c r="S72" s="18"/>
      <c r="T72" s="18"/>
      <c r="U72" s="18"/>
      <c r="V72" s="18"/>
      <c r="W72" s="18">
        <v>82.778000000000006</v>
      </c>
      <c r="Y72" s="18" t="s">
        <v>44</v>
      </c>
      <c r="Z72" s="18" t="s">
        <v>4</v>
      </c>
      <c r="AA72" s="18"/>
      <c r="AB72" s="18"/>
      <c r="AC72" s="18">
        <v>1753.0619999999999</v>
      </c>
      <c r="AE72" s="24" t="s">
        <v>84</v>
      </c>
      <c r="AF72" s="24" t="s">
        <v>4</v>
      </c>
      <c r="AG72" s="24"/>
      <c r="AH72" s="24"/>
      <c r="AI72" s="24">
        <v>1215.4559999999999</v>
      </c>
    </row>
    <row r="73" spans="7:35">
      <c r="G73" s="7"/>
      <c r="H73" s="7"/>
      <c r="I73" s="7"/>
      <c r="J73" s="7"/>
      <c r="K73" s="7">
        <v>58.606999999999999</v>
      </c>
      <c r="M73" s="7"/>
      <c r="N73" s="7"/>
      <c r="O73" s="7"/>
      <c r="P73" s="7"/>
      <c r="Q73" s="7">
        <v>24.95</v>
      </c>
      <c r="S73" s="18"/>
      <c r="T73" s="18"/>
      <c r="U73" s="18"/>
      <c r="V73" s="18"/>
      <c r="W73" s="18">
        <v>125.19199999999999</v>
      </c>
      <c r="Y73" s="18"/>
      <c r="Z73" s="18" t="s">
        <v>5</v>
      </c>
      <c r="AA73" s="18"/>
      <c r="AB73" s="18"/>
      <c r="AC73" s="18">
        <v>692.28399999999999</v>
      </c>
      <c r="AE73" s="24"/>
      <c r="AF73" s="24"/>
      <c r="AG73" s="24"/>
      <c r="AH73" s="24"/>
      <c r="AI73" s="24">
        <v>1228.799</v>
      </c>
    </row>
    <row r="74" spans="7:35">
      <c r="G74" s="7"/>
      <c r="H74" s="7"/>
      <c r="I74" s="7"/>
      <c r="J74" s="7"/>
      <c r="K74" s="7">
        <v>50.363999999999997</v>
      </c>
      <c r="M74" s="7"/>
      <c r="N74" s="7"/>
      <c r="O74" s="7"/>
      <c r="P74" s="7"/>
      <c r="Q74" s="7">
        <v>51.95</v>
      </c>
      <c r="S74" s="18"/>
      <c r="T74" s="18" t="s">
        <v>5</v>
      </c>
      <c r="U74" s="18"/>
      <c r="V74" s="18"/>
      <c r="W74" s="18">
        <v>839.52700000000004</v>
      </c>
      <c r="Y74" s="18"/>
      <c r="Z74" s="18" t="s">
        <v>6</v>
      </c>
      <c r="AA74" s="18"/>
      <c r="AB74" s="18"/>
      <c r="AC74" s="18">
        <v>246.79900000000001</v>
      </c>
      <c r="AE74" s="24"/>
      <c r="AF74" s="24" t="s">
        <v>5</v>
      </c>
      <c r="AG74" s="24"/>
      <c r="AH74" s="24"/>
      <c r="AI74" s="24">
        <v>488.33499999999998</v>
      </c>
    </row>
    <row r="75" spans="7:35">
      <c r="G75" s="7" t="s">
        <v>17</v>
      </c>
      <c r="H75" s="7" t="s">
        <v>4</v>
      </c>
      <c r="I75" s="7"/>
      <c r="J75" s="7"/>
      <c r="K75" s="7">
        <v>5224.8909999999996</v>
      </c>
      <c r="M75" s="7" t="s">
        <v>17</v>
      </c>
      <c r="N75" s="7" t="s">
        <v>4</v>
      </c>
      <c r="O75" s="7"/>
      <c r="P75" s="7"/>
      <c r="Q75" s="7">
        <v>3757.4769999999999</v>
      </c>
      <c r="S75" s="18"/>
      <c r="T75" s="18"/>
      <c r="U75" s="18"/>
      <c r="V75" s="18"/>
      <c r="W75" s="18">
        <v>40.536000000000001</v>
      </c>
      <c r="Y75" s="18" t="s">
        <v>18</v>
      </c>
      <c r="Z75" s="18" t="s">
        <v>4</v>
      </c>
      <c r="AA75" s="18"/>
      <c r="AB75" s="18"/>
      <c r="AC75" s="18">
        <v>4117.4059999999999</v>
      </c>
      <c r="AE75" s="24"/>
      <c r="AF75" s="24"/>
      <c r="AG75" s="24"/>
      <c r="AH75" s="24"/>
      <c r="AI75" s="24">
        <v>466.26299999999998</v>
      </c>
    </row>
    <row r="76" spans="7:35">
      <c r="G76" s="7"/>
      <c r="H76" s="7"/>
      <c r="I76" s="7"/>
      <c r="J76" s="7"/>
      <c r="K76" s="7">
        <v>78.778000000000006</v>
      </c>
      <c r="M76" s="7"/>
      <c r="N76" s="7"/>
      <c r="O76" s="7"/>
      <c r="P76" s="7"/>
      <c r="Q76" s="7">
        <v>26.536000000000001</v>
      </c>
      <c r="S76" s="18"/>
      <c r="T76" s="18"/>
      <c r="U76" s="18"/>
      <c r="V76" s="18"/>
      <c r="W76" s="18">
        <v>109.77800000000001</v>
      </c>
      <c r="Y76" s="18"/>
      <c r="Z76" s="18"/>
      <c r="AA76" s="18"/>
      <c r="AB76" s="18"/>
      <c r="AC76" s="18">
        <v>3826.0920000000001</v>
      </c>
      <c r="AE76" s="24"/>
      <c r="AF76" s="24" t="s">
        <v>6</v>
      </c>
      <c r="AG76" s="24"/>
      <c r="AH76" s="24"/>
      <c r="AI76" s="24">
        <v>217.72800000000001</v>
      </c>
    </row>
    <row r="77" spans="7:35">
      <c r="G77" s="7"/>
      <c r="H77" s="7"/>
      <c r="I77" s="7"/>
      <c r="J77" s="7"/>
      <c r="K77" s="7">
        <v>89.191999999999993</v>
      </c>
      <c r="M77" s="7"/>
      <c r="N77" s="7"/>
      <c r="O77" s="7"/>
      <c r="P77" s="7"/>
      <c r="Q77" s="7">
        <v>32.363999999999997</v>
      </c>
      <c r="S77" s="18"/>
      <c r="T77" s="18" t="s">
        <v>6</v>
      </c>
      <c r="U77" s="18"/>
      <c r="V77" s="18"/>
      <c r="W77" s="18">
        <v>417.99099999999999</v>
      </c>
      <c r="Y77" s="18"/>
      <c r="Z77" s="18" t="s">
        <v>5</v>
      </c>
      <c r="AA77" s="18"/>
      <c r="AB77" s="18"/>
      <c r="AC77" s="18">
        <v>1598.749</v>
      </c>
      <c r="AE77" s="24"/>
      <c r="AF77" s="24"/>
      <c r="AG77" s="24"/>
      <c r="AH77" s="24"/>
      <c r="AI77" s="24">
        <v>228.55600000000001</v>
      </c>
    </row>
    <row r="78" spans="7:35">
      <c r="G78" s="7"/>
      <c r="H78" s="7" t="s">
        <v>5</v>
      </c>
      <c r="I78" s="7"/>
      <c r="J78" s="7"/>
      <c r="K78" s="7">
        <v>2156.77</v>
      </c>
      <c r="M78" s="7"/>
      <c r="N78" s="7" t="s">
        <v>5</v>
      </c>
      <c r="O78" s="7"/>
      <c r="P78" s="7"/>
      <c r="Q78" s="7">
        <v>1471.82</v>
      </c>
      <c r="S78" s="18"/>
      <c r="T78" s="18"/>
      <c r="U78" s="18"/>
      <c r="V78" s="18"/>
      <c r="W78" s="18">
        <v>49.777999999999999</v>
      </c>
      <c r="Y78" s="18"/>
      <c r="Z78" s="18"/>
      <c r="AA78" s="18"/>
      <c r="AB78" s="18"/>
      <c r="AC78" s="18">
        <v>1605.799</v>
      </c>
      <c r="AE78" s="24" t="s">
        <v>85</v>
      </c>
      <c r="AF78" s="24" t="s">
        <v>4</v>
      </c>
      <c r="AG78" s="24"/>
      <c r="AH78" s="24"/>
      <c r="AI78" s="24">
        <v>247.142</v>
      </c>
    </row>
    <row r="79" spans="7:35">
      <c r="G79" s="7"/>
      <c r="H79" s="7"/>
      <c r="I79" s="7"/>
      <c r="J79" s="7"/>
      <c r="K79" s="7">
        <v>35.536000000000001</v>
      </c>
      <c r="M79" s="7"/>
      <c r="N79" s="7" t="s">
        <v>6</v>
      </c>
      <c r="O79" s="7"/>
      <c r="P79" s="7"/>
      <c r="Q79" s="7">
        <v>812.40599999999995</v>
      </c>
      <c r="S79" s="18" t="s">
        <v>44</v>
      </c>
      <c r="T79" s="18" t="s">
        <v>4</v>
      </c>
      <c r="U79" s="18"/>
      <c r="V79" s="18"/>
      <c r="W79" s="18">
        <v>2170.4259999999999</v>
      </c>
      <c r="Y79" s="18"/>
      <c r="Z79" s="18" t="s">
        <v>6</v>
      </c>
      <c r="AA79" s="18"/>
      <c r="AB79" s="18"/>
      <c r="AC79" s="18">
        <v>492.678</v>
      </c>
      <c r="AE79" s="24"/>
      <c r="AF79" s="24"/>
      <c r="AG79" s="24"/>
      <c r="AH79" s="24"/>
      <c r="AI79" s="24">
        <v>367.84899999999999</v>
      </c>
    </row>
    <row r="80" spans="7:35">
      <c r="G80" s="7"/>
      <c r="H80" s="7"/>
      <c r="I80" s="7"/>
      <c r="J80" s="7"/>
      <c r="K80" s="7">
        <v>44.95</v>
      </c>
      <c r="M80" s="7" t="s">
        <v>18</v>
      </c>
      <c r="N80" s="7" t="s">
        <v>4</v>
      </c>
      <c r="O80" s="7"/>
      <c r="P80" s="7"/>
      <c r="Q80" s="7">
        <v>1767.355</v>
      </c>
      <c r="S80" s="18"/>
      <c r="T80" s="18"/>
      <c r="U80" s="18"/>
      <c r="V80" s="18"/>
      <c r="W80" s="18">
        <v>65.364000000000004</v>
      </c>
      <c r="Y80" s="18"/>
      <c r="Z80" s="18"/>
      <c r="AA80" s="18"/>
      <c r="AB80" s="18"/>
      <c r="AC80" s="18">
        <v>527.971</v>
      </c>
      <c r="AE80" s="24"/>
      <c r="AF80" s="24" t="s">
        <v>5</v>
      </c>
      <c r="AG80" s="24"/>
      <c r="AH80" s="24"/>
      <c r="AI80" s="24">
        <v>133.071</v>
      </c>
    </row>
    <row r="81" spans="7:35">
      <c r="G81" s="7"/>
      <c r="H81" s="7" t="s">
        <v>6</v>
      </c>
      <c r="I81" s="7"/>
      <c r="J81" s="7"/>
      <c r="K81" s="7">
        <v>1106.6479999999999</v>
      </c>
      <c r="M81" s="7"/>
      <c r="N81" s="7"/>
      <c r="O81" s="7"/>
      <c r="P81" s="7"/>
      <c r="Q81" s="7">
        <v>1872.799</v>
      </c>
      <c r="S81" s="18"/>
      <c r="T81" s="18" t="s">
        <v>5</v>
      </c>
      <c r="U81" s="18"/>
      <c r="V81" s="18"/>
      <c r="W81" s="18">
        <v>610.87</v>
      </c>
      <c r="Y81" s="18" t="s">
        <v>45</v>
      </c>
      <c r="Z81" s="18" t="s">
        <v>4</v>
      </c>
      <c r="AA81" s="18"/>
      <c r="AB81" s="18"/>
      <c r="AC81" s="18">
        <v>2419.8200000000002</v>
      </c>
      <c r="AE81" s="24"/>
      <c r="AF81" s="24"/>
      <c r="AG81" s="24"/>
      <c r="AH81" s="24"/>
      <c r="AI81" s="24">
        <v>175.607</v>
      </c>
    </row>
    <row r="82" spans="7:35">
      <c r="G82" s="7"/>
      <c r="H82" s="7"/>
      <c r="I82" s="7"/>
      <c r="J82" s="7"/>
      <c r="K82" s="7">
        <v>10.121</v>
      </c>
      <c r="M82" s="7"/>
      <c r="N82" s="7"/>
      <c r="O82" s="7"/>
      <c r="P82" s="7"/>
      <c r="Q82" s="7">
        <v>71.191999999999993</v>
      </c>
      <c r="S82" s="18"/>
      <c r="T82" s="18"/>
      <c r="U82" s="18"/>
      <c r="V82" s="18"/>
      <c r="W82" s="18">
        <v>14.121</v>
      </c>
      <c r="Y82" s="18"/>
      <c r="Z82" s="18"/>
      <c r="AA82" s="18"/>
      <c r="AB82" s="18"/>
      <c r="AC82" s="18">
        <v>2394.3850000000002</v>
      </c>
      <c r="AE82" s="24"/>
      <c r="AF82" s="24" t="s">
        <v>6</v>
      </c>
      <c r="AG82" s="24"/>
      <c r="AH82" s="24"/>
      <c r="AI82" s="24">
        <v>76.242999999999995</v>
      </c>
    </row>
    <row r="83" spans="7:35">
      <c r="G83" s="7"/>
      <c r="H83" s="7"/>
      <c r="I83" s="7"/>
      <c r="J83" s="7"/>
      <c r="K83" s="7">
        <v>32.950000000000003</v>
      </c>
      <c r="M83" s="7"/>
      <c r="N83" s="7"/>
      <c r="O83" s="7"/>
      <c r="P83" s="7"/>
      <c r="Q83" s="7">
        <v>142.02099999999999</v>
      </c>
      <c r="S83" s="18"/>
      <c r="T83" s="18" t="s">
        <v>6</v>
      </c>
      <c r="U83" s="18"/>
      <c r="V83" s="18"/>
      <c r="W83" s="18">
        <v>465.04199999999997</v>
      </c>
      <c r="Y83" s="18"/>
      <c r="Z83" s="18" t="s">
        <v>5</v>
      </c>
      <c r="AA83" s="18"/>
      <c r="AB83" s="18"/>
      <c r="AC83" s="18">
        <v>783.92</v>
      </c>
      <c r="AE83" s="24"/>
      <c r="AF83" s="24"/>
      <c r="AG83" s="24"/>
      <c r="AH83" s="24"/>
      <c r="AI83" s="24">
        <v>79.070999999999998</v>
      </c>
    </row>
    <row r="84" spans="7:35">
      <c r="G84" s="7" t="s">
        <v>18</v>
      </c>
      <c r="H84" s="7" t="s">
        <v>4</v>
      </c>
      <c r="I84" s="7"/>
      <c r="J84" s="7"/>
      <c r="K84" s="7">
        <v>2440.1129999999998</v>
      </c>
      <c r="M84" s="7"/>
      <c r="N84" s="7" t="s">
        <v>5</v>
      </c>
      <c r="O84" s="7"/>
      <c r="P84" s="7"/>
      <c r="Q84" s="7">
        <v>897.33500000000004</v>
      </c>
      <c r="S84" s="18" t="s">
        <v>18</v>
      </c>
      <c r="T84" s="18" t="s">
        <v>4</v>
      </c>
      <c r="U84" s="18"/>
      <c r="V84" s="18"/>
      <c r="W84" s="18">
        <v>4350.0619999999999</v>
      </c>
      <c r="Y84" s="18"/>
      <c r="Z84" s="18"/>
      <c r="AA84" s="18"/>
      <c r="AB84" s="18"/>
      <c r="AC84" s="18">
        <v>714.26300000000003</v>
      </c>
    </row>
    <row r="85" spans="7:35">
      <c r="G85" s="7"/>
      <c r="H85" s="7"/>
      <c r="I85" s="7"/>
      <c r="J85" s="7"/>
      <c r="K85" s="7">
        <v>2640.92</v>
      </c>
      <c r="M85" s="7"/>
      <c r="N85" s="7"/>
      <c r="O85" s="7"/>
      <c r="P85" s="7"/>
      <c r="Q85" s="7">
        <v>875.79899999999998</v>
      </c>
      <c r="S85" s="18"/>
      <c r="T85" s="18"/>
      <c r="U85" s="18"/>
      <c r="V85" s="18"/>
      <c r="W85" s="18">
        <v>4417.6270000000004</v>
      </c>
      <c r="Y85" s="18"/>
      <c r="Z85" s="18" t="s">
        <v>6</v>
      </c>
      <c r="AA85" s="18"/>
      <c r="AB85" s="18"/>
      <c r="AC85" s="18">
        <v>212.02099999999999</v>
      </c>
    </row>
    <row r="86" spans="7:35">
      <c r="G86" s="7"/>
      <c r="H86" s="7"/>
      <c r="I86" s="7"/>
      <c r="J86" s="7"/>
      <c r="K86" s="7">
        <v>143.607</v>
      </c>
      <c r="M86" s="7"/>
      <c r="N86" s="7"/>
      <c r="O86" s="7"/>
      <c r="P86" s="7"/>
      <c r="Q86" s="7">
        <v>77.191999999999993</v>
      </c>
      <c r="S86" s="18"/>
      <c r="T86" s="18"/>
      <c r="U86" s="18"/>
      <c r="V86" s="18"/>
      <c r="W86" s="18">
        <v>151.142</v>
      </c>
      <c r="Y86" s="18"/>
      <c r="Z86" s="18"/>
      <c r="AA86" s="18"/>
      <c r="AB86" s="18"/>
      <c r="AC86" s="18">
        <v>237.72800000000001</v>
      </c>
    </row>
    <row r="87" spans="7:35">
      <c r="G87" s="7"/>
      <c r="H87" s="7"/>
      <c r="I87" s="7"/>
      <c r="J87" s="7"/>
      <c r="K87" s="7">
        <v>124.021</v>
      </c>
      <c r="M87" s="7"/>
      <c r="N87" s="7"/>
      <c r="O87" s="7"/>
      <c r="P87" s="7"/>
      <c r="Q87" s="7">
        <v>66.364000000000004</v>
      </c>
      <c r="S87" s="18"/>
      <c r="T87" s="18"/>
      <c r="U87" s="18"/>
      <c r="V87" s="18"/>
      <c r="W87" s="18">
        <v>222.09200000000001</v>
      </c>
    </row>
    <row r="88" spans="7:35">
      <c r="G88" s="7"/>
      <c r="H88" s="7" t="s">
        <v>5</v>
      </c>
      <c r="I88" s="7"/>
      <c r="J88" s="7"/>
      <c r="K88" s="7">
        <v>1249.4559999999999</v>
      </c>
      <c r="M88" s="7"/>
      <c r="N88" s="7" t="s">
        <v>6</v>
      </c>
      <c r="O88" s="7"/>
      <c r="P88" s="7"/>
      <c r="Q88" s="7">
        <v>363.38499999999999</v>
      </c>
      <c r="S88" s="18"/>
      <c r="T88" s="18"/>
      <c r="U88" s="18"/>
      <c r="V88" s="18"/>
      <c r="W88" s="18">
        <v>165.55600000000001</v>
      </c>
    </row>
    <row r="89" spans="7:35">
      <c r="G89" s="7"/>
      <c r="H89" s="7"/>
      <c r="I89" s="7"/>
      <c r="J89" s="7"/>
      <c r="K89" s="7">
        <v>1243.627</v>
      </c>
      <c r="M89" s="7"/>
      <c r="N89" s="7"/>
      <c r="O89" s="7"/>
      <c r="P89" s="7"/>
      <c r="Q89" s="7">
        <v>406.79899999999998</v>
      </c>
      <c r="S89" s="18"/>
      <c r="T89" s="18"/>
      <c r="U89" s="18"/>
      <c r="V89" s="18"/>
      <c r="W89" s="18">
        <v>541.74900000000002</v>
      </c>
    </row>
    <row r="90" spans="7:35">
      <c r="G90" s="7"/>
      <c r="H90" s="7"/>
      <c r="I90" s="7"/>
      <c r="J90" s="7"/>
      <c r="K90" s="7">
        <v>96.191999999999993</v>
      </c>
      <c r="M90" s="7"/>
      <c r="N90" s="7"/>
      <c r="O90" s="7"/>
      <c r="P90" s="7"/>
      <c r="Q90" s="7"/>
      <c r="S90" s="18"/>
      <c r="T90" s="18" t="s">
        <v>5</v>
      </c>
      <c r="U90" s="18"/>
      <c r="V90" s="18"/>
      <c r="W90" s="18">
        <v>2318.77</v>
      </c>
    </row>
    <row r="91" spans="7:35">
      <c r="G91" s="7"/>
      <c r="H91" s="7"/>
      <c r="I91" s="7"/>
      <c r="J91" s="7"/>
      <c r="K91" s="7">
        <v>90.778000000000006</v>
      </c>
      <c r="M91" s="7" t="s">
        <v>101</v>
      </c>
      <c r="N91" s="7" t="s">
        <v>4</v>
      </c>
      <c r="O91" s="7"/>
      <c r="P91" s="7"/>
      <c r="Q91" s="7">
        <v>862.99099999999999</v>
      </c>
      <c r="S91" s="18"/>
      <c r="T91" s="18"/>
      <c r="U91" s="18"/>
      <c r="V91" s="18"/>
      <c r="W91" s="18">
        <v>2074.5059999999999</v>
      </c>
    </row>
    <row r="92" spans="7:35">
      <c r="G92" s="7"/>
      <c r="H92" s="7" t="s">
        <v>6</v>
      </c>
      <c r="I92" s="7"/>
      <c r="J92" s="7"/>
      <c r="K92" s="7">
        <v>496.62700000000001</v>
      </c>
      <c r="M92" s="7"/>
      <c r="N92" s="7"/>
      <c r="O92" s="7"/>
      <c r="P92" s="7"/>
      <c r="Q92" s="7">
        <v>851.38499999999999</v>
      </c>
      <c r="S92" s="18"/>
      <c r="T92" s="18"/>
      <c r="U92" s="18"/>
      <c r="V92" s="18"/>
      <c r="W92" s="18">
        <v>73.899000000000001</v>
      </c>
    </row>
    <row r="93" spans="7:35">
      <c r="G93" s="7"/>
      <c r="H93" s="7"/>
      <c r="I93" s="7"/>
      <c r="J93" s="7"/>
      <c r="K93" s="7">
        <v>493.38499999999999</v>
      </c>
      <c r="M93" s="7"/>
      <c r="N93" s="7" t="s">
        <v>5</v>
      </c>
      <c r="O93" s="7"/>
      <c r="P93" s="7"/>
      <c r="Q93" s="7">
        <v>431.21300000000002</v>
      </c>
      <c r="S93" s="18"/>
      <c r="T93" s="18"/>
      <c r="U93" s="18"/>
      <c r="V93" s="18"/>
      <c r="W93" s="18">
        <v>98.191999999999993</v>
      </c>
    </row>
    <row r="94" spans="7:35">
      <c r="G94" s="7"/>
      <c r="H94" s="7"/>
      <c r="I94" s="7"/>
      <c r="J94" s="7"/>
      <c r="K94" s="7">
        <v>83.778000000000006</v>
      </c>
      <c r="M94" s="7"/>
      <c r="N94" s="7"/>
      <c r="O94" s="7"/>
      <c r="P94" s="7"/>
      <c r="Q94" s="7">
        <v>554.84900000000005</v>
      </c>
      <c r="S94" s="18"/>
      <c r="T94" s="18"/>
      <c r="U94" s="18"/>
      <c r="V94" s="18"/>
      <c r="W94" s="18">
        <v>54.363999999999997</v>
      </c>
    </row>
    <row r="95" spans="7:35">
      <c r="M95" s="7"/>
      <c r="N95" s="7" t="s">
        <v>6</v>
      </c>
      <c r="O95" s="7"/>
      <c r="P95" s="7"/>
      <c r="Q95" s="7">
        <v>236.84899999999999</v>
      </c>
      <c r="S95" s="18"/>
      <c r="T95" s="18"/>
      <c r="U95" s="18"/>
      <c r="V95" s="18"/>
      <c r="W95" s="18">
        <v>451.92</v>
      </c>
    </row>
    <row r="96" spans="7:35">
      <c r="M96" s="7"/>
      <c r="N96" s="7"/>
      <c r="O96" s="7"/>
      <c r="P96" s="7"/>
      <c r="Q96" s="7">
        <v>282.435</v>
      </c>
      <c r="S96" s="18"/>
      <c r="T96" s="18" t="s">
        <v>6</v>
      </c>
      <c r="U96" s="18"/>
      <c r="V96" s="18"/>
      <c r="W96" s="18">
        <v>685.33500000000004</v>
      </c>
    </row>
    <row r="97" spans="19:23">
      <c r="S97" s="18"/>
      <c r="T97" s="18"/>
      <c r="U97" s="18"/>
      <c r="V97" s="18"/>
      <c r="W97" s="18">
        <v>626.678</v>
      </c>
    </row>
    <row r="98" spans="19:23">
      <c r="S98" s="18"/>
      <c r="T98" s="18"/>
      <c r="U98" s="18"/>
      <c r="V98" s="18"/>
      <c r="W98" s="18">
        <v>46.606999999999999</v>
      </c>
    </row>
    <row r="99" spans="19:23">
      <c r="S99" s="18"/>
      <c r="T99" s="18"/>
      <c r="U99" s="18"/>
      <c r="V99" s="18"/>
      <c r="W99" s="18">
        <v>201.92</v>
      </c>
    </row>
    <row r="100" spans="19:23">
      <c r="S100" s="18" t="s">
        <v>45</v>
      </c>
      <c r="T100" s="18" t="s">
        <v>4</v>
      </c>
      <c r="U100" s="18"/>
      <c r="V100" s="18"/>
      <c r="W100" s="18">
        <v>2554.7489999999998</v>
      </c>
    </row>
    <row r="101" spans="19:23">
      <c r="S101" s="18"/>
      <c r="T101" s="18"/>
      <c r="U101" s="18"/>
      <c r="V101" s="18"/>
      <c r="W101" s="18">
        <v>2372.6779999999999</v>
      </c>
    </row>
    <row r="102" spans="19:23">
      <c r="S102" s="18"/>
      <c r="T102" s="18"/>
      <c r="U102" s="18"/>
      <c r="V102" s="18"/>
      <c r="W102" s="18">
        <v>128.19200000000001</v>
      </c>
    </row>
    <row r="103" spans="19:23">
      <c r="S103" s="18"/>
      <c r="T103" s="18"/>
      <c r="U103" s="18"/>
      <c r="V103" s="18"/>
      <c r="W103" s="18">
        <v>248.33500000000001</v>
      </c>
    </row>
    <row r="104" spans="19:23">
      <c r="S104" s="18"/>
      <c r="T104" s="18"/>
      <c r="U104" s="18"/>
      <c r="V104" s="18"/>
      <c r="W104" s="18">
        <v>223.26300000000001</v>
      </c>
    </row>
    <row r="105" spans="19:23">
      <c r="S105" s="18"/>
      <c r="T105" s="18"/>
      <c r="U105" s="18"/>
      <c r="V105" s="18"/>
      <c r="W105" s="18">
        <v>333.678</v>
      </c>
    </row>
    <row r="106" spans="19:23">
      <c r="S106" s="18"/>
      <c r="T106" s="18" t="s">
        <v>5</v>
      </c>
      <c r="U106" s="18"/>
      <c r="V106" s="18"/>
      <c r="W106" s="18">
        <v>767.33500000000004</v>
      </c>
    </row>
    <row r="107" spans="19:23">
      <c r="S107" s="18"/>
      <c r="T107" s="18"/>
      <c r="U107" s="18"/>
      <c r="V107" s="18"/>
      <c r="W107" s="18">
        <v>716.26300000000003</v>
      </c>
    </row>
    <row r="108" spans="19:23">
      <c r="S108" s="18"/>
      <c r="T108" s="18" t="s">
        <v>6</v>
      </c>
      <c r="U108" s="18"/>
      <c r="V108" s="18"/>
      <c r="W108" s="18">
        <v>245.31399999999999</v>
      </c>
    </row>
    <row r="109" spans="19:23">
      <c r="S109" s="18"/>
      <c r="T109" s="18"/>
      <c r="U109" s="18"/>
      <c r="V109" s="18"/>
      <c r="W109" s="18">
        <v>264.84899999999999</v>
      </c>
    </row>
  </sheetData>
  <mergeCells count="12">
    <mergeCell ref="AE1:AI1"/>
    <mergeCell ref="AE2:AF2"/>
    <mergeCell ref="G2:H2"/>
    <mergeCell ref="G1:L1"/>
    <mergeCell ref="A1:E1"/>
    <mergeCell ref="A2:B2"/>
    <mergeCell ref="M1:Q1"/>
    <mergeCell ref="M2:N2"/>
    <mergeCell ref="Y2:Z2"/>
    <mergeCell ref="S1:W1"/>
    <mergeCell ref="S2:T2"/>
    <mergeCell ref="Y1:AC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6721D-D6E7-456E-81EC-D0ECAB4D2100}">
  <dimension ref="A1:BC97"/>
  <sheetViews>
    <sheetView topLeftCell="J1" zoomScale="52" zoomScaleNormal="55" workbookViewId="0">
      <selection activeCell="P89" sqref="P89"/>
    </sheetView>
  </sheetViews>
  <sheetFormatPr baseColWidth="10" defaultColWidth="8.83203125" defaultRowHeight="15"/>
  <cols>
    <col min="2" max="2" width="10" customWidth="1"/>
    <col min="6" max="6" width="14" style="6" customWidth="1"/>
    <col min="7" max="7" width="7.5" style="9" customWidth="1"/>
    <col min="8" max="8" width="6.83203125" style="9" customWidth="1"/>
    <col min="9" max="11" width="9.1640625" style="9"/>
    <col min="12" max="12" width="12" style="6" customWidth="1"/>
    <col min="13" max="13" width="13" style="9" customWidth="1"/>
    <col min="14" max="14" width="7.6640625" style="9" customWidth="1"/>
    <col min="15" max="17" width="13" style="9" customWidth="1"/>
    <col min="19" max="19" width="10" style="17" customWidth="1"/>
    <col min="20" max="20" width="14.1640625" style="17" customWidth="1"/>
    <col min="21" max="21" width="17.83203125" style="17" customWidth="1"/>
    <col min="22" max="22" width="14.5" style="17" customWidth="1"/>
    <col min="24" max="24" width="12.33203125" customWidth="1"/>
    <col min="26" max="26" width="19" customWidth="1"/>
    <col min="27" max="28" width="16.83203125" customWidth="1"/>
    <col min="29" max="29" width="8.33203125" customWidth="1"/>
    <col min="30" max="30" width="15.5" customWidth="1"/>
    <col min="32" max="32" width="9.5" customWidth="1"/>
    <col min="33" max="33" width="18.5" customWidth="1"/>
  </cols>
  <sheetData>
    <row r="1" spans="1:55">
      <c r="A1" s="38" t="s">
        <v>20</v>
      </c>
      <c r="B1" s="38"/>
      <c r="C1" s="38"/>
      <c r="D1" s="38"/>
      <c r="E1" s="38"/>
      <c r="F1" s="4"/>
      <c r="G1" s="37" t="s">
        <v>60</v>
      </c>
      <c r="H1" s="37"/>
      <c r="I1" s="37"/>
      <c r="J1" s="37"/>
      <c r="K1" s="37"/>
      <c r="L1" s="4"/>
      <c r="M1" s="39" t="s">
        <v>62</v>
      </c>
      <c r="N1" s="39"/>
      <c r="O1" s="39"/>
      <c r="P1" s="39"/>
      <c r="Q1" s="39"/>
      <c r="R1" s="4"/>
      <c r="S1" s="43"/>
      <c r="T1" s="43"/>
      <c r="U1" s="43"/>
      <c r="V1" s="43"/>
      <c r="W1" s="4"/>
      <c r="X1" s="41" t="s">
        <v>25</v>
      </c>
      <c r="Y1" s="41"/>
      <c r="Z1" s="41"/>
      <c r="AA1" s="41"/>
      <c r="AB1" s="41"/>
      <c r="AC1" s="41"/>
      <c r="AD1" s="41"/>
      <c r="AE1" s="41"/>
      <c r="AF1" s="41"/>
      <c r="AG1" s="41"/>
      <c r="AH1" s="9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</row>
    <row r="2" spans="1:55">
      <c r="A2" s="44" t="s">
        <v>3</v>
      </c>
      <c r="B2" s="44"/>
      <c r="C2" s="3" t="s">
        <v>10</v>
      </c>
      <c r="D2" s="3" t="s">
        <v>9</v>
      </c>
      <c r="E2" s="3" t="s">
        <v>11</v>
      </c>
      <c r="F2" s="10"/>
      <c r="G2" s="45" t="s">
        <v>3</v>
      </c>
      <c r="H2" s="45"/>
      <c r="I2" s="29" t="s">
        <v>10</v>
      </c>
      <c r="J2" s="29" t="s">
        <v>9</v>
      </c>
      <c r="K2" s="29" t="s">
        <v>11</v>
      </c>
      <c r="M2" s="42"/>
      <c r="N2" s="42"/>
      <c r="O2" s="18" t="s">
        <v>10</v>
      </c>
      <c r="P2" s="18" t="s">
        <v>109</v>
      </c>
      <c r="Q2" s="18" t="s">
        <v>11</v>
      </c>
      <c r="R2" s="19"/>
      <c r="S2" s="24" t="s">
        <v>110</v>
      </c>
      <c r="T2" s="24" t="s">
        <v>10</v>
      </c>
      <c r="U2" s="24" t="s">
        <v>109</v>
      </c>
      <c r="V2" s="24" t="s">
        <v>11</v>
      </c>
      <c r="W2" s="19"/>
      <c r="X2" s="21" t="s">
        <v>24</v>
      </c>
      <c r="Y2" s="3" t="s">
        <v>80</v>
      </c>
      <c r="Z2" s="3" t="s">
        <v>20</v>
      </c>
      <c r="AA2" s="29" t="s">
        <v>46</v>
      </c>
      <c r="AB2" s="29" t="s">
        <v>111</v>
      </c>
      <c r="AC2" s="18" t="s">
        <v>47</v>
      </c>
      <c r="AD2" s="18" t="s">
        <v>108</v>
      </c>
      <c r="AE2" s="24" t="s">
        <v>24</v>
      </c>
      <c r="AF2" s="24" t="s">
        <v>80</v>
      </c>
      <c r="AG2" s="24" t="s">
        <v>112</v>
      </c>
      <c r="AH2" s="9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</row>
    <row r="3" spans="1:55">
      <c r="A3" s="3" t="s">
        <v>2</v>
      </c>
      <c r="B3" s="3">
        <v>62.5</v>
      </c>
      <c r="C3" s="3">
        <v>2000</v>
      </c>
      <c r="D3" s="3">
        <v>2.5</v>
      </c>
      <c r="E3" s="3">
        <v>5235.1130000000003</v>
      </c>
      <c r="F3" s="10"/>
      <c r="G3" s="29" t="s">
        <v>2</v>
      </c>
      <c r="H3" s="29">
        <v>31.25</v>
      </c>
      <c r="I3" s="29">
        <v>2000</v>
      </c>
      <c r="J3" s="29">
        <v>1.25</v>
      </c>
      <c r="K3" s="29">
        <v>1543.92</v>
      </c>
      <c r="M3" s="18" t="s">
        <v>2</v>
      </c>
      <c r="N3" s="18">
        <v>50</v>
      </c>
      <c r="O3" s="18">
        <v>2000</v>
      </c>
      <c r="P3" s="18">
        <v>2</v>
      </c>
      <c r="Q3" s="18">
        <v>2420.335</v>
      </c>
      <c r="R3" s="19"/>
      <c r="S3" s="24">
        <v>50</v>
      </c>
      <c r="T3" s="24">
        <v>2000</v>
      </c>
      <c r="U3" s="24">
        <v>2</v>
      </c>
      <c r="V3" s="24">
        <v>1368.0920000000001</v>
      </c>
      <c r="X3" s="2" t="s">
        <v>26</v>
      </c>
      <c r="Y3" s="3">
        <v>2.5</v>
      </c>
      <c r="Z3" s="3">
        <v>5235.1130000000003</v>
      </c>
      <c r="AA3" s="29"/>
      <c r="AB3" s="29"/>
      <c r="AC3" s="18"/>
      <c r="AD3" s="18"/>
      <c r="AE3" s="24" t="s">
        <v>26</v>
      </c>
      <c r="AF3" s="24">
        <v>2</v>
      </c>
      <c r="AG3" s="24">
        <v>1368.0920000000001</v>
      </c>
      <c r="AH3" s="9"/>
      <c r="AI3" s="5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>
      <c r="A4" s="3"/>
      <c r="B4" s="3"/>
      <c r="C4" s="3">
        <v>1500</v>
      </c>
      <c r="D4" s="3">
        <v>8.75</v>
      </c>
      <c r="E4" s="3">
        <v>9208.4259999999995</v>
      </c>
      <c r="F4" s="10"/>
      <c r="G4" s="29"/>
      <c r="H4" s="29"/>
      <c r="I4" s="29">
        <v>1500</v>
      </c>
      <c r="J4" s="29">
        <v>4.375</v>
      </c>
      <c r="K4" s="29">
        <v>5476.82</v>
      </c>
      <c r="M4" s="18"/>
      <c r="N4" s="18"/>
      <c r="O4" s="18">
        <v>1500</v>
      </c>
      <c r="P4" s="18">
        <v>7</v>
      </c>
      <c r="Q4" s="18">
        <v>7954.3549999999996</v>
      </c>
      <c r="R4" s="19"/>
      <c r="S4" s="24"/>
      <c r="T4" s="24">
        <v>1500</v>
      </c>
      <c r="U4" s="24">
        <v>7</v>
      </c>
      <c r="V4" s="24">
        <v>5153.7489999999998</v>
      </c>
      <c r="X4" s="2"/>
      <c r="Y4" s="3">
        <v>1.25</v>
      </c>
      <c r="Z4" s="3">
        <v>2061.87</v>
      </c>
      <c r="AA4" s="29"/>
      <c r="AB4" s="29"/>
      <c r="AC4" s="18">
        <v>2</v>
      </c>
      <c r="AD4" s="18">
        <v>2420.335</v>
      </c>
      <c r="AE4" s="24"/>
      <c r="AF4" s="24">
        <v>1</v>
      </c>
      <c r="AG4" s="24">
        <v>494.971</v>
      </c>
      <c r="AH4" s="9"/>
      <c r="AI4" s="5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</row>
    <row r="5" spans="1:55">
      <c r="A5" s="3"/>
      <c r="B5" s="3"/>
      <c r="C5" s="3">
        <v>1000</v>
      </c>
      <c r="D5" s="3">
        <v>3.75</v>
      </c>
      <c r="E5" s="3">
        <v>3676.1840000000002</v>
      </c>
      <c r="F5" s="10"/>
      <c r="G5" s="29"/>
      <c r="H5" s="29"/>
      <c r="I5" s="29">
        <v>1000</v>
      </c>
      <c r="J5" s="29">
        <v>1.875</v>
      </c>
      <c r="K5" s="29">
        <v>2190.87</v>
      </c>
      <c r="M5" s="18"/>
      <c r="N5" s="18"/>
      <c r="O5" s="18">
        <v>1000</v>
      </c>
      <c r="P5" s="18">
        <v>3</v>
      </c>
      <c r="Q5" s="18">
        <v>3530.87</v>
      </c>
      <c r="R5" s="19"/>
      <c r="S5" s="24"/>
      <c r="T5" s="24">
        <v>1000</v>
      </c>
      <c r="U5" s="24">
        <v>3</v>
      </c>
      <c r="V5" s="24">
        <v>1912.5060000000001</v>
      </c>
      <c r="X5" s="2"/>
      <c r="Y5" s="3">
        <v>0.625</v>
      </c>
      <c r="Z5" s="3">
        <v>989.92</v>
      </c>
      <c r="AA5" s="29">
        <v>1.25</v>
      </c>
      <c r="AB5" s="29">
        <v>1543.92</v>
      </c>
      <c r="AC5" s="18">
        <v>1</v>
      </c>
      <c r="AD5" s="18">
        <v>1083.5060000000001</v>
      </c>
      <c r="AE5" s="24"/>
      <c r="AF5" s="24">
        <v>0.5</v>
      </c>
      <c r="AG5" s="24">
        <v>177.435</v>
      </c>
      <c r="AH5" s="9"/>
      <c r="AI5" s="5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</row>
    <row r="6" spans="1:55">
      <c r="A6" s="3"/>
      <c r="B6" s="3"/>
      <c r="C6" s="3">
        <v>850</v>
      </c>
      <c r="D6" s="3">
        <v>3.75</v>
      </c>
      <c r="E6" s="3">
        <v>3364.8910000000001</v>
      </c>
      <c r="F6" s="10"/>
      <c r="G6" s="29"/>
      <c r="H6" s="29"/>
      <c r="I6" s="29">
        <v>850</v>
      </c>
      <c r="J6" s="29">
        <v>1.875</v>
      </c>
      <c r="K6" s="29">
        <v>2040.4559999999999</v>
      </c>
      <c r="M6" s="18"/>
      <c r="N6" s="18"/>
      <c r="O6" s="18">
        <v>850</v>
      </c>
      <c r="P6" s="18">
        <v>3</v>
      </c>
      <c r="Q6" s="18">
        <v>4317.87</v>
      </c>
      <c r="R6" s="19"/>
      <c r="S6" s="24"/>
      <c r="T6" s="24">
        <v>850</v>
      </c>
      <c r="U6" s="24">
        <v>3</v>
      </c>
      <c r="V6" s="24">
        <v>1847.799</v>
      </c>
      <c r="W6" s="19"/>
      <c r="X6" s="2"/>
      <c r="Y6" s="3">
        <v>0.3125</v>
      </c>
      <c r="Z6" s="3">
        <v>447.971</v>
      </c>
      <c r="AA6" s="29">
        <v>0.625</v>
      </c>
      <c r="AB6" s="29">
        <v>559.09199999999998</v>
      </c>
      <c r="AC6" s="18">
        <v>0.5</v>
      </c>
      <c r="AD6" s="18">
        <v>466.971</v>
      </c>
      <c r="AE6" s="24"/>
      <c r="AF6" s="24">
        <v>0.25</v>
      </c>
      <c r="AG6" s="24">
        <v>111.31399999999999</v>
      </c>
      <c r="AH6" s="9"/>
      <c r="AI6" s="5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</row>
    <row r="7" spans="1:55">
      <c r="A7" s="3"/>
      <c r="B7" s="3"/>
      <c r="C7" s="3">
        <v>650</v>
      </c>
      <c r="D7" s="3">
        <v>3.75</v>
      </c>
      <c r="E7" s="3">
        <v>3103.82</v>
      </c>
      <c r="F7" s="10"/>
      <c r="G7" s="29"/>
      <c r="H7" s="29"/>
      <c r="I7" s="29">
        <v>650</v>
      </c>
      <c r="J7" s="29">
        <v>1.875</v>
      </c>
      <c r="K7" s="29">
        <v>1787.749</v>
      </c>
      <c r="M7" s="18"/>
      <c r="N7" s="18"/>
      <c r="O7" s="18">
        <v>650</v>
      </c>
      <c r="P7" s="18">
        <v>3</v>
      </c>
      <c r="Q7" s="18">
        <v>4281.2839999999997</v>
      </c>
      <c r="R7" s="19"/>
      <c r="S7" s="24"/>
      <c r="T7" s="24">
        <v>650</v>
      </c>
      <c r="U7" s="24">
        <v>3</v>
      </c>
      <c r="V7" s="24">
        <v>1579.5060000000001</v>
      </c>
      <c r="W7" s="19"/>
      <c r="X7" s="2"/>
      <c r="Y7" s="3">
        <v>0.15625</v>
      </c>
      <c r="Z7" s="3">
        <v>247.38499999999999</v>
      </c>
      <c r="AA7" s="29">
        <v>0.3125</v>
      </c>
      <c r="AB7" s="29">
        <v>347.38499999999999</v>
      </c>
      <c r="AC7" s="18">
        <v>0.25</v>
      </c>
      <c r="AD7" s="18">
        <v>335.55599999999998</v>
      </c>
      <c r="AE7" s="24"/>
      <c r="AF7" s="24">
        <v>0.125</v>
      </c>
      <c r="AG7" s="24">
        <v>49.363999999999997</v>
      </c>
      <c r="AH7" s="9"/>
      <c r="AI7" s="5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</row>
    <row r="8" spans="1:55">
      <c r="A8" s="3"/>
      <c r="B8" s="3"/>
      <c r="C8" s="3">
        <v>500</v>
      </c>
      <c r="D8" s="3">
        <v>3.75</v>
      </c>
      <c r="E8" s="3">
        <v>3266.527</v>
      </c>
      <c r="F8" s="10"/>
      <c r="G8" s="29"/>
      <c r="H8" s="29"/>
      <c r="I8" s="29">
        <v>500</v>
      </c>
      <c r="J8" s="29">
        <v>1.875</v>
      </c>
      <c r="K8" s="29">
        <v>1928.163</v>
      </c>
      <c r="M8" s="18"/>
      <c r="N8" s="18"/>
      <c r="O8" s="18">
        <v>500</v>
      </c>
      <c r="P8" s="18">
        <v>3</v>
      </c>
      <c r="Q8" s="18">
        <v>3973.2840000000001</v>
      </c>
      <c r="R8" s="19"/>
      <c r="S8" s="24"/>
      <c r="T8" s="24">
        <v>500</v>
      </c>
      <c r="U8" s="24">
        <v>3</v>
      </c>
      <c r="V8" s="24">
        <v>1645.213</v>
      </c>
      <c r="W8" s="19"/>
      <c r="X8" s="2"/>
      <c r="Y8" s="3">
        <v>0</v>
      </c>
      <c r="Z8" s="3">
        <v>0</v>
      </c>
      <c r="AA8" s="29">
        <v>0.15625</v>
      </c>
      <c r="AB8" s="29">
        <v>121.31399999999999</v>
      </c>
      <c r="AC8" s="18">
        <v>0.125</v>
      </c>
      <c r="AD8" s="18">
        <v>138.72800000000001</v>
      </c>
      <c r="AE8" s="24"/>
      <c r="AF8" s="24">
        <v>0</v>
      </c>
      <c r="AG8" s="24">
        <v>0</v>
      </c>
      <c r="AH8" s="9"/>
      <c r="AI8" s="5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</row>
    <row r="9" spans="1:55">
      <c r="A9" s="3"/>
      <c r="B9" s="3"/>
      <c r="C9" s="3">
        <v>400</v>
      </c>
      <c r="D9" s="3">
        <v>3.75</v>
      </c>
      <c r="E9" s="3">
        <v>3364.2339999999999</v>
      </c>
      <c r="F9" s="10"/>
      <c r="G9" s="29"/>
      <c r="H9" s="29"/>
      <c r="I9" s="29">
        <v>400</v>
      </c>
      <c r="J9" s="29">
        <v>1.875</v>
      </c>
      <c r="K9" s="29">
        <v>1801.87</v>
      </c>
      <c r="M9" s="18"/>
      <c r="N9" s="18"/>
      <c r="O9" s="18">
        <v>400</v>
      </c>
      <c r="P9" s="18">
        <v>3</v>
      </c>
      <c r="Q9" s="18">
        <v>3849.2840000000001</v>
      </c>
      <c r="R9" s="19"/>
      <c r="S9" s="24"/>
      <c r="T9" s="24">
        <v>400</v>
      </c>
      <c r="U9" s="24">
        <v>3</v>
      </c>
      <c r="V9" s="24">
        <v>1536.0920000000001</v>
      </c>
      <c r="W9" s="19"/>
      <c r="X9" s="2"/>
      <c r="Y9" s="3"/>
      <c r="Z9" s="3"/>
      <c r="AA9" s="29">
        <v>0</v>
      </c>
      <c r="AB9" s="29">
        <v>0</v>
      </c>
      <c r="AC9" s="18">
        <v>0</v>
      </c>
      <c r="AD9" s="18">
        <v>0</v>
      </c>
      <c r="AE9" s="24"/>
      <c r="AF9" s="24"/>
      <c r="AG9" s="24"/>
      <c r="AH9" s="9"/>
      <c r="AI9" s="5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</row>
    <row r="10" spans="1:55">
      <c r="A10" s="3"/>
      <c r="B10" s="3"/>
      <c r="C10" s="3">
        <v>300</v>
      </c>
      <c r="D10" s="3">
        <v>3.75</v>
      </c>
      <c r="E10" s="3">
        <v>4307.3549999999996</v>
      </c>
      <c r="F10" s="10"/>
      <c r="G10" s="29"/>
      <c r="H10" s="29"/>
      <c r="I10" s="29">
        <v>300</v>
      </c>
      <c r="J10" s="29">
        <v>1.875</v>
      </c>
      <c r="K10" s="29">
        <v>1669.749</v>
      </c>
      <c r="M10" s="18"/>
      <c r="N10" s="18"/>
      <c r="O10" s="18">
        <v>300</v>
      </c>
      <c r="P10" s="18">
        <v>3</v>
      </c>
      <c r="Q10" s="18">
        <v>4455.87</v>
      </c>
      <c r="R10" s="19"/>
      <c r="S10" s="24"/>
      <c r="T10" s="24">
        <v>300</v>
      </c>
      <c r="U10" s="24">
        <v>3</v>
      </c>
      <c r="V10" s="24">
        <v>1613.6780000000001</v>
      </c>
      <c r="W10" s="19"/>
      <c r="X10" s="2"/>
      <c r="Y10" s="3"/>
      <c r="Z10" s="3"/>
      <c r="AA10" s="16"/>
      <c r="AB10" s="29"/>
      <c r="AC10" s="18"/>
      <c r="AD10" s="18"/>
      <c r="AE10" s="24"/>
      <c r="AF10" s="24"/>
      <c r="AG10" s="24"/>
      <c r="AH10" s="9"/>
      <c r="AI10" s="5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</row>
    <row r="11" spans="1:55">
      <c r="A11" s="3"/>
      <c r="B11" s="3"/>
      <c r="C11" s="3">
        <v>200</v>
      </c>
      <c r="D11" s="3">
        <v>3.75</v>
      </c>
      <c r="E11" s="3">
        <v>4695.0619999999999</v>
      </c>
      <c r="F11" s="10"/>
      <c r="G11" s="29"/>
      <c r="H11" s="29"/>
      <c r="I11" s="29">
        <v>200</v>
      </c>
      <c r="J11" s="29">
        <v>1.875</v>
      </c>
      <c r="K11" s="29">
        <v>1503.335</v>
      </c>
      <c r="M11" s="18"/>
      <c r="N11" s="18"/>
      <c r="O11" s="18">
        <v>200</v>
      </c>
      <c r="P11" s="18">
        <v>3</v>
      </c>
      <c r="Q11" s="18">
        <v>3168.0419999999999</v>
      </c>
      <c r="R11" s="19"/>
      <c r="S11" s="24"/>
      <c r="T11" s="24">
        <v>200</v>
      </c>
      <c r="U11" s="24">
        <v>3</v>
      </c>
      <c r="V11" s="24">
        <v>1837.0920000000001</v>
      </c>
      <c r="W11" s="19"/>
      <c r="X11" s="2"/>
      <c r="Y11" s="3" t="s">
        <v>38</v>
      </c>
      <c r="Z11" s="3" t="s">
        <v>92</v>
      </c>
      <c r="AA11" s="29" t="s">
        <v>38</v>
      </c>
      <c r="AB11" s="29" t="s">
        <v>72</v>
      </c>
      <c r="AC11" s="18"/>
      <c r="AD11" s="18" t="s">
        <v>68</v>
      </c>
      <c r="AE11" s="24" t="s">
        <v>38</v>
      </c>
      <c r="AF11" s="24"/>
      <c r="AG11" s="24" t="s">
        <v>90</v>
      </c>
      <c r="AH11" s="9"/>
      <c r="AI11" s="5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</row>
    <row r="12" spans="1:55">
      <c r="A12" s="3"/>
      <c r="B12" s="3"/>
      <c r="C12" s="3">
        <v>100</v>
      </c>
      <c r="D12" s="3">
        <v>5</v>
      </c>
      <c r="E12" s="3">
        <v>4908.6480000000001</v>
      </c>
      <c r="F12" s="10"/>
      <c r="G12" s="29"/>
      <c r="H12" s="29"/>
      <c r="I12" s="29">
        <v>100</v>
      </c>
      <c r="J12" s="29">
        <v>2.5</v>
      </c>
      <c r="K12" s="29">
        <v>1649.577</v>
      </c>
      <c r="M12" s="18"/>
      <c r="N12" s="18"/>
      <c r="O12" s="18">
        <v>100</v>
      </c>
      <c r="P12" s="18">
        <v>4</v>
      </c>
      <c r="Q12" s="18">
        <v>3964.82</v>
      </c>
      <c r="R12" s="19"/>
      <c r="S12" s="24">
        <v>25</v>
      </c>
      <c r="T12" s="24">
        <v>2000</v>
      </c>
      <c r="U12" s="24">
        <v>1</v>
      </c>
      <c r="V12" s="24">
        <v>494.971</v>
      </c>
      <c r="W12" s="19"/>
      <c r="X12" s="2"/>
      <c r="Y12" s="3"/>
      <c r="Z12" s="3"/>
      <c r="AA12" s="29"/>
      <c r="AB12" s="29"/>
      <c r="AC12" s="18"/>
      <c r="AD12" s="18"/>
      <c r="AE12" s="24"/>
      <c r="AF12" s="24"/>
      <c r="AG12" s="24"/>
      <c r="AH12" s="9"/>
      <c r="AI12" s="5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</row>
    <row r="13" spans="1:55">
      <c r="A13" s="3"/>
      <c r="B13" s="3">
        <v>31.25</v>
      </c>
      <c r="C13" s="3">
        <v>2000</v>
      </c>
      <c r="D13" s="3">
        <f t="shared" ref="D13:D42" si="0">D3/2</f>
        <v>1.25</v>
      </c>
      <c r="E13" s="3">
        <v>2061.87</v>
      </c>
      <c r="F13" s="8"/>
      <c r="G13" s="29"/>
      <c r="H13" s="29">
        <v>15.625</v>
      </c>
      <c r="I13" s="29">
        <v>2000</v>
      </c>
      <c r="J13" s="29">
        <v>0.625</v>
      </c>
      <c r="K13" s="29">
        <v>559.09199999999998</v>
      </c>
      <c r="M13" s="18"/>
      <c r="N13" s="18">
        <v>25</v>
      </c>
      <c r="O13" s="18">
        <v>2000</v>
      </c>
      <c r="P13" s="18">
        <v>1</v>
      </c>
      <c r="Q13" s="18">
        <v>1083.5060000000001</v>
      </c>
      <c r="R13" s="19"/>
      <c r="S13" s="24"/>
      <c r="T13" s="24">
        <v>1500</v>
      </c>
      <c r="U13" s="24">
        <v>3.5</v>
      </c>
      <c r="V13" s="24">
        <v>2893.2130000000002</v>
      </c>
      <c r="W13" s="6"/>
      <c r="X13" s="2" t="s">
        <v>27</v>
      </c>
      <c r="Y13" s="3">
        <v>8.75</v>
      </c>
      <c r="Z13" s="3">
        <v>9208.4259999999995</v>
      </c>
      <c r="AA13" s="29"/>
      <c r="AB13" s="29"/>
      <c r="AC13" s="18">
        <v>14</v>
      </c>
      <c r="AD13" s="18"/>
      <c r="AE13" s="24" t="s">
        <v>27</v>
      </c>
      <c r="AF13" s="24">
        <v>7</v>
      </c>
      <c r="AG13" s="24">
        <v>5153.7489999999998</v>
      </c>
      <c r="AH13" s="9"/>
      <c r="AI13" s="5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</row>
    <row r="14" spans="1:55">
      <c r="A14" s="3"/>
      <c r="B14" s="3"/>
      <c r="C14" s="3">
        <v>1500</v>
      </c>
      <c r="D14" s="3">
        <f t="shared" si="0"/>
        <v>4.375</v>
      </c>
      <c r="E14" s="3">
        <v>3902.4059999999999</v>
      </c>
      <c r="F14" s="8"/>
      <c r="G14" s="29"/>
      <c r="H14" s="29"/>
      <c r="I14" s="29">
        <v>1500</v>
      </c>
      <c r="J14" s="29">
        <v>2.1875</v>
      </c>
      <c r="K14" s="29">
        <v>2702.5770000000002</v>
      </c>
      <c r="M14" s="18"/>
      <c r="N14" s="18"/>
      <c r="O14" s="18">
        <v>1500</v>
      </c>
      <c r="P14" s="18">
        <v>3.5</v>
      </c>
      <c r="Q14" s="18">
        <v>5730.4059999999999</v>
      </c>
      <c r="R14" s="19"/>
      <c r="S14" s="24"/>
      <c r="T14" s="24">
        <v>1000</v>
      </c>
      <c r="U14" s="24">
        <v>1.5</v>
      </c>
      <c r="V14" s="24">
        <v>784.971</v>
      </c>
      <c r="W14" s="6"/>
      <c r="X14" s="2"/>
      <c r="Y14" s="3">
        <v>4.375</v>
      </c>
      <c r="Z14" s="3">
        <v>3902.4059999999999</v>
      </c>
      <c r="AA14" s="29">
        <v>4.375</v>
      </c>
      <c r="AB14" s="29">
        <v>5476.82</v>
      </c>
      <c r="AC14" s="18">
        <v>7</v>
      </c>
      <c r="AD14" s="18">
        <v>7954.3549999999996</v>
      </c>
      <c r="AE14" s="24"/>
      <c r="AF14" s="24">
        <v>3.5</v>
      </c>
      <c r="AG14" s="24">
        <v>2893.2130000000002</v>
      </c>
      <c r="AH14" s="9"/>
      <c r="AI14" s="5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5"/>
      <c r="AV14" s="5"/>
      <c r="AW14" s="2"/>
      <c r="AX14" s="2"/>
      <c r="AY14" s="2"/>
      <c r="AZ14" s="2"/>
      <c r="BA14" s="2"/>
      <c r="BB14" s="2"/>
      <c r="BC14" s="2"/>
    </row>
    <row r="15" spans="1:55">
      <c r="A15" s="3"/>
      <c r="B15" s="3"/>
      <c r="C15" s="3">
        <v>1000</v>
      </c>
      <c r="D15" s="3">
        <f t="shared" si="0"/>
        <v>1.875</v>
      </c>
      <c r="E15" s="3">
        <v>2407.87</v>
      </c>
      <c r="F15" s="8"/>
      <c r="G15" s="29"/>
      <c r="H15" s="29"/>
      <c r="I15" s="29">
        <v>1000</v>
      </c>
      <c r="J15" s="29">
        <v>0.9375</v>
      </c>
      <c r="K15" s="29">
        <v>651.09199999999998</v>
      </c>
      <c r="M15" s="18"/>
      <c r="N15" s="18"/>
      <c r="O15" s="18">
        <v>1000</v>
      </c>
      <c r="P15" s="18">
        <v>1.5</v>
      </c>
      <c r="Q15" s="18">
        <v>1657.335</v>
      </c>
      <c r="R15" s="19"/>
      <c r="S15" s="24"/>
      <c r="T15" s="24">
        <v>850</v>
      </c>
      <c r="U15" s="24">
        <v>1.5</v>
      </c>
      <c r="V15" s="24">
        <v>764.55600000000004</v>
      </c>
      <c r="W15" s="6"/>
      <c r="X15" s="2"/>
      <c r="Y15" s="3">
        <v>2.1875</v>
      </c>
      <c r="Z15" s="3">
        <v>2294.335</v>
      </c>
      <c r="AA15" s="29">
        <v>2.1875</v>
      </c>
      <c r="AB15" s="29">
        <v>2702.5770000000002</v>
      </c>
      <c r="AC15" s="18">
        <v>3.5</v>
      </c>
      <c r="AD15" s="18">
        <v>5730.4059999999999</v>
      </c>
      <c r="AE15" s="24"/>
      <c r="AF15" s="24">
        <v>1.75</v>
      </c>
      <c r="AG15" s="24">
        <v>828.09199999999998</v>
      </c>
      <c r="AH15" s="9"/>
      <c r="AI15" s="5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5"/>
      <c r="AV15" s="5"/>
      <c r="AW15" s="2"/>
      <c r="AX15" s="2"/>
      <c r="AY15" s="2"/>
      <c r="AZ15" s="2"/>
      <c r="BA15" s="2"/>
      <c r="BB15" s="2"/>
      <c r="BC15" s="2"/>
    </row>
    <row r="16" spans="1:55">
      <c r="A16" s="3"/>
      <c r="B16" s="3"/>
      <c r="C16" s="3">
        <v>850</v>
      </c>
      <c r="D16" s="3">
        <f t="shared" si="0"/>
        <v>1.875</v>
      </c>
      <c r="E16" s="3">
        <v>2069.163</v>
      </c>
      <c r="F16" s="8"/>
      <c r="G16" s="29"/>
      <c r="H16" s="29"/>
      <c r="I16" s="29">
        <v>850</v>
      </c>
      <c r="J16" s="29">
        <v>0.9375</v>
      </c>
      <c r="K16" s="29">
        <v>588.38499999999999</v>
      </c>
      <c r="M16" s="18"/>
      <c r="N16" s="18"/>
      <c r="O16" s="18">
        <v>850</v>
      </c>
      <c r="P16" s="18">
        <v>1.5</v>
      </c>
      <c r="Q16" s="18">
        <v>2021.335</v>
      </c>
      <c r="R16" s="19"/>
      <c r="S16" s="24"/>
      <c r="T16" s="24">
        <v>650</v>
      </c>
      <c r="U16" s="24">
        <v>1.5</v>
      </c>
      <c r="V16" s="24">
        <v>719.971</v>
      </c>
      <c r="W16" s="19"/>
      <c r="X16" s="2"/>
      <c r="Y16" s="3">
        <v>1.09375</v>
      </c>
      <c r="Z16" s="3">
        <v>1375.335</v>
      </c>
      <c r="AA16" s="29">
        <v>1.09375</v>
      </c>
      <c r="AB16" s="29">
        <v>1573.335</v>
      </c>
      <c r="AC16" s="18">
        <v>1.75</v>
      </c>
      <c r="AD16" s="18">
        <v>3175.4560000000001</v>
      </c>
      <c r="AE16" s="24"/>
      <c r="AF16" s="24">
        <v>0.875</v>
      </c>
      <c r="AG16" s="24">
        <v>311.971</v>
      </c>
      <c r="AH16" s="9"/>
      <c r="AI16" s="5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5"/>
      <c r="AV16" s="5"/>
      <c r="AW16" s="2"/>
      <c r="AX16" s="2"/>
      <c r="AY16" s="2"/>
      <c r="AZ16" s="2"/>
      <c r="BA16" s="2"/>
      <c r="BB16" s="2"/>
      <c r="BC16" s="2"/>
    </row>
    <row r="17" spans="1:55">
      <c r="A17" s="3"/>
      <c r="B17" s="3"/>
      <c r="C17" s="3">
        <v>650</v>
      </c>
      <c r="D17" s="3">
        <f t="shared" si="0"/>
        <v>1.875</v>
      </c>
      <c r="E17" s="3">
        <v>2261.6979999999999</v>
      </c>
      <c r="F17" s="8"/>
      <c r="G17" s="29"/>
      <c r="H17" s="29"/>
      <c r="I17" s="29">
        <v>650</v>
      </c>
      <c r="J17" s="29">
        <v>0.9375</v>
      </c>
      <c r="K17" s="29">
        <v>509.971</v>
      </c>
      <c r="M17" s="18"/>
      <c r="N17" s="18"/>
      <c r="O17" s="18">
        <v>650</v>
      </c>
      <c r="P17" s="18">
        <v>1.5</v>
      </c>
      <c r="Q17" s="18">
        <v>1584.627</v>
      </c>
      <c r="R17" s="19"/>
      <c r="S17" s="24"/>
      <c r="T17" s="24">
        <v>500</v>
      </c>
      <c r="U17" s="24">
        <v>1.5</v>
      </c>
      <c r="V17" s="24">
        <v>777.09199999999998</v>
      </c>
      <c r="W17" s="19"/>
      <c r="X17" s="2"/>
      <c r="Y17" s="3">
        <v>0.546875</v>
      </c>
      <c r="Z17" s="3">
        <v>873.79899999999998</v>
      </c>
      <c r="AA17" s="29">
        <v>0.546875</v>
      </c>
      <c r="AB17" s="29">
        <v>566.50599999999997</v>
      </c>
      <c r="AC17" s="18">
        <v>0.875</v>
      </c>
      <c r="AD17" s="18">
        <v>1981.92</v>
      </c>
      <c r="AE17" s="24"/>
      <c r="AF17" s="24">
        <v>0.4375</v>
      </c>
      <c r="AG17" s="24">
        <v>144.435</v>
      </c>
      <c r="AH17" s="9"/>
      <c r="AI17" s="5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5"/>
      <c r="AV17" s="5"/>
      <c r="AW17" s="2"/>
      <c r="AX17" s="2"/>
      <c r="AY17" s="2"/>
      <c r="AZ17" s="2"/>
      <c r="BA17" s="2"/>
      <c r="BB17" s="2"/>
      <c r="BC17" s="2"/>
    </row>
    <row r="18" spans="1:55">
      <c r="A18" s="3"/>
      <c r="B18" s="3"/>
      <c r="C18" s="3">
        <v>500</v>
      </c>
      <c r="D18" s="3">
        <f t="shared" si="0"/>
        <v>1.875</v>
      </c>
      <c r="E18" s="3">
        <v>2083.2840000000001</v>
      </c>
      <c r="F18" s="8"/>
      <c r="G18" s="29"/>
      <c r="H18" s="29"/>
      <c r="I18" s="29">
        <v>500</v>
      </c>
      <c r="J18" s="29">
        <v>0.9375</v>
      </c>
      <c r="K18" s="29">
        <v>615.79899999999998</v>
      </c>
      <c r="M18" s="18"/>
      <c r="N18" s="18"/>
      <c r="O18" s="18">
        <v>500</v>
      </c>
      <c r="P18" s="18">
        <v>1.5</v>
      </c>
      <c r="Q18" s="18">
        <v>1392.92</v>
      </c>
      <c r="R18" s="19"/>
      <c r="S18" s="24"/>
      <c r="T18" s="24">
        <v>400</v>
      </c>
      <c r="U18" s="24">
        <v>1.5</v>
      </c>
      <c r="V18" s="24">
        <v>731.971</v>
      </c>
      <c r="W18" s="19"/>
      <c r="X18" s="2"/>
      <c r="Y18" s="3">
        <v>0</v>
      </c>
      <c r="Z18" s="3">
        <v>0</v>
      </c>
      <c r="AA18" s="29">
        <v>0</v>
      </c>
      <c r="AB18" s="29">
        <v>0</v>
      </c>
      <c r="AC18" s="18">
        <v>0.4375</v>
      </c>
      <c r="AD18" s="18">
        <v>617.971</v>
      </c>
      <c r="AE18" s="24"/>
      <c r="AF18" s="24">
        <v>0</v>
      </c>
      <c r="AG18" s="24">
        <v>0</v>
      </c>
      <c r="AH18" s="9"/>
      <c r="AI18" s="5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5"/>
      <c r="AV18" s="5"/>
      <c r="AW18" s="2"/>
      <c r="AX18" s="2"/>
      <c r="AY18" s="2"/>
      <c r="AZ18" s="2"/>
      <c r="BA18" s="2"/>
      <c r="BB18" s="2"/>
      <c r="BC18" s="2"/>
    </row>
    <row r="19" spans="1:55">
      <c r="A19" s="3"/>
      <c r="B19" s="3"/>
      <c r="C19" s="3">
        <v>400</v>
      </c>
      <c r="D19" s="3">
        <f t="shared" si="0"/>
        <v>1.875</v>
      </c>
      <c r="E19" s="3">
        <v>2173.2840000000001</v>
      </c>
      <c r="F19" s="8"/>
      <c r="G19" s="29"/>
      <c r="H19" s="29"/>
      <c r="I19" s="29">
        <v>400</v>
      </c>
      <c r="J19" s="29">
        <v>0.9375</v>
      </c>
      <c r="K19" s="29">
        <v>610.09199999999998</v>
      </c>
      <c r="M19" s="18"/>
      <c r="N19" s="18"/>
      <c r="O19" s="18">
        <v>400</v>
      </c>
      <c r="P19" s="18">
        <v>1.5</v>
      </c>
      <c r="Q19" s="18">
        <v>1283.213</v>
      </c>
      <c r="R19" s="19"/>
      <c r="S19" s="24"/>
      <c r="T19" s="24">
        <v>300</v>
      </c>
      <c r="U19" s="24">
        <v>1.5</v>
      </c>
      <c r="V19" s="24">
        <v>772.971</v>
      </c>
      <c r="W19" s="19"/>
      <c r="X19" s="2"/>
      <c r="Y19" s="3"/>
      <c r="Z19" s="3"/>
      <c r="AA19" s="29"/>
      <c r="AB19" s="29"/>
      <c r="AC19" s="18">
        <v>0</v>
      </c>
      <c r="AD19" s="18">
        <v>0</v>
      </c>
      <c r="AE19" s="24"/>
      <c r="AF19" s="24"/>
      <c r="AG19" s="24"/>
      <c r="AH19" s="9"/>
      <c r="AI19" s="5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5"/>
      <c r="AV19" s="5"/>
      <c r="AW19" s="2"/>
      <c r="AX19" s="2"/>
      <c r="AY19" s="2"/>
      <c r="AZ19" s="2"/>
      <c r="BA19" s="2"/>
      <c r="BB19" s="2"/>
      <c r="BC19" s="2"/>
    </row>
    <row r="20" spans="1:55">
      <c r="A20" s="3"/>
      <c r="B20" s="3"/>
      <c r="C20" s="3">
        <v>300</v>
      </c>
      <c r="D20" s="3">
        <f t="shared" si="0"/>
        <v>1.875</v>
      </c>
      <c r="E20" s="3">
        <v>2403.991</v>
      </c>
      <c r="F20" s="8"/>
      <c r="G20" s="29"/>
      <c r="H20" s="29"/>
      <c r="I20" s="29">
        <v>300</v>
      </c>
      <c r="J20" s="29">
        <v>0.9375</v>
      </c>
      <c r="K20" s="29">
        <v>626.09199999999998</v>
      </c>
      <c r="M20" s="18"/>
      <c r="N20" s="18"/>
      <c r="O20" s="18">
        <v>300</v>
      </c>
      <c r="P20" s="18">
        <v>1.5</v>
      </c>
      <c r="Q20" s="18">
        <v>1421.5060000000001</v>
      </c>
      <c r="R20" s="19"/>
      <c r="S20" s="24"/>
      <c r="T20" s="24">
        <v>200</v>
      </c>
      <c r="U20" s="24">
        <v>1.5</v>
      </c>
      <c r="V20" s="24">
        <v>717.26300000000003</v>
      </c>
      <c r="W20" s="19"/>
      <c r="X20" s="2"/>
      <c r="Y20" s="3"/>
      <c r="Z20" s="3"/>
      <c r="AA20" s="29"/>
      <c r="AB20" s="29"/>
      <c r="AC20" s="18"/>
      <c r="AD20" s="18"/>
      <c r="AE20" s="24"/>
      <c r="AF20" s="24"/>
      <c r="AG20" s="24"/>
      <c r="AH20" s="9"/>
      <c r="AI20" s="5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5"/>
      <c r="AV20" s="5"/>
      <c r="AW20" s="2"/>
      <c r="AX20" s="2"/>
      <c r="AY20" s="2"/>
      <c r="AZ20" s="2"/>
      <c r="BA20" s="2"/>
      <c r="BB20" s="2"/>
      <c r="BC20" s="2"/>
    </row>
    <row r="21" spans="1:55">
      <c r="A21" s="3"/>
      <c r="B21" s="3"/>
      <c r="C21" s="3">
        <v>200</v>
      </c>
      <c r="D21" s="3">
        <f t="shared" si="0"/>
        <v>1.875</v>
      </c>
      <c r="E21" s="3">
        <v>2430.2840000000001</v>
      </c>
      <c r="F21" s="8"/>
      <c r="G21" s="29"/>
      <c r="H21" s="29"/>
      <c r="I21" s="29">
        <v>200</v>
      </c>
      <c r="J21" s="29">
        <v>0.9375</v>
      </c>
      <c r="K21" s="29">
        <v>621.38499999999999</v>
      </c>
      <c r="M21" s="18"/>
      <c r="N21" s="18"/>
      <c r="O21" s="18">
        <v>200</v>
      </c>
      <c r="P21" s="18">
        <v>1.5</v>
      </c>
      <c r="Q21" s="18">
        <v>1290.799</v>
      </c>
      <c r="R21" s="19"/>
      <c r="S21" s="24">
        <v>12.5</v>
      </c>
      <c r="T21" s="24">
        <v>2000</v>
      </c>
      <c r="U21" s="24">
        <v>0.5</v>
      </c>
      <c r="V21" s="24">
        <v>177.435</v>
      </c>
      <c r="W21" s="19"/>
      <c r="X21" s="2"/>
      <c r="Y21" s="3" t="s">
        <v>38</v>
      </c>
      <c r="Z21" s="3" t="s">
        <v>93</v>
      </c>
      <c r="AA21" s="29" t="s">
        <v>38</v>
      </c>
      <c r="AB21" s="29" t="s">
        <v>73</v>
      </c>
      <c r="AC21" s="18"/>
      <c r="AD21" s="18" t="s">
        <v>67</v>
      </c>
      <c r="AE21" s="24"/>
      <c r="AF21" s="24"/>
      <c r="AG21" s="24" t="s">
        <v>89</v>
      </c>
      <c r="AH21" s="9" t="s">
        <v>69</v>
      </c>
      <c r="AI21" s="5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5"/>
      <c r="AV21" s="5"/>
      <c r="AW21" s="2"/>
      <c r="AX21" s="2"/>
      <c r="AY21" s="2"/>
      <c r="AZ21" s="2"/>
      <c r="BA21" s="2"/>
      <c r="BB21" s="2"/>
      <c r="BC21" s="2"/>
    </row>
    <row r="22" spans="1:55">
      <c r="A22" s="3"/>
      <c r="B22" s="3"/>
      <c r="C22" s="3">
        <v>100</v>
      </c>
      <c r="D22" s="3">
        <f t="shared" si="0"/>
        <v>2.5</v>
      </c>
      <c r="E22" s="3">
        <v>2707.82</v>
      </c>
      <c r="F22" s="8"/>
      <c r="G22" s="29"/>
      <c r="H22" s="29"/>
      <c r="I22" s="29">
        <v>100</v>
      </c>
      <c r="J22" s="29">
        <v>1.25</v>
      </c>
      <c r="K22" s="29">
        <v>730.04200000000003</v>
      </c>
      <c r="M22" s="18"/>
      <c r="N22" s="18"/>
      <c r="O22" s="18">
        <v>100</v>
      </c>
      <c r="P22" s="18">
        <v>2</v>
      </c>
      <c r="Q22" s="18">
        <v>1757.2840000000001</v>
      </c>
      <c r="R22" s="19"/>
      <c r="S22" s="24"/>
      <c r="T22" s="24">
        <v>1500</v>
      </c>
      <c r="U22" s="24">
        <v>1.75</v>
      </c>
      <c r="V22" s="24">
        <v>828.09199999999998</v>
      </c>
      <c r="W22" s="19"/>
      <c r="X22" s="2"/>
      <c r="Y22" s="3"/>
      <c r="Z22" s="3"/>
      <c r="AA22" s="29"/>
      <c r="AB22" s="29"/>
      <c r="AC22" s="18"/>
      <c r="AD22" s="18"/>
      <c r="AE22" s="24"/>
      <c r="AF22" s="24"/>
      <c r="AG22" s="24"/>
      <c r="AH22" s="9"/>
      <c r="AI22" s="5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5"/>
      <c r="AV22" s="5"/>
      <c r="AW22" s="2"/>
      <c r="AX22" s="2"/>
      <c r="AY22" s="2"/>
      <c r="AZ22" s="2"/>
      <c r="BA22" s="2"/>
      <c r="BB22" s="2"/>
      <c r="BC22" s="2"/>
    </row>
    <row r="23" spans="1:55">
      <c r="A23" s="3"/>
      <c r="B23" s="3">
        <v>15.625</v>
      </c>
      <c r="C23" s="3">
        <v>2000</v>
      </c>
      <c r="D23" s="3">
        <f t="shared" si="0"/>
        <v>0.625</v>
      </c>
      <c r="E23" s="3">
        <v>989.92</v>
      </c>
      <c r="F23" s="8"/>
      <c r="G23" s="29"/>
      <c r="H23" s="29">
        <v>7.8150000000000004</v>
      </c>
      <c r="I23" s="29">
        <v>2000</v>
      </c>
      <c r="J23" s="29">
        <v>0.3125</v>
      </c>
      <c r="K23" s="29">
        <v>347.38499999999999</v>
      </c>
      <c r="M23" s="18"/>
      <c r="N23" s="18">
        <v>12.5</v>
      </c>
      <c r="O23" s="18">
        <v>2000</v>
      </c>
      <c r="P23" s="18">
        <v>0.5</v>
      </c>
      <c r="Q23" s="18">
        <v>466.971</v>
      </c>
      <c r="R23" s="19"/>
      <c r="S23" s="24"/>
      <c r="T23" s="24">
        <v>1000</v>
      </c>
      <c r="U23" s="24">
        <v>0.75</v>
      </c>
      <c r="V23" s="24">
        <v>225.55600000000001</v>
      </c>
      <c r="W23" s="6"/>
      <c r="X23" s="2" t="s">
        <v>28</v>
      </c>
      <c r="Y23" s="3">
        <v>3.75</v>
      </c>
      <c r="Z23" s="3">
        <v>3676.1840000000002</v>
      </c>
      <c r="AA23" s="29"/>
      <c r="AB23" s="29"/>
      <c r="AC23" s="18">
        <v>6</v>
      </c>
      <c r="AD23" s="18"/>
      <c r="AE23" s="24" t="s">
        <v>28</v>
      </c>
      <c r="AF23" s="24">
        <v>3</v>
      </c>
      <c r="AG23" s="24">
        <v>1912.5060000000001</v>
      </c>
      <c r="AH23" s="9"/>
      <c r="AI23" s="5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5"/>
      <c r="AV23" s="5"/>
      <c r="AW23" s="2"/>
      <c r="AX23" s="2"/>
      <c r="AY23" s="2"/>
      <c r="AZ23" s="2"/>
      <c r="BA23" s="2"/>
      <c r="BB23" s="2"/>
      <c r="BC23" s="2"/>
    </row>
    <row r="24" spans="1:55">
      <c r="A24" s="3"/>
      <c r="B24" s="3"/>
      <c r="C24" s="3">
        <v>1500</v>
      </c>
      <c r="D24" s="3">
        <f t="shared" si="0"/>
        <v>2.1875</v>
      </c>
      <c r="E24" s="3">
        <v>2294.335</v>
      </c>
      <c r="F24" s="8"/>
      <c r="G24" s="29"/>
      <c r="H24" s="29"/>
      <c r="I24" s="29">
        <v>1500</v>
      </c>
      <c r="J24" s="29">
        <v>1.09375</v>
      </c>
      <c r="K24" s="29">
        <v>1573.335</v>
      </c>
      <c r="M24" s="18"/>
      <c r="N24" s="18"/>
      <c r="O24" s="18">
        <v>1500</v>
      </c>
      <c r="P24" s="18">
        <v>1.75</v>
      </c>
      <c r="Q24" s="18">
        <v>3175.4560000000001</v>
      </c>
      <c r="R24" s="19"/>
      <c r="S24" s="24"/>
      <c r="T24" s="24">
        <v>850</v>
      </c>
      <c r="U24" s="24">
        <v>0.75</v>
      </c>
      <c r="V24" s="24">
        <v>231.84899999999999</v>
      </c>
      <c r="W24" s="6"/>
      <c r="X24" s="2"/>
      <c r="Y24" s="3">
        <v>1.875</v>
      </c>
      <c r="Z24" s="3">
        <v>2407.87</v>
      </c>
      <c r="AA24" s="29">
        <v>1.875</v>
      </c>
      <c r="AB24" s="29">
        <v>2190.87</v>
      </c>
      <c r="AC24" s="18">
        <v>3</v>
      </c>
      <c r="AD24" s="18">
        <v>3530.87</v>
      </c>
      <c r="AE24" s="25"/>
      <c r="AF24" s="24">
        <v>1.5</v>
      </c>
      <c r="AG24" s="24">
        <v>784.971</v>
      </c>
      <c r="AH24" s="9"/>
      <c r="AI24" s="5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5"/>
      <c r="AV24" s="5"/>
      <c r="AW24" s="2"/>
      <c r="AX24" s="2"/>
      <c r="AY24" s="2"/>
      <c r="AZ24" s="2"/>
      <c r="BA24" s="2"/>
      <c r="BB24" s="2"/>
      <c r="BC24" s="2"/>
    </row>
    <row r="25" spans="1:55">
      <c r="A25" s="3"/>
      <c r="B25" s="3"/>
      <c r="C25" s="3">
        <v>1000</v>
      </c>
      <c r="D25" s="3">
        <f t="shared" si="0"/>
        <v>0.9375</v>
      </c>
      <c r="E25" s="3">
        <v>1176.5060000000001</v>
      </c>
      <c r="F25" s="8"/>
      <c r="G25" s="29"/>
      <c r="H25" s="29"/>
      <c r="I25" s="29">
        <v>1000</v>
      </c>
      <c r="J25" s="29">
        <v>0.46875</v>
      </c>
      <c r="K25" s="29">
        <v>415.971</v>
      </c>
      <c r="M25" s="18"/>
      <c r="N25" s="18"/>
      <c r="O25" s="18">
        <v>1000</v>
      </c>
      <c r="P25" s="18">
        <v>0.75</v>
      </c>
      <c r="Q25" s="18">
        <v>863.92</v>
      </c>
      <c r="R25" s="19"/>
      <c r="S25" s="24"/>
      <c r="T25" s="24">
        <v>650</v>
      </c>
      <c r="U25" s="24">
        <v>0.75</v>
      </c>
      <c r="V25" s="24">
        <v>202.55600000000001</v>
      </c>
      <c r="W25" s="6"/>
      <c r="X25" s="2"/>
      <c r="Y25" s="3">
        <v>0.9375</v>
      </c>
      <c r="Z25" s="3">
        <v>1176.5060000000001</v>
      </c>
      <c r="AA25" s="29">
        <v>0.9375</v>
      </c>
      <c r="AB25" s="29">
        <v>651.09199999999998</v>
      </c>
      <c r="AC25" s="18">
        <v>1.5</v>
      </c>
      <c r="AD25" s="18">
        <v>1657.335</v>
      </c>
      <c r="AE25" s="25"/>
      <c r="AF25" s="24">
        <v>0.75</v>
      </c>
      <c r="AG25" s="24">
        <v>225.55600000000001</v>
      </c>
      <c r="AH25" s="9"/>
      <c r="AI25" s="5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5"/>
      <c r="AV25" s="5"/>
      <c r="AW25" s="2"/>
      <c r="AX25" s="2"/>
      <c r="AY25" s="2"/>
      <c r="AZ25" s="2"/>
      <c r="BA25" s="2"/>
      <c r="BB25" s="2"/>
      <c r="BC25" s="2"/>
    </row>
    <row r="26" spans="1:55">
      <c r="A26" s="3"/>
      <c r="B26" s="3"/>
      <c r="C26" s="3">
        <v>850</v>
      </c>
      <c r="D26" s="3">
        <f t="shared" si="0"/>
        <v>0.9375</v>
      </c>
      <c r="E26" s="3">
        <v>973.678</v>
      </c>
      <c r="F26" s="8"/>
      <c r="G26" s="29"/>
      <c r="H26" s="29"/>
      <c r="I26" s="29">
        <v>850</v>
      </c>
      <c r="J26" s="29">
        <v>0.46875</v>
      </c>
      <c r="K26" s="29">
        <v>392.55599999999998</v>
      </c>
      <c r="M26" s="18"/>
      <c r="N26" s="18"/>
      <c r="O26" s="18">
        <v>850</v>
      </c>
      <c r="P26" s="18">
        <v>0.75</v>
      </c>
      <c r="Q26" s="18">
        <v>712.09199999999998</v>
      </c>
      <c r="R26" s="19"/>
      <c r="S26" s="24"/>
      <c r="T26" s="24">
        <v>500</v>
      </c>
      <c r="U26" s="24">
        <v>0.75</v>
      </c>
      <c r="V26" s="24">
        <v>227.26300000000001</v>
      </c>
      <c r="W26" s="19"/>
      <c r="X26" s="2"/>
      <c r="Y26" s="3">
        <v>0.46875</v>
      </c>
      <c r="Z26" s="3">
        <v>512.38499999999999</v>
      </c>
      <c r="AA26" s="29">
        <v>0.46875</v>
      </c>
      <c r="AB26" s="29">
        <v>415.971</v>
      </c>
      <c r="AC26" s="18">
        <v>0.75</v>
      </c>
      <c r="AD26" s="18">
        <v>863.92</v>
      </c>
      <c r="AE26" s="24"/>
      <c r="AF26" s="24">
        <v>0.375</v>
      </c>
      <c r="AG26" s="24">
        <v>127.435</v>
      </c>
      <c r="AH26" s="9"/>
      <c r="AI26" s="5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5"/>
      <c r="AV26" s="5"/>
      <c r="AW26" s="2"/>
      <c r="AX26" s="2"/>
      <c r="AY26" s="2"/>
      <c r="AZ26" s="2"/>
      <c r="BA26" s="2"/>
      <c r="BB26" s="2"/>
      <c r="BC26" s="2"/>
    </row>
    <row r="27" spans="1:55">
      <c r="A27" s="3"/>
      <c r="B27" s="3"/>
      <c r="C27" s="3">
        <v>650</v>
      </c>
      <c r="D27" s="3">
        <f t="shared" si="0"/>
        <v>0.9375</v>
      </c>
      <c r="E27" s="3">
        <v>927.79899999999998</v>
      </c>
      <c r="F27" s="8"/>
      <c r="G27" s="29"/>
      <c r="H27" s="29"/>
      <c r="I27" s="29">
        <v>650</v>
      </c>
      <c r="J27" s="29">
        <v>0.46875</v>
      </c>
      <c r="K27" s="29">
        <v>322.142</v>
      </c>
      <c r="M27" s="18"/>
      <c r="N27" s="18"/>
      <c r="O27" s="18">
        <v>650</v>
      </c>
      <c r="P27" s="18">
        <v>0.75</v>
      </c>
      <c r="Q27" s="18">
        <v>617.38499999999999</v>
      </c>
      <c r="R27" s="19"/>
      <c r="S27" s="24"/>
      <c r="T27" s="24">
        <v>400</v>
      </c>
      <c r="U27" s="24">
        <v>0.75</v>
      </c>
      <c r="V27" s="24">
        <v>268.38499999999999</v>
      </c>
      <c r="W27" s="19"/>
      <c r="X27" s="2"/>
      <c r="Y27" s="3">
        <v>0.234375</v>
      </c>
      <c r="Z27" s="3">
        <v>299.971</v>
      </c>
      <c r="AA27" s="29">
        <v>0.234375</v>
      </c>
      <c r="AB27" s="29">
        <v>169.435</v>
      </c>
      <c r="AC27" s="18">
        <v>0.375</v>
      </c>
      <c r="AD27" s="18">
        <v>502.09199999999998</v>
      </c>
      <c r="AE27" s="24"/>
      <c r="AF27" s="24">
        <v>0.1875</v>
      </c>
      <c r="AG27" s="24">
        <v>51.656999999999996</v>
      </c>
      <c r="AH27" s="9"/>
      <c r="AI27" s="5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5"/>
      <c r="AV27" s="5"/>
      <c r="AW27" s="2"/>
      <c r="AX27" s="2"/>
      <c r="AY27" s="2"/>
      <c r="AZ27" s="2"/>
      <c r="BA27" s="2"/>
      <c r="BB27" s="2"/>
      <c r="BC27" s="2"/>
    </row>
    <row r="28" spans="1:55">
      <c r="A28" s="3"/>
      <c r="B28" s="3"/>
      <c r="C28" s="3">
        <v>500</v>
      </c>
      <c r="D28" s="3">
        <f t="shared" si="0"/>
        <v>0.9375</v>
      </c>
      <c r="E28" s="3">
        <v>925.38499999999999</v>
      </c>
      <c r="F28" s="8"/>
      <c r="G28" s="29"/>
      <c r="H28" s="29"/>
      <c r="I28" s="29">
        <v>500</v>
      </c>
      <c r="J28" s="29">
        <v>0.46875</v>
      </c>
      <c r="K28" s="29">
        <v>400.971</v>
      </c>
      <c r="M28" s="18"/>
      <c r="N28" s="18"/>
      <c r="O28" s="18">
        <v>500</v>
      </c>
      <c r="P28" s="18">
        <v>0.75</v>
      </c>
      <c r="Q28" s="18">
        <v>878.92</v>
      </c>
      <c r="R28" s="19"/>
      <c r="S28" s="24"/>
      <c r="T28" s="24">
        <v>300</v>
      </c>
      <c r="U28" s="24">
        <v>0.75</v>
      </c>
      <c r="V28" s="24">
        <v>237.26300000000001</v>
      </c>
      <c r="W28" s="19"/>
      <c r="X28" s="2"/>
      <c r="Y28" s="3">
        <v>0</v>
      </c>
      <c r="Z28" s="3">
        <v>0</v>
      </c>
      <c r="AA28" s="29">
        <v>0</v>
      </c>
      <c r="AB28" s="29">
        <v>0</v>
      </c>
      <c r="AC28" s="18">
        <v>0.1875</v>
      </c>
      <c r="AD28" s="18">
        <v>153.435</v>
      </c>
      <c r="AE28" s="24"/>
      <c r="AF28" s="24">
        <v>0</v>
      </c>
      <c r="AG28" s="24">
        <v>0</v>
      </c>
      <c r="AH28" s="9"/>
      <c r="AI28" s="5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5"/>
      <c r="AV28" s="5"/>
      <c r="AW28" s="2"/>
      <c r="AX28" s="2"/>
      <c r="AY28" s="2"/>
      <c r="AZ28" s="2"/>
      <c r="BA28" s="2"/>
      <c r="BB28" s="2"/>
      <c r="BC28" s="2"/>
    </row>
    <row r="29" spans="1:55">
      <c r="A29" s="3"/>
      <c r="B29" s="3"/>
      <c r="C29" s="3">
        <v>400</v>
      </c>
      <c r="D29" s="3">
        <f t="shared" si="0"/>
        <v>0.9375</v>
      </c>
      <c r="E29" s="3">
        <v>1014.213</v>
      </c>
      <c r="F29" s="8"/>
      <c r="G29" s="29"/>
      <c r="H29" s="29"/>
      <c r="I29" s="29">
        <v>400</v>
      </c>
      <c r="J29" s="29">
        <v>0.46875</v>
      </c>
      <c r="K29" s="29">
        <v>351.26299999999998</v>
      </c>
      <c r="M29" s="18"/>
      <c r="N29" s="18"/>
      <c r="O29" s="18">
        <v>400</v>
      </c>
      <c r="P29" s="18">
        <v>0.75</v>
      </c>
      <c r="Q29" s="18">
        <v>883.92</v>
      </c>
      <c r="R29" s="19"/>
      <c r="S29" s="24"/>
      <c r="T29" s="24">
        <v>200</v>
      </c>
      <c r="U29" s="24">
        <v>0.75</v>
      </c>
      <c r="V29" s="24">
        <v>260.971</v>
      </c>
      <c r="W29" s="19"/>
      <c r="X29" s="2"/>
      <c r="Y29" s="3"/>
      <c r="Z29" s="3"/>
      <c r="AA29" s="29"/>
      <c r="AB29" s="29"/>
      <c r="AC29" s="18">
        <v>0</v>
      </c>
      <c r="AD29" s="18">
        <v>0</v>
      </c>
      <c r="AE29" s="24"/>
      <c r="AF29" s="24"/>
      <c r="AG29" s="24"/>
      <c r="AH29" s="9"/>
      <c r="AI29" s="5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5"/>
      <c r="AV29" s="5"/>
      <c r="AW29" s="2"/>
      <c r="AX29" s="2"/>
      <c r="AY29" s="2"/>
      <c r="AZ29" s="2"/>
      <c r="BA29" s="2"/>
      <c r="BB29" s="2"/>
      <c r="BC29" s="2"/>
    </row>
    <row r="30" spans="1:55">
      <c r="A30" s="3"/>
      <c r="B30" s="3"/>
      <c r="C30" s="3">
        <v>300</v>
      </c>
      <c r="D30" s="3">
        <f t="shared" si="0"/>
        <v>0.9375</v>
      </c>
      <c r="E30" s="3">
        <v>1082.213</v>
      </c>
      <c r="F30" s="8"/>
      <c r="G30" s="29"/>
      <c r="H30" s="29"/>
      <c r="I30" s="29">
        <v>300</v>
      </c>
      <c r="J30" s="29">
        <v>0.46875</v>
      </c>
      <c r="K30" s="29">
        <v>395.678</v>
      </c>
      <c r="M30" s="18"/>
      <c r="N30" s="18"/>
      <c r="O30" s="18">
        <v>300</v>
      </c>
      <c r="P30" s="18">
        <v>0.75</v>
      </c>
      <c r="Q30" s="18">
        <v>741.38499999999999</v>
      </c>
      <c r="R30" s="19"/>
      <c r="S30" s="24">
        <v>6.25</v>
      </c>
      <c r="T30" s="24">
        <v>2000</v>
      </c>
      <c r="U30" s="24">
        <v>0.25</v>
      </c>
      <c r="V30" s="24">
        <v>111.31399999999999</v>
      </c>
      <c r="W30" s="19"/>
      <c r="X30" s="2"/>
      <c r="Y30" s="3"/>
      <c r="Z30" s="3"/>
      <c r="AA30" s="29"/>
      <c r="AB30" s="29"/>
      <c r="AC30" s="18"/>
      <c r="AD30" s="18"/>
      <c r="AE30" s="24"/>
      <c r="AF30" s="24"/>
      <c r="AG30" s="24"/>
      <c r="AH30" s="9"/>
      <c r="AI30" s="5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5"/>
      <c r="AV30" s="5"/>
      <c r="AW30" s="2"/>
      <c r="AX30" s="2"/>
      <c r="AY30" s="2"/>
      <c r="AZ30" s="2"/>
      <c r="BA30" s="2"/>
      <c r="BB30" s="2"/>
      <c r="BC30" s="2"/>
    </row>
    <row r="31" spans="1:55">
      <c r="A31" s="3"/>
      <c r="B31" s="3"/>
      <c r="C31" s="3">
        <v>200</v>
      </c>
      <c r="D31" s="3">
        <f t="shared" si="0"/>
        <v>0.9375</v>
      </c>
      <c r="E31" s="3">
        <v>1195.627</v>
      </c>
      <c r="F31" s="8"/>
      <c r="G31" s="29"/>
      <c r="H31" s="29"/>
      <c r="I31" s="29">
        <v>200</v>
      </c>
      <c r="J31" s="29">
        <v>0.46875</v>
      </c>
      <c r="K31" s="29">
        <v>354.678</v>
      </c>
      <c r="M31" s="18"/>
      <c r="N31" s="18"/>
      <c r="O31" s="18">
        <v>200</v>
      </c>
      <c r="P31" s="18">
        <v>0.75</v>
      </c>
      <c r="Q31" s="18">
        <v>832.21299999999997</v>
      </c>
      <c r="R31" s="19"/>
      <c r="S31" s="24"/>
      <c r="T31" s="24">
        <v>1500</v>
      </c>
      <c r="U31" s="24">
        <v>0.875</v>
      </c>
      <c r="V31" s="24">
        <v>311.971</v>
      </c>
      <c r="W31" s="19"/>
      <c r="X31" s="2"/>
      <c r="Y31" s="3" t="s">
        <v>38</v>
      </c>
      <c r="Z31" s="3" t="s">
        <v>94</v>
      </c>
      <c r="AA31" s="29" t="s">
        <v>38</v>
      </c>
      <c r="AB31" s="29" t="s">
        <v>74</v>
      </c>
      <c r="AC31" s="18"/>
      <c r="AD31" s="18" t="s">
        <v>66</v>
      </c>
      <c r="AE31" s="24"/>
      <c r="AF31" s="24"/>
      <c r="AG31" s="24" t="s">
        <v>91</v>
      </c>
      <c r="AH31" s="9"/>
      <c r="AI31" s="5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5"/>
      <c r="AV31" s="5"/>
      <c r="AW31" s="2"/>
      <c r="AX31" s="2"/>
      <c r="AY31" s="2"/>
      <c r="AZ31" s="2"/>
      <c r="BA31" s="2"/>
      <c r="BB31" s="2"/>
      <c r="BC31" s="2"/>
    </row>
    <row r="32" spans="1:55">
      <c r="A32" s="3"/>
      <c r="B32" s="3"/>
      <c r="C32" s="3">
        <v>100</v>
      </c>
      <c r="D32" s="3">
        <f t="shared" si="0"/>
        <v>1.25</v>
      </c>
      <c r="E32" s="3">
        <v>1461.991</v>
      </c>
      <c r="F32" s="8"/>
      <c r="G32" s="29"/>
      <c r="H32" s="29"/>
      <c r="I32" s="29">
        <v>100</v>
      </c>
      <c r="J32" s="29">
        <v>0.625</v>
      </c>
      <c r="K32" s="29">
        <v>450.62700000000001</v>
      </c>
      <c r="M32" s="18"/>
      <c r="N32" s="18"/>
      <c r="O32" s="18">
        <v>100</v>
      </c>
      <c r="P32" s="18">
        <v>1</v>
      </c>
      <c r="Q32" s="18">
        <v>724.577</v>
      </c>
      <c r="R32" s="19"/>
      <c r="S32" s="24"/>
      <c r="T32" s="24">
        <v>1000</v>
      </c>
      <c r="U32" s="24">
        <v>0.375</v>
      </c>
      <c r="V32" s="24">
        <v>127.435</v>
      </c>
      <c r="W32" s="19"/>
      <c r="X32" s="2"/>
      <c r="Y32" s="3"/>
      <c r="Z32" s="3"/>
      <c r="AA32" s="29"/>
      <c r="AB32" s="29"/>
      <c r="AC32" s="18"/>
      <c r="AD32" s="18"/>
      <c r="AE32" s="24"/>
      <c r="AF32" s="24"/>
      <c r="AG32" s="24"/>
      <c r="AH32" s="9"/>
      <c r="AI32" s="5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5"/>
      <c r="AV32" s="5"/>
      <c r="AW32" s="2"/>
      <c r="AX32" s="2"/>
      <c r="AY32" s="2"/>
      <c r="AZ32" s="2"/>
      <c r="BA32" s="2"/>
      <c r="BB32" s="2"/>
      <c r="BC32" s="2"/>
    </row>
    <row r="33" spans="1:55">
      <c r="A33" s="3"/>
      <c r="B33" s="3">
        <v>7.8150000000000004</v>
      </c>
      <c r="C33" s="3">
        <v>2000</v>
      </c>
      <c r="D33" s="3">
        <f t="shared" si="0"/>
        <v>0.3125</v>
      </c>
      <c r="E33" s="3">
        <v>447.971</v>
      </c>
      <c r="F33" s="8"/>
      <c r="G33" s="29"/>
      <c r="H33" s="29">
        <v>3.90625</v>
      </c>
      <c r="I33" s="29">
        <v>2000</v>
      </c>
      <c r="J33" s="29">
        <v>0.15625</v>
      </c>
      <c r="K33" s="29">
        <v>121.31399999999999</v>
      </c>
      <c r="M33" s="18"/>
      <c r="N33" s="18">
        <f>N23/2</f>
        <v>6.25</v>
      </c>
      <c r="O33" s="18">
        <v>2000</v>
      </c>
      <c r="P33" s="18">
        <v>0.25</v>
      </c>
      <c r="Q33" s="18">
        <v>335.55599999999998</v>
      </c>
      <c r="R33" s="19"/>
      <c r="S33" s="24"/>
      <c r="T33" s="24">
        <v>850</v>
      </c>
      <c r="U33" s="24">
        <v>0.375</v>
      </c>
      <c r="V33" s="24">
        <v>122.021</v>
      </c>
      <c r="W33" s="6"/>
      <c r="X33" s="2"/>
      <c r="Y33" s="3"/>
      <c r="Z33" s="3"/>
      <c r="AA33" s="29"/>
      <c r="AB33" s="29"/>
      <c r="AC33" s="18">
        <v>6</v>
      </c>
      <c r="AD33" s="18"/>
      <c r="AE33" s="25"/>
      <c r="AF33" s="25"/>
      <c r="AG33" s="25"/>
      <c r="AH33" s="9"/>
      <c r="AI33" s="5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5"/>
      <c r="AV33" s="5"/>
      <c r="AW33" s="2"/>
      <c r="AX33" s="2"/>
      <c r="AY33" s="2"/>
      <c r="AZ33" s="2"/>
      <c r="BA33" s="2"/>
      <c r="BB33" s="2"/>
      <c r="BC33" s="2"/>
    </row>
    <row r="34" spans="1:55">
      <c r="A34" s="3"/>
      <c r="B34" s="3"/>
      <c r="C34" s="3">
        <v>1500</v>
      </c>
      <c r="D34" s="3">
        <f t="shared" si="0"/>
        <v>1.09375</v>
      </c>
      <c r="E34" s="3">
        <v>1375.335</v>
      </c>
      <c r="F34" s="8"/>
      <c r="G34" s="29"/>
      <c r="H34" s="29"/>
      <c r="I34" s="29">
        <v>1500</v>
      </c>
      <c r="J34" s="29">
        <v>0.546875</v>
      </c>
      <c r="K34" s="29">
        <v>566.50599999999997</v>
      </c>
      <c r="M34" s="18"/>
      <c r="N34" s="18"/>
      <c r="O34" s="18">
        <v>1500</v>
      </c>
      <c r="P34" s="18">
        <v>0.875</v>
      </c>
      <c r="Q34" s="18">
        <v>1981.92</v>
      </c>
      <c r="R34" s="19"/>
      <c r="S34" s="24"/>
      <c r="T34" s="24">
        <v>650</v>
      </c>
      <c r="U34" s="24">
        <v>0.375</v>
      </c>
      <c r="V34" s="24">
        <v>113.435</v>
      </c>
      <c r="W34" s="6"/>
      <c r="X34" s="2"/>
      <c r="Y34" s="3"/>
      <c r="Z34" s="3"/>
      <c r="AA34" s="29">
        <v>1.875</v>
      </c>
      <c r="AB34" s="29">
        <v>2040.4559999999999</v>
      </c>
      <c r="AC34" s="18">
        <v>3</v>
      </c>
      <c r="AD34" s="18">
        <v>4317.87</v>
      </c>
      <c r="AE34" s="25"/>
      <c r="AF34" s="25"/>
      <c r="AG34" s="25"/>
      <c r="AH34" s="9"/>
      <c r="AI34" s="5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5"/>
      <c r="AV34" s="5"/>
      <c r="AW34" s="2"/>
      <c r="AX34" s="2"/>
      <c r="AY34" s="2"/>
      <c r="AZ34" s="2"/>
      <c r="BA34" s="2"/>
      <c r="BB34" s="2"/>
      <c r="BC34" s="2"/>
    </row>
    <row r="35" spans="1:55">
      <c r="A35" s="3"/>
      <c r="B35" s="3"/>
      <c r="C35" s="3">
        <v>1000</v>
      </c>
      <c r="D35" s="3">
        <f t="shared" si="0"/>
        <v>0.46875</v>
      </c>
      <c r="E35" s="3">
        <v>512.38499999999999</v>
      </c>
      <c r="F35" s="8"/>
      <c r="G35" s="29"/>
      <c r="H35" s="29"/>
      <c r="I35" s="29">
        <v>1000</v>
      </c>
      <c r="J35" s="29">
        <v>0.234375</v>
      </c>
      <c r="K35" s="29">
        <v>169.435</v>
      </c>
      <c r="M35" s="18"/>
      <c r="N35" s="18"/>
      <c r="O35" s="18">
        <v>1000</v>
      </c>
      <c r="P35" s="18">
        <v>0.375</v>
      </c>
      <c r="Q35" s="18">
        <v>502.09199999999998</v>
      </c>
      <c r="R35" s="19"/>
      <c r="S35" s="24"/>
      <c r="T35" s="24">
        <v>500</v>
      </c>
      <c r="U35" s="24">
        <v>0.375</v>
      </c>
      <c r="V35" s="24">
        <v>129.435</v>
      </c>
      <c r="W35" s="6"/>
      <c r="X35" s="2"/>
      <c r="Y35" s="3"/>
      <c r="Z35" s="3"/>
      <c r="AA35" s="29">
        <v>0.9375</v>
      </c>
      <c r="AB35" s="29">
        <v>588.38499999999999</v>
      </c>
      <c r="AC35" s="18">
        <v>1.5</v>
      </c>
      <c r="AD35" s="18">
        <v>2021.335</v>
      </c>
      <c r="AE35" s="25"/>
      <c r="AF35" s="25"/>
      <c r="AG35" s="25"/>
      <c r="AH35" s="9"/>
      <c r="AI35" s="5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5"/>
      <c r="AV35" s="5"/>
      <c r="AW35" s="2"/>
      <c r="AX35" s="2"/>
      <c r="AY35" s="2"/>
      <c r="AZ35" s="2"/>
      <c r="BA35" s="2"/>
      <c r="BB35" s="2"/>
      <c r="BC35" s="2"/>
    </row>
    <row r="36" spans="1:55">
      <c r="A36" s="3"/>
      <c r="B36" s="3"/>
      <c r="C36" s="3">
        <v>850</v>
      </c>
      <c r="D36" s="3">
        <f t="shared" si="0"/>
        <v>0.46875</v>
      </c>
      <c r="E36" s="3">
        <v>423.55599999999998</v>
      </c>
      <c r="F36" s="8"/>
      <c r="G36" s="29"/>
      <c r="H36" s="29"/>
      <c r="I36" s="29">
        <v>850</v>
      </c>
      <c r="J36" s="29">
        <v>0.234375</v>
      </c>
      <c r="K36" s="29">
        <v>205.678</v>
      </c>
      <c r="M36" s="18"/>
      <c r="N36" s="18"/>
      <c r="O36" s="18">
        <v>850</v>
      </c>
      <c r="P36" s="18">
        <v>0.375</v>
      </c>
      <c r="Q36" s="18">
        <v>516.09199999999998</v>
      </c>
      <c r="R36" s="19"/>
      <c r="S36" s="24"/>
      <c r="T36" s="24">
        <v>400</v>
      </c>
      <c r="U36" s="24">
        <v>0.375</v>
      </c>
      <c r="V36" s="24">
        <v>130.142</v>
      </c>
      <c r="W36" s="19"/>
      <c r="X36" s="2"/>
      <c r="Y36" s="3"/>
      <c r="Z36" s="3"/>
      <c r="AA36" s="29">
        <v>0.46875</v>
      </c>
      <c r="AB36" s="29">
        <v>392.55599999999998</v>
      </c>
      <c r="AC36" s="18">
        <v>0.75</v>
      </c>
      <c r="AD36" s="18">
        <v>712.09199999999998</v>
      </c>
      <c r="AE36" s="24"/>
      <c r="AF36" s="24"/>
      <c r="AG36" s="24"/>
      <c r="AH36" s="9"/>
      <c r="AI36" s="5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5"/>
      <c r="AV36" s="5"/>
      <c r="AW36" s="2"/>
      <c r="AX36" s="2"/>
      <c r="AY36" s="2"/>
      <c r="AZ36" s="2"/>
      <c r="BA36" s="2"/>
      <c r="BB36" s="2"/>
      <c r="BC36" s="2"/>
    </row>
    <row r="37" spans="1:55">
      <c r="A37" s="3"/>
      <c r="B37" s="3"/>
      <c r="C37" s="3">
        <v>650</v>
      </c>
      <c r="D37" s="3">
        <f t="shared" si="0"/>
        <v>0.46875</v>
      </c>
      <c r="E37" s="3">
        <v>423.971</v>
      </c>
      <c r="F37" s="8"/>
      <c r="G37" s="29"/>
      <c r="H37" s="29"/>
      <c r="I37" s="29">
        <v>650</v>
      </c>
      <c r="J37" s="29">
        <v>0.234375</v>
      </c>
      <c r="K37" s="29">
        <v>139.435</v>
      </c>
      <c r="M37" s="18"/>
      <c r="N37" s="18"/>
      <c r="O37" s="18">
        <v>650</v>
      </c>
      <c r="P37" s="18">
        <v>0.375</v>
      </c>
      <c r="Q37" s="18">
        <v>331.26299999999998</v>
      </c>
      <c r="R37" s="19"/>
      <c r="S37" s="24"/>
      <c r="T37" s="24">
        <v>300</v>
      </c>
      <c r="U37" s="24">
        <v>0.375</v>
      </c>
      <c r="V37" s="24">
        <v>152.84899999999999</v>
      </c>
      <c r="W37" s="19"/>
      <c r="X37" s="2"/>
      <c r="Y37" s="3"/>
      <c r="Z37" s="3"/>
      <c r="AA37" s="29">
        <v>0.234375</v>
      </c>
      <c r="AB37" s="29">
        <v>205.678</v>
      </c>
      <c r="AC37" s="18">
        <v>0.375</v>
      </c>
      <c r="AD37" s="18">
        <v>516.09199999999998</v>
      </c>
      <c r="AE37" s="24"/>
      <c r="AF37" s="24"/>
      <c r="AG37" s="24"/>
      <c r="AH37" s="9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5"/>
      <c r="AV37" s="5"/>
      <c r="AW37" s="2"/>
      <c r="AX37" s="2"/>
      <c r="AY37" s="2"/>
      <c r="AZ37" s="2"/>
      <c r="BA37" s="2"/>
      <c r="BB37" s="2"/>
      <c r="BC37" s="2"/>
    </row>
    <row r="38" spans="1:55">
      <c r="A38" s="3"/>
      <c r="B38" s="3"/>
      <c r="C38" s="3">
        <v>500</v>
      </c>
      <c r="D38" s="3">
        <f t="shared" si="0"/>
        <v>0.46875</v>
      </c>
      <c r="E38" s="3">
        <v>442.678</v>
      </c>
      <c r="F38" s="8"/>
      <c r="G38" s="29"/>
      <c r="H38" s="29"/>
      <c r="I38" s="29">
        <v>500</v>
      </c>
      <c r="J38" s="29">
        <v>0.234375</v>
      </c>
      <c r="K38" s="29">
        <v>202.55600000000001</v>
      </c>
      <c r="M38" s="18"/>
      <c r="N38" s="18"/>
      <c r="O38" s="18">
        <v>500</v>
      </c>
      <c r="P38" s="18">
        <v>0.375</v>
      </c>
      <c r="Q38" s="18">
        <v>476.09199999999998</v>
      </c>
      <c r="R38" s="19"/>
      <c r="S38" s="24"/>
      <c r="T38" s="24">
        <v>200</v>
      </c>
      <c r="U38" s="24">
        <v>0.375</v>
      </c>
      <c r="V38" s="24">
        <v>171.55600000000001</v>
      </c>
      <c r="W38" s="19"/>
      <c r="X38" s="2"/>
      <c r="Y38" s="3"/>
      <c r="Z38" s="3"/>
      <c r="AA38" s="29">
        <v>0</v>
      </c>
      <c r="AB38" s="29">
        <v>0</v>
      </c>
      <c r="AC38" s="18">
        <v>0.1875</v>
      </c>
      <c r="AD38" s="18">
        <v>220.26300000000001</v>
      </c>
      <c r="AE38" s="24"/>
      <c r="AF38" s="24"/>
      <c r="AG38" s="24"/>
      <c r="AH38" s="9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5"/>
      <c r="AV38" s="5"/>
      <c r="AW38" s="2"/>
      <c r="AX38" s="2"/>
      <c r="AY38" s="2"/>
      <c r="AZ38" s="2"/>
      <c r="BA38" s="2"/>
      <c r="BB38" s="2"/>
      <c r="BC38" s="2"/>
    </row>
    <row r="39" spans="1:55">
      <c r="A39" s="3"/>
      <c r="B39" s="3"/>
      <c r="C39" s="3">
        <v>400</v>
      </c>
      <c r="D39" s="3">
        <f t="shared" si="0"/>
        <v>0.46875</v>
      </c>
      <c r="E39" s="3">
        <v>399.26299999999998</v>
      </c>
      <c r="F39" s="8"/>
      <c r="G39" s="29"/>
      <c r="H39" s="29"/>
      <c r="I39" s="29">
        <v>400</v>
      </c>
      <c r="J39" s="29">
        <v>0.234375</v>
      </c>
      <c r="K39" s="29">
        <v>182.84899999999999</v>
      </c>
      <c r="M39" s="18"/>
      <c r="N39" s="18"/>
      <c r="O39" s="18">
        <v>400</v>
      </c>
      <c r="P39" s="18">
        <v>0.375</v>
      </c>
      <c r="Q39" s="18">
        <v>487.38499999999999</v>
      </c>
      <c r="R39" s="19"/>
      <c r="S39" s="24">
        <v>3.125</v>
      </c>
      <c r="T39" s="24">
        <v>2000</v>
      </c>
      <c r="U39" s="24">
        <v>0.125</v>
      </c>
      <c r="V39" s="24">
        <v>49.363999999999997</v>
      </c>
      <c r="W39" s="19"/>
      <c r="X39" s="2"/>
      <c r="Y39" s="3"/>
      <c r="Z39" s="3"/>
      <c r="AA39" s="29"/>
      <c r="AB39" s="29"/>
      <c r="AC39" s="18">
        <v>0</v>
      </c>
      <c r="AD39" s="18">
        <v>0</v>
      </c>
      <c r="AE39" s="24"/>
      <c r="AF39" s="24"/>
      <c r="AG39" s="24"/>
      <c r="AH39" s="9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5"/>
      <c r="AV39" s="5"/>
      <c r="AW39" s="2"/>
      <c r="AX39" s="2"/>
      <c r="AY39" s="2"/>
      <c r="AZ39" s="2"/>
      <c r="BA39" s="2"/>
      <c r="BB39" s="2"/>
      <c r="BC39" s="2"/>
    </row>
    <row r="40" spans="1:55">
      <c r="A40" s="3"/>
      <c r="B40" s="3"/>
      <c r="C40" s="3">
        <v>300</v>
      </c>
      <c r="D40" s="3">
        <f t="shared" si="0"/>
        <v>0.46875</v>
      </c>
      <c r="E40" s="3">
        <v>470.09199999999998</v>
      </c>
      <c r="F40" s="8"/>
      <c r="G40" s="29"/>
      <c r="H40" s="29"/>
      <c r="I40" s="29">
        <v>300</v>
      </c>
      <c r="J40" s="29">
        <v>0.234375</v>
      </c>
      <c r="K40" s="29">
        <v>149.142</v>
      </c>
      <c r="M40" s="18"/>
      <c r="N40" s="18"/>
      <c r="O40" s="18">
        <v>300</v>
      </c>
      <c r="P40" s="18">
        <v>0.375</v>
      </c>
      <c r="Q40" s="18">
        <v>406.678</v>
      </c>
      <c r="R40" s="19"/>
      <c r="S40" s="24"/>
      <c r="T40" s="24">
        <v>1500</v>
      </c>
      <c r="U40" s="24">
        <v>0.4375</v>
      </c>
      <c r="V40" s="24">
        <v>144.435</v>
      </c>
      <c r="W40" s="19"/>
      <c r="X40" s="2"/>
      <c r="Y40" s="3"/>
      <c r="Z40" s="3"/>
      <c r="AA40" s="29"/>
      <c r="AB40" s="29"/>
      <c r="AC40" s="18"/>
      <c r="AD40" s="18"/>
      <c r="AE40" s="24"/>
      <c r="AF40" s="24"/>
      <c r="AG40" s="24"/>
      <c r="AH40" s="9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5"/>
      <c r="AV40" s="5"/>
      <c r="AW40" s="2"/>
      <c r="AX40" s="2"/>
      <c r="AY40" s="2"/>
      <c r="AZ40" s="2"/>
      <c r="BA40" s="2"/>
      <c r="BB40" s="2"/>
      <c r="BC40" s="2"/>
    </row>
    <row r="41" spans="1:55">
      <c r="A41" s="3"/>
      <c r="B41" s="3"/>
      <c r="C41" s="3">
        <v>200</v>
      </c>
      <c r="D41" s="3">
        <f t="shared" si="0"/>
        <v>0.46875</v>
      </c>
      <c r="E41" s="3">
        <v>459.678</v>
      </c>
      <c r="F41" s="8"/>
      <c r="G41" s="29"/>
      <c r="H41" s="29"/>
      <c r="I41" s="29">
        <v>200</v>
      </c>
      <c r="J41" s="29">
        <v>0.234375</v>
      </c>
      <c r="K41" s="29">
        <v>162.84899999999999</v>
      </c>
      <c r="M41" s="18"/>
      <c r="N41" s="18"/>
      <c r="O41" s="18">
        <v>200</v>
      </c>
      <c r="P41" s="18">
        <v>0.375</v>
      </c>
      <c r="Q41" s="18">
        <v>486.09199999999998</v>
      </c>
      <c r="R41" s="19"/>
      <c r="S41" s="24"/>
      <c r="T41" s="24">
        <v>1000</v>
      </c>
      <c r="U41" s="24">
        <v>0.1875</v>
      </c>
      <c r="V41" s="24">
        <v>51.656999999999996</v>
      </c>
      <c r="W41" s="19"/>
      <c r="X41" s="2"/>
      <c r="Y41" s="3"/>
      <c r="Z41" s="3"/>
      <c r="AA41" s="29" t="s">
        <v>38</v>
      </c>
      <c r="AB41" s="16" t="s">
        <v>75</v>
      </c>
      <c r="AC41" s="18"/>
      <c r="AD41" s="18" t="s">
        <v>65</v>
      </c>
      <c r="AE41" s="24"/>
      <c r="AF41" s="24"/>
      <c r="AG41" s="24"/>
      <c r="AH41" s="9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5"/>
      <c r="AV41" s="5"/>
      <c r="AW41" s="2"/>
      <c r="AX41" s="2"/>
      <c r="AY41" s="2"/>
      <c r="AZ41" s="2"/>
      <c r="BA41" s="2"/>
      <c r="BB41" s="2"/>
      <c r="BC41" s="2"/>
    </row>
    <row r="42" spans="1:55">
      <c r="A42" s="3"/>
      <c r="B42" s="3"/>
      <c r="C42" s="3">
        <v>100</v>
      </c>
      <c r="D42" s="3">
        <f t="shared" si="0"/>
        <v>0.625</v>
      </c>
      <c r="E42" s="3">
        <v>533.33500000000004</v>
      </c>
      <c r="F42" s="8"/>
      <c r="G42" s="29"/>
      <c r="H42" s="29"/>
      <c r="I42" s="29">
        <v>100</v>
      </c>
      <c r="J42" s="29">
        <v>0.3125</v>
      </c>
      <c r="K42" s="29">
        <v>249.38499999999999</v>
      </c>
      <c r="M42" s="18"/>
      <c r="N42" s="18"/>
      <c r="O42" s="18">
        <v>100</v>
      </c>
      <c r="P42" s="18">
        <v>0.5</v>
      </c>
      <c r="Q42" s="18">
        <v>479.04199999999997</v>
      </c>
      <c r="R42" s="19"/>
      <c r="S42" s="24"/>
      <c r="T42" s="24">
        <v>850</v>
      </c>
      <c r="U42" s="24">
        <v>0.1875</v>
      </c>
      <c r="V42" s="24">
        <v>52.777999999999999</v>
      </c>
      <c r="W42" s="19"/>
      <c r="X42" s="2"/>
      <c r="Y42" s="3"/>
      <c r="Z42" s="3"/>
      <c r="AA42" s="29"/>
      <c r="AB42" s="29"/>
      <c r="AC42" s="18"/>
      <c r="AD42" s="18"/>
      <c r="AE42" s="24"/>
      <c r="AF42" s="24"/>
      <c r="AG42" s="24"/>
      <c r="AH42" s="9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5"/>
      <c r="AV42" s="5"/>
      <c r="AW42" s="2"/>
      <c r="AX42" s="2"/>
      <c r="AY42" s="2"/>
      <c r="AZ42" s="2"/>
      <c r="BA42" s="2"/>
      <c r="BB42" s="2"/>
      <c r="BC42" s="2"/>
    </row>
    <row r="43" spans="1:55">
      <c r="A43" s="3"/>
      <c r="B43" s="3">
        <v>3.90625</v>
      </c>
      <c r="C43" s="3">
        <v>2000</v>
      </c>
      <c r="D43" s="3">
        <v>0.15625</v>
      </c>
      <c r="E43" s="3">
        <v>247.38499999999999</v>
      </c>
      <c r="F43" s="8"/>
      <c r="G43" s="29"/>
      <c r="H43" s="29"/>
      <c r="I43" s="29"/>
      <c r="J43" s="29">
        <v>0</v>
      </c>
      <c r="K43" s="29">
        <v>0</v>
      </c>
      <c r="M43" s="18"/>
      <c r="N43" s="18">
        <f>N33/2</f>
        <v>3.125</v>
      </c>
      <c r="O43" s="18">
        <v>2000</v>
      </c>
      <c r="P43" s="18">
        <v>0.125</v>
      </c>
      <c r="Q43" s="18">
        <v>138.72800000000001</v>
      </c>
      <c r="R43" s="19"/>
      <c r="S43" s="24"/>
      <c r="T43" s="24">
        <v>650</v>
      </c>
      <c r="U43" s="24">
        <v>0.1875</v>
      </c>
      <c r="V43" s="24">
        <v>85.778000000000006</v>
      </c>
      <c r="W43" s="6"/>
      <c r="X43" s="2"/>
      <c r="Y43" s="3"/>
      <c r="Z43" s="3"/>
      <c r="AA43" s="29"/>
      <c r="AB43" s="29"/>
      <c r="AC43" s="18">
        <v>6</v>
      </c>
      <c r="AD43" s="20"/>
      <c r="AE43" s="25"/>
      <c r="AF43" s="25"/>
      <c r="AG43" s="25"/>
      <c r="AH43" s="9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5"/>
      <c r="AV43" s="5"/>
      <c r="AW43" s="2"/>
      <c r="AX43" s="2"/>
      <c r="AY43" s="2"/>
      <c r="AZ43" s="2"/>
      <c r="BA43" s="2"/>
      <c r="BB43" s="2"/>
      <c r="BC43" s="2"/>
    </row>
    <row r="44" spans="1:55">
      <c r="A44" s="3"/>
      <c r="B44" s="3"/>
      <c r="C44" s="3">
        <v>1500</v>
      </c>
      <c r="D44" s="3">
        <v>0.546875</v>
      </c>
      <c r="E44" s="3">
        <v>873.79899999999998</v>
      </c>
      <c r="F44" s="8"/>
      <c r="L44" s="10"/>
      <c r="M44" s="18"/>
      <c r="N44" s="18"/>
      <c r="O44" s="18">
        <v>1500</v>
      </c>
      <c r="P44" s="18">
        <v>0.4375</v>
      </c>
      <c r="Q44" s="18">
        <v>617.971</v>
      </c>
      <c r="R44" s="19"/>
      <c r="S44" s="24"/>
      <c r="T44" s="24">
        <v>500</v>
      </c>
      <c r="U44" s="24">
        <v>0.1875</v>
      </c>
      <c r="V44" s="24">
        <v>52.363999999999997</v>
      </c>
      <c r="W44" s="6"/>
      <c r="X44" s="2"/>
      <c r="Y44" s="3"/>
      <c r="Z44" s="3"/>
      <c r="AA44" s="29"/>
      <c r="AB44" s="29"/>
      <c r="AC44" s="18">
        <v>3</v>
      </c>
      <c r="AD44" s="18"/>
      <c r="AE44" s="25"/>
      <c r="AF44" s="25"/>
      <c r="AG44" s="25"/>
      <c r="AH44" s="9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5"/>
      <c r="AV44" s="5"/>
      <c r="AW44" s="2"/>
      <c r="AX44" s="2"/>
      <c r="AY44" s="2"/>
      <c r="AZ44" s="2"/>
      <c r="BA44" s="2"/>
      <c r="BB44" s="2"/>
      <c r="BC44" s="2"/>
    </row>
    <row r="45" spans="1:55">
      <c r="A45" s="3"/>
      <c r="B45" s="3"/>
      <c r="C45" s="3">
        <v>1000</v>
      </c>
      <c r="D45" s="3">
        <v>0.234375</v>
      </c>
      <c r="E45" s="3">
        <v>299.971</v>
      </c>
      <c r="F45" s="8"/>
      <c r="L45" s="10"/>
      <c r="M45" s="18"/>
      <c r="N45" s="18"/>
      <c r="O45" s="18">
        <v>1000</v>
      </c>
      <c r="P45" s="18">
        <v>0.1875</v>
      </c>
      <c r="Q45" s="18">
        <v>153.435</v>
      </c>
      <c r="R45" s="19"/>
      <c r="S45" s="24"/>
      <c r="T45" s="24">
        <v>400</v>
      </c>
      <c r="U45" s="24">
        <v>0.1875</v>
      </c>
      <c r="V45" s="24">
        <v>61.777999999999999</v>
      </c>
      <c r="W45" s="6"/>
      <c r="X45" s="2"/>
      <c r="Y45" s="3"/>
      <c r="Z45" s="3"/>
      <c r="AA45" s="29"/>
      <c r="AB45" s="29"/>
      <c r="AC45" s="18">
        <v>1.5</v>
      </c>
      <c r="AD45" s="18">
        <v>1584.627</v>
      </c>
      <c r="AE45" s="25"/>
      <c r="AF45" s="25"/>
      <c r="AG45" s="25"/>
      <c r="AH45" s="9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5"/>
      <c r="AU45" s="5"/>
      <c r="AV45" s="5"/>
      <c r="AW45" s="2"/>
      <c r="AX45" s="2"/>
      <c r="AY45" s="2"/>
      <c r="AZ45" s="2"/>
      <c r="BA45" s="2"/>
      <c r="BB45" s="2"/>
      <c r="BC45" s="2"/>
    </row>
    <row r="46" spans="1:55">
      <c r="A46" s="3"/>
      <c r="B46" s="3"/>
      <c r="C46" s="3">
        <v>850</v>
      </c>
      <c r="D46" s="3">
        <v>0.234375</v>
      </c>
      <c r="E46" s="3">
        <v>235.84899999999999</v>
      </c>
      <c r="F46" s="8"/>
      <c r="L46" s="10"/>
      <c r="M46" s="18"/>
      <c r="N46" s="18"/>
      <c r="O46" s="18">
        <v>850</v>
      </c>
      <c r="P46" s="18">
        <v>0.1875</v>
      </c>
      <c r="Q46" s="18">
        <v>220.26300000000001</v>
      </c>
      <c r="R46" s="19"/>
      <c r="S46" s="24"/>
      <c r="T46" s="24">
        <v>300</v>
      </c>
      <c r="U46" s="24">
        <v>0.1875</v>
      </c>
      <c r="V46" s="24">
        <v>78.191999999999993</v>
      </c>
      <c r="W46" s="19"/>
      <c r="X46" s="2"/>
      <c r="Y46" s="3"/>
      <c r="Z46" s="3"/>
      <c r="AA46" s="29"/>
      <c r="AB46" s="29"/>
      <c r="AC46" s="18">
        <v>0.75</v>
      </c>
      <c r="AD46" s="18">
        <v>617.38499999999999</v>
      </c>
      <c r="AE46" s="24"/>
      <c r="AF46" s="24"/>
      <c r="AG46" s="24"/>
      <c r="AH46" s="9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</row>
    <row r="47" spans="1:55">
      <c r="A47" s="3"/>
      <c r="B47" s="3"/>
      <c r="C47" s="3">
        <v>650</v>
      </c>
      <c r="D47" s="3">
        <v>0.234375</v>
      </c>
      <c r="E47" s="3">
        <v>206.435</v>
      </c>
      <c r="F47" s="8"/>
      <c r="L47" s="10"/>
      <c r="M47" s="18"/>
      <c r="N47" s="18"/>
      <c r="O47" s="18">
        <v>650</v>
      </c>
      <c r="P47" s="18">
        <v>0.1875</v>
      </c>
      <c r="Q47" s="18">
        <v>170.84899999999999</v>
      </c>
      <c r="R47" s="19"/>
      <c r="S47" s="24"/>
      <c r="T47" s="24">
        <v>200</v>
      </c>
      <c r="U47" s="24">
        <v>0.1875</v>
      </c>
      <c r="V47" s="24">
        <v>98.606999999999999</v>
      </c>
      <c r="W47" s="19"/>
      <c r="X47" s="2"/>
      <c r="Y47" s="3"/>
      <c r="Z47" s="3"/>
      <c r="AA47" s="29"/>
      <c r="AB47" s="29"/>
      <c r="AC47" s="18">
        <v>0.375</v>
      </c>
      <c r="AD47" s="18">
        <v>331.26299999999998</v>
      </c>
      <c r="AE47" s="24"/>
      <c r="AF47" s="24"/>
      <c r="AG47" s="24"/>
      <c r="AH47" s="9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</row>
    <row r="48" spans="1:55">
      <c r="A48" s="3"/>
      <c r="B48" s="3"/>
      <c r="C48" s="3">
        <v>500</v>
      </c>
      <c r="D48" s="3">
        <v>0.234375</v>
      </c>
      <c r="E48" s="3">
        <v>180.435</v>
      </c>
      <c r="F48" s="8"/>
      <c r="L48" s="9"/>
      <c r="M48" s="18"/>
      <c r="N48" s="18"/>
      <c r="O48" s="18">
        <v>500</v>
      </c>
      <c r="P48" s="18">
        <v>0.1875</v>
      </c>
      <c r="Q48" s="18">
        <v>197.55600000000001</v>
      </c>
      <c r="R48" s="19"/>
      <c r="S48" s="24"/>
      <c r="T48" s="24"/>
      <c r="U48" s="24">
        <v>0</v>
      </c>
      <c r="V48" s="24">
        <v>0</v>
      </c>
      <c r="W48" s="19"/>
      <c r="X48" s="2"/>
      <c r="Y48" s="3"/>
      <c r="Z48" s="3"/>
      <c r="AA48" s="29"/>
      <c r="AB48" s="29"/>
      <c r="AC48" s="18">
        <v>0.1875</v>
      </c>
      <c r="AD48" s="18">
        <v>170.84899999999999</v>
      </c>
      <c r="AE48" s="24"/>
      <c r="AF48" s="24"/>
      <c r="AG48" s="24"/>
      <c r="AH48" s="9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</row>
    <row r="49" spans="1:55">
      <c r="A49" s="3"/>
      <c r="B49" s="3"/>
      <c r="C49" s="3">
        <v>400</v>
      </c>
      <c r="D49" s="3">
        <v>0.234375</v>
      </c>
      <c r="E49" s="3">
        <v>211.84899999999999</v>
      </c>
      <c r="F49" s="8"/>
      <c r="L49" s="9"/>
      <c r="M49" s="18"/>
      <c r="N49" s="18"/>
      <c r="O49" s="18">
        <v>400</v>
      </c>
      <c r="P49" s="18">
        <v>0.1875</v>
      </c>
      <c r="Q49" s="18">
        <v>206.55600000000001</v>
      </c>
      <c r="R49" s="19"/>
      <c r="S49" s="27"/>
      <c r="T49" s="27"/>
      <c r="U49" s="27"/>
      <c r="V49" s="27"/>
      <c r="W49" s="19"/>
      <c r="X49" s="2"/>
      <c r="Y49" s="3"/>
      <c r="Z49" s="3"/>
      <c r="AA49" s="29"/>
      <c r="AB49" s="29"/>
      <c r="AC49" s="18">
        <v>0</v>
      </c>
      <c r="AD49" s="18">
        <v>0</v>
      </c>
      <c r="AE49" s="24"/>
      <c r="AF49" s="24"/>
      <c r="AG49" s="24"/>
      <c r="AH49" s="9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</row>
    <row r="50" spans="1:55">
      <c r="A50" s="3"/>
      <c r="B50" s="3"/>
      <c r="C50" s="3">
        <v>300</v>
      </c>
      <c r="D50" s="3">
        <v>0.234375</v>
      </c>
      <c r="E50" s="3">
        <v>219.55600000000001</v>
      </c>
      <c r="F50" s="8"/>
      <c r="L50" s="9"/>
      <c r="M50" s="18"/>
      <c r="N50" s="18"/>
      <c r="O50" s="18">
        <v>300</v>
      </c>
      <c r="P50" s="18">
        <v>0.1875</v>
      </c>
      <c r="Q50" s="18">
        <v>164.84899999999999</v>
      </c>
      <c r="R50" s="19"/>
      <c r="S50" s="27"/>
      <c r="T50" s="27"/>
      <c r="U50" s="27"/>
      <c r="V50" s="27"/>
      <c r="W50" s="19"/>
      <c r="X50" s="2"/>
      <c r="Y50" s="3"/>
      <c r="Z50" s="3"/>
      <c r="AA50" s="29"/>
      <c r="AB50" s="29"/>
      <c r="AC50" s="18"/>
      <c r="AD50" s="18"/>
      <c r="AE50" s="24"/>
      <c r="AF50" s="24"/>
      <c r="AG50" s="24"/>
      <c r="AH50" s="9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</row>
    <row r="51" spans="1:55">
      <c r="A51" s="3"/>
      <c r="B51" s="3"/>
      <c r="C51" s="3">
        <v>200</v>
      </c>
      <c r="D51" s="3">
        <v>0.234375</v>
      </c>
      <c r="E51" s="3">
        <v>251.971</v>
      </c>
      <c r="F51" s="8"/>
      <c r="L51" s="10"/>
      <c r="M51" s="18"/>
      <c r="N51" s="18"/>
      <c r="O51" s="18">
        <v>200</v>
      </c>
      <c r="P51" s="18">
        <v>0.1875</v>
      </c>
      <c r="Q51" s="18">
        <v>230.678</v>
      </c>
      <c r="R51" s="19"/>
      <c r="S51" s="27"/>
      <c r="T51" s="27"/>
      <c r="U51" s="27"/>
      <c r="V51" s="27"/>
      <c r="W51" s="19"/>
      <c r="X51" s="2"/>
      <c r="Y51" s="3"/>
      <c r="Z51" s="3"/>
      <c r="AA51" s="29"/>
      <c r="AB51" s="29"/>
      <c r="AC51" s="18"/>
      <c r="AD51" s="18" t="s">
        <v>64</v>
      </c>
      <c r="AE51" s="24"/>
      <c r="AF51" s="24"/>
      <c r="AG51" s="24"/>
      <c r="AH51" s="9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</row>
    <row r="52" spans="1:55">
      <c r="A52" s="3"/>
      <c r="B52" s="3"/>
      <c r="C52" s="3">
        <v>100</v>
      </c>
      <c r="D52" s="3">
        <v>0.3125</v>
      </c>
      <c r="E52" s="3">
        <v>282.50599999999997</v>
      </c>
      <c r="F52" s="8"/>
      <c r="L52" s="10"/>
      <c r="M52" s="18"/>
      <c r="N52" s="18"/>
      <c r="O52" s="18">
        <v>100</v>
      </c>
      <c r="P52" s="18">
        <v>0.25</v>
      </c>
      <c r="Q52" s="18">
        <v>205.26300000000001</v>
      </c>
      <c r="R52" s="19"/>
      <c r="S52" s="27"/>
      <c r="T52" s="27"/>
      <c r="U52" s="27"/>
      <c r="V52" s="27"/>
      <c r="W52" s="19"/>
      <c r="X52" s="2"/>
      <c r="Y52" s="3"/>
      <c r="Z52" s="3"/>
      <c r="AA52" s="29"/>
      <c r="AB52" s="29"/>
      <c r="AC52" s="18"/>
      <c r="AD52" s="18"/>
      <c r="AE52" s="24"/>
      <c r="AF52" s="24"/>
      <c r="AG52" s="24"/>
      <c r="AH52" s="9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</row>
    <row r="53" spans="1:55">
      <c r="F53" s="10"/>
      <c r="L53" s="10"/>
      <c r="M53" s="18"/>
      <c r="N53" s="18"/>
      <c r="O53" s="18"/>
      <c r="P53" s="18">
        <v>0</v>
      </c>
      <c r="Q53" s="18">
        <v>0</v>
      </c>
      <c r="R53" s="19"/>
      <c r="S53" s="27"/>
      <c r="T53" s="27"/>
      <c r="U53" s="27"/>
      <c r="V53" s="27"/>
      <c r="W53" s="19"/>
      <c r="Y53" s="3"/>
      <c r="Z53" s="3" t="s">
        <v>95</v>
      </c>
      <c r="AA53" s="29"/>
      <c r="AB53" s="29" t="s">
        <v>71</v>
      </c>
      <c r="AC53" s="18"/>
      <c r="AD53" s="18" t="s">
        <v>63</v>
      </c>
      <c r="AE53" s="24" t="s">
        <v>40</v>
      </c>
      <c r="AF53" s="24"/>
      <c r="AG53" s="24" t="s">
        <v>88</v>
      </c>
      <c r="AH53" s="10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</row>
    <row r="54" spans="1:55">
      <c r="F54" s="10"/>
      <c r="L54" s="10"/>
      <c r="R54" s="19"/>
      <c r="S54" s="27"/>
      <c r="T54" s="27"/>
      <c r="U54" s="27"/>
      <c r="V54" s="27"/>
      <c r="W54" s="19"/>
      <c r="X54" s="2"/>
      <c r="Y54" s="9"/>
      <c r="Z54" s="2"/>
      <c r="AA54" s="9"/>
      <c r="AB54" s="9"/>
      <c r="AC54" s="2"/>
      <c r="AD54" s="2"/>
      <c r="AE54" s="19"/>
      <c r="AF54" s="19"/>
      <c r="AG54" s="19"/>
      <c r="AH54" s="9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</row>
    <row r="55" spans="1:55">
      <c r="F55" s="10"/>
      <c r="L55" s="10"/>
      <c r="R55" s="19"/>
      <c r="S55" s="27"/>
      <c r="T55" s="27"/>
      <c r="U55" s="27"/>
      <c r="V55" s="27"/>
      <c r="W55" s="19"/>
      <c r="X55" s="2"/>
      <c r="Y55" s="9"/>
      <c r="Z55" s="2"/>
      <c r="AA55" s="9"/>
      <c r="AB55" s="9"/>
      <c r="AC55" s="2"/>
      <c r="AD55" s="2"/>
      <c r="AE55" s="19"/>
      <c r="AF55" s="19"/>
      <c r="AG55" s="19"/>
      <c r="AH55" s="9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</row>
    <row r="56" spans="1:55">
      <c r="F56" s="10"/>
      <c r="L56" s="10"/>
      <c r="R56" s="19"/>
      <c r="S56" s="27"/>
      <c r="T56" s="27"/>
      <c r="U56" s="27"/>
      <c r="V56" s="27"/>
      <c r="W56" s="19"/>
      <c r="X56" s="2"/>
      <c r="Y56" s="9"/>
      <c r="Z56" s="2"/>
      <c r="AA56" s="9"/>
      <c r="AB56" s="9"/>
      <c r="AC56" s="2"/>
      <c r="AD56" s="2"/>
      <c r="AE56" s="19"/>
      <c r="AF56" s="19"/>
      <c r="AG56" s="19"/>
      <c r="AH56" s="9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</row>
    <row r="57" spans="1:55">
      <c r="F57" s="10"/>
      <c r="L57" s="10"/>
      <c r="R57" s="19"/>
      <c r="S57" s="27"/>
      <c r="T57" s="27"/>
      <c r="U57" s="27"/>
      <c r="V57" s="27"/>
      <c r="W57" s="19"/>
      <c r="X57" s="2"/>
      <c r="Y57" s="9"/>
      <c r="Z57" s="2"/>
      <c r="AA57" s="9"/>
      <c r="AB57" s="9"/>
      <c r="AC57" s="2"/>
      <c r="AD57" s="2"/>
      <c r="AE57" s="19"/>
      <c r="AF57" s="19"/>
      <c r="AG57" s="19"/>
      <c r="AH57" s="9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1:55">
      <c r="F58" s="10"/>
      <c r="L58" s="10"/>
      <c r="R58" s="19"/>
      <c r="S58" s="27"/>
      <c r="T58" s="27"/>
      <c r="U58" s="27"/>
      <c r="V58" s="27"/>
      <c r="W58" s="19"/>
      <c r="X58" s="2"/>
      <c r="Y58" s="9"/>
      <c r="Z58" s="2"/>
      <c r="AA58" s="9"/>
      <c r="AB58" s="9"/>
      <c r="AC58" s="2"/>
      <c r="AD58" s="2"/>
      <c r="AE58" s="19"/>
      <c r="AF58" s="19"/>
      <c r="AG58" s="19"/>
      <c r="AH58" s="9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</row>
    <row r="59" spans="1:55">
      <c r="F59" s="10"/>
      <c r="L59" s="10"/>
      <c r="R59" s="19"/>
      <c r="S59" s="27"/>
      <c r="T59" s="27"/>
      <c r="U59" s="27"/>
      <c r="V59" s="27"/>
      <c r="W59" s="19"/>
      <c r="X59" s="2"/>
      <c r="Y59" s="9"/>
      <c r="Z59" s="2"/>
      <c r="AA59" s="9"/>
      <c r="AB59" s="9"/>
      <c r="AC59" s="2"/>
      <c r="AD59" s="2"/>
      <c r="AE59" s="19"/>
      <c r="AF59" s="19"/>
      <c r="AG59" s="19"/>
      <c r="AH59" s="9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</row>
    <row r="60" spans="1:55">
      <c r="F60" s="10"/>
      <c r="L60" s="10"/>
      <c r="R60" s="19"/>
      <c r="S60" s="27"/>
      <c r="T60" s="27"/>
      <c r="U60" s="27"/>
      <c r="V60" s="27"/>
      <c r="W60" s="19"/>
      <c r="X60" s="2"/>
      <c r="Y60" s="9"/>
      <c r="Z60" s="2"/>
      <c r="AA60" s="9"/>
      <c r="AB60" s="9"/>
      <c r="AC60" s="2"/>
      <c r="AD60" s="2"/>
      <c r="AE60" s="19"/>
      <c r="AF60" s="19"/>
      <c r="AG60" s="19"/>
      <c r="AH60" s="9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</row>
    <row r="61" spans="1:55">
      <c r="F61" s="10"/>
      <c r="L61" s="10"/>
      <c r="R61" s="19"/>
      <c r="S61" s="27"/>
      <c r="T61" s="27"/>
      <c r="U61" s="27"/>
      <c r="V61" s="27"/>
      <c r="W61" s="19"/>
      <c r="X61" s="2"/>
      <c r="Y61" s="9"/>
      <c r="Z61" s="2"/>
      <c r="AA61" s="9"/>
      <c r="AB61" s="9"/>
      <c r="AC61" s="2"/>
      <c r="AD61" s="2"/>
      <c r="AE61" s="19"/>
      <c r="AF61" s="19"/>
      <c r="AG61" s="19"/>
      <c r="AH61" s="9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</row>
    <row r="62" spans="1:55">
      <c r="F62" s="10"/>
      <c r="L62" s="10"/>
      <c r="R62" s="19"/>
      <c r="S62" s="27"/>
      <c r="T62" s="27"/>
      <c r="U62" s="27"/>
      <c r="V62" s="27"/>
      <c r="W62" s="19"/>
      <c r="X62" s="2"/>
      <c r="Y62" s="9"/>
      <c r="Z62" s="2"/>
      <c r="AA62" s="9"/>
      <c r="AB62" s="9"/>
      <c r="AC62" s="2"/>
      <c r="AD62" s="2"/>
      <c r="AE62" s="19"/>
      <c r="AF62" s="19"/>
      <c r="AG62" s="19"/>
      <c r="AH62" s="9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</row>
    <row r="63" spans="1:55">
      <c r="S63" s="27"/>
      <c r="T63" s="27"/>
      <c r="U63" s="27"/>
      <c r="V63" s="27"/>
      <c r="X63" s="2"/>
      <c r="Y63" s="9"/>
      <c r="Z63" s="2"/>
      <c r="AA63" s="9"/>
      <c r="AB63" s="9"/>
      <c r="AC63" s="2"/>
      <c r="AD63" s="2"/>
      <c r="AH63" s="9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</row>
    <row r="64" spans="1:55">
      <c r="G64" s="10"/>
      <c r="H64" s="10"/>
      <c r="I64" s="10"/>
      <c r="J64" s="10"/>
      <c r="K64" s="10"/>
      <c r="M64" s="10"/>
      <c r="N64" s="10"/>
      <c r="O64" s="10"/>
      <c r="P64" s="10"/>
      <c r="Q64" s="10"/>
      <c r="S64" s="27"/>
      <c r="T64" s="27"/>
      <c r="U64" s="27"/>
      <c r="V64" s="27"/>
      <c r="X64" s="2"/>
      <c r="Y64" s="9"/>
      <c r="Z64" s="2"/>
      <c r="AA64" s="9"/>
      <c r="AB64" s="9"/>
      <c r="AC64" s="2"/>
      <c r="AD64" s="2"/>
      <c r="AH64" s="9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</row>
    <row r="65" spans="7:55">
      <c r="G65" s="10"/>
      <c r="H65" s="10"/>
      <c r="I65" s="10"/>
      <c r="J65" s="10"/>
      <c r="K65" s="10"/>
      <c r="M65" s="10"/>
      <c r="N65" s="10"/>
      <c r="O65" s="10"/>
      <c r="P65" s="10"/>
      <c r="Q65" s="10"/>
      <c r="S65" s="27"/>
      <c r="T65" s="27"/>
      <c r="U65" s="27"/>
      <c r="V65" s="27"/>
      <c r="X65" s="2"/>
      <c r="Y65" s="9"/>
      <c r="Z65" s="2"/>
      <c r="AA65" s="9"/>
      <c r="AB65" s="9"/>
      <c r="AC65" s="2"/>
      <c r="AD65" s="2"/>
      <c r="AH65" s="9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</row>
    <row r="66" spans="7:55">
      <c r="G66" s="10"/>
      <c r="H66" s="10"/>
      <c r="I66" s="10"/>
      <c r="J66" s="10"/>
      <c r="K66" s="10"/>
      <c r="M66" s="10"/>
      <c r="N66" s="10"/>
      <c r="O66" s="10"/>
      <c r="P66" s="10"/>
      <c r="Q66" s="10"/>
      <c r="S66" s="27"/>
      <c r="T66" s="27"/>
      <c r="U66" s="27"/>
      <c r="V66" s="27"/>
      <c r="X66" s="2"/>
      <c r="Y66" s="9"/>
      <c r="Z66" s="2"/>
      <c r="AA66" s="9"/>
      <c r="AB66" s="9"/>
      <c r="AC66" s="2"/>
      <c r="AD66" s="2"/>
      <c r="AH66" s="9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</row>
    <row r="67" spans="7:55">
      <c r="G67" s="10"/>
      <c r="H67" s="10"/>
      <c r="I67" s="10"/>
      <c r="J67" s="10"/>
      <c r="K67" s="10"/>
      <c r="M67" s="10"/>
      <c r="N67" s="10"/>
      <c r="O67" s="10"/>
      <c r="P67" s="10"/>
      <c r="Q67" s="10"/>
      <c r="S67" s="27"/>
      <c r="T67" s="27"/>
      <c r="U67" s="27"/>
      <c r="V67" s="27"/>
      <c r="X67" s="2"/>
      <c r="Y67" s="9"/>
      <c r="Z67" s="2"/>
      <c r="AA67" s="9"/>
      <c r="AB67" s="9"/>
      <c r="AC67" s="2"/>
      <c r="AD67" s="2"/>
      <c r="AH67" s="9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</row>
    <row r="68" spans="7:55">
      <c r="G68" s="10"/>
      <c r="H68" s="10"/>
      <c r="I68" s="10"/>
      <c r="J68" s="10"/>
      <c r="K68" s="10"/>
      <c r="M68" s="10"/>
      <c r="N68" s="10"/>
      <c r="O68" s="10"/>
      <c r="P68" s="10"/>
      <c r="Q68" s="10"/>
      <c r="S68" s="27"/>
      <c r="T68" s="27"/>
      <c r="U68" s="27"/>
      <c r="V68" s="27"/>
      <c r="X68" s="2"/>
      <c r="Y68" s="9"/>
      <c r="Z68" s="2"/>
      <c r="AA68" s="9"/>
      <c r="AB68" s="9"/>
      <c r="AC68" s="2"/>
      <c r="AD68" s="2"/>
      <c r="AH68" s="9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</row>
    <row r="69" spans="7:55">
      <c r="G69" s="10"/>
      <c r="H69" s="10"/>
      <c r="I69" s="10"/>
      <c r="J69" s="10"/>
      <c r="K69" s="10"/>
      <c r="M69" s="10"/>
      <c r="N69" s="10"/>
      <c r="O69" s="10"/>
      <c r="P69" s="10"/>
      <c r="Q69" s="10"/>
      <c r="S69" s="27"/>
      <c r="T69" s="27"/>
      <c r="U69" s="27"/>
      <c r="V69" s="27"/>
      <c r="X69" s="2"/>
      <c r="Y69" s="9"/>
      <c r="Z69" s="2"/>
      <c r="AA69" s="9"/>
      <c r="AB69" s="9"/>
      <c r="AC69" s="2"/>
      <c r="AD69" s="2"/>
      <c r="AH69" s="9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</row>
    <row r="70" spans="7:55">
      <c r="G70" s="10"/>
      <c r="H70" s="10"/>
      <c r="I70" s="10"/>
      <c r="J70" s="10"/>
      <c r="K70" s="10"/>
      <c r="M70" s="10"/>
      <c r="N70" s="10"/>
      <c r="O70" s="10"/>
      <c r="P70" s="10"/>
      <c r="Q70" s="10"/>
      <c r="S70" s="27"/>
      <c r="T70" s="27"/>
      <c r="U70" s="27"/>
      <c r="V70" s="27"/>
      <c r="X70" s="2"/>
      <c r="Y70" s="9"/>
      <c r="Z70" s="2"/>
      <c r="AA70" s="9"/>
      <c r="AB70" s="9"/>
      <c r="AC70" s="2"/>
      <c r="AD70" s="2"/>
      <c r="AH70" s="9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</row>
    <row r="71" spans="7:55">
      <c r="G71" s="10"/>
      <c r="H71" s="10"/>
      <c r="I71" s="10"/>
      <c r="J71" s="10"/>
      <c r="K71" s="10"/>
      <c r="M71" s="10"/>
      <c r="N71" s="10"/>
      <c r="O71" s="10"/>
      <c r="P71" s="10"/>
      <c r="Q71" s="10"/>
      <c r="S71" s="27"/>
      <c r="T71" s="27"/>
      <c r="U71" s="27"/>
      <c r="V71" s="27"/>
      <c r="X71" s="2"/>
      <c r="Y71" s="9"/>
      <c r="Z71" s="2"/>
      <c r="AA71" s="9"/>
      <c r="AB71" s="9"/>
      <c r="AC71" s="2"/>
      <c r="AD71" s="2"/>
      <c r="AH71" s="9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</row>
    <row r="72" spans="7:55">
      <c r="G72" s="10"/>
      <c r="H72" s="10"/>
      <c r="I72" s="10"/>
      <c r="J72" s="10"/>
      <c r="K72" s="10"/>
      <c r="M72" s="10"/>
      <c r="N72" s="10"/>
      <c r="O72" s="10"/>
      <c r="P72" s="10"/>
      <c r="Q72" s="10"/>
      <c r="S72" s="27"/>
      <c r="T72" s="27"/>
      <c r="U72" s="27"/>
      <c r="V72" s="27"/>
      <c r="X72" s="2"/>
      <c r="Y72" s="9"/>
      <c r="Z72" s="2"/>
      <c r="AA72" s="9"/>
      <c r="AB72" s="9"/>
      <c r="AC72" s="2"/>
      <c r="AD72" s="2"/>
      <c r="AH72" s="9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</row>
    <row r="73" spans="7:55">
      <c r="G73" s="10"/>
      <c r="H73" s="10"/>
      <c r="I73" s="10"/>
      <c r="J73" s="10"/>
      <c r="K73" s="10"/>
      <c r="M73" s="10"/>
      <c r="N73" s="10"/>
      <c r="O73" s="10"/>
      <c r="P73" s="10"/>
      <c r="Q73" s="10"/>
      <c r="S73" s="27"/>
      <c r="T73" s="27"/>
      <c r="U73" s="27"/>
      <c r="V73" s="27"/>
      <c r="X73" s="2"/>
      <c r="Y73" s="9"/>
      <c r="Z73" s="2"/>
      <c r="AA73" s="9"/>
      <c r="AB73" s="9"/>
      <c r="AC73" s="2"/>
      <c r="AD73" s="2"/>
      <c r="AH73" s="9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</row>
    <row r="74" spans="7:55">
      <c r="G74" s="10"/>
      <c r="H74" s="10"/>
      <c r="I74" s="10"/>
      <c r="J74" s="10"/>
      <c r="K74" s="10"/>
      <c r="M74" s="10"/>
      <c r="N74" s="10"/>
      <c r="O74" s="10"/>
      <c r="P74" s="10"/>
      <c r="Q74" s="10"/>
      <c r="S74" s="27"/>
      <c r="T74" s="27"/>
      <c r="U74" s="27"/>
      <c r="V74" s="27"/>
      <c r="X74" s="2"/>
      <c r="Y74" s="9"/>
      <c r="Z74" s="2"/>
      <c r="AA74" s="9"/>
      <c r="AB74" s="9"/>
      <c r="AC74" s="2"/>
      <c r="AD74" s="2"/>
      <c r="AH74" s="9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</row>
    <row r="75" spans="7:55">
      <c r="G75" s="10"/>
      <c r="H75" s="10"/>
      <c r="I75" s="10"/>
      <c r="J75" s="10"/>
      <c r="K75" s="10"/>
      <c r="M75" s="10"/>
      <c r="N75" s="10"/>
      <c r="O75" s="10"/>
      <c r="P75" s="10"/>
      <c r="Q75" s="10"/>
      <c r="S75" s="27"/>
      <c r="T75" s="27"/>
      <c r="U75" s="27"/>
      <c r="V75" s="27"/>
      <c r="X75" s="2"/>
      <c r="Y75" s="9"/>
      <c r="Z75" s="2"/>
      <c r="AA75" s="9"/>
      <c r="AB75" s="9"/>
      <c r="AC75" s="2"/>
      <c r="AD75" s="2"/>
      <c r="AH75" s="9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</row>
    <row r="76" spans="7:55">
      <c r="G76" s="10"/>
      <c r="H76" s="10"/>
      <c r="I76" s="10"/>
      <c r="J76" s="10"/>
      <c r="K76" s="10"/>
      <c r="M76" s="10"/>
      <c r="N76" s="10"/>
      <c r="O76" s="10"/>
      <c r="P76" s="10"/>
      <c r="Q76" s="10"/>
      <c r="S76" s="27"/>
      <c r="T76" s="27"/>
      <c r="U76" s="27"/>
      <c r="V76" s="27"/>
      <c r="X76" s="2"/>
      <c r="Y76" s="9"/>
      <c r="Z76" s="2"/>
      <c r="AA76" s="9"/>
      <c r="AB76" s="9"/>
      <c r="AC76" s="2"/>
      <c r="AD76" s="2"/>
      <c r="AH76" s="9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</row>
    <row r="77" spans="7:55">
      <c r="G77" s="10"/>
      <c r="H77" s="10"/>
      <c r="I77" s="10"/>
      <c r="J77" s="10"/>
      <c r="K77" s="10"/>
      <c r="M77" s="10"/>
      <c r="N77" s="10"/>
      <c r="O77" s="10"/>
      <c r="P77" s="10"/>
      <c r="Q77" s="10"/>
      <c r="X77" s="2"/>
      <c r="Y77" s="9"/>
      <c r="Z77" s="2"/>
      <c r="AA77" s="9"/>
      <c r="AB77" s="9"/>
      <c r="AC77" s="2"/>
      <c r="AD77" s="2"/>
      <c r="AH77" s="9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</row>
    <row r="78" spans="7:55">
      <c r="G78" s="10"/>
      <c r="H78" s="10"/>
      <c r="I78" s="10"/>
      <c r="J78" s="10"/>
      <c r="K78" s="10"/>
      <c r="M78" s="10"/>
      <c r="N78" s="10"/>
      <c r="O78" s="10"/>
      <c r="P78" s="10"/>
      <c r="Q78" s="10"/>
      <c r="X78" s="2"/>
      <c r="Y78" s="9"/>
      <c r="Z78" s="2"/>
      <c r="AA78" s="9"/>
      <c r="AB78" s="9"/>
      <c r="AC78" s="2"/>
      <c r="AD78" s="2"/>
      <c r="AH78" s="9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</row>
    <row r="79" spans="7:55">
      <c r="G79" s="10"/>
      <c r="H79" s="10"/>
      <c r="I79" s="10"/>
      <c r="J79" s="10"/>
      <c r="K79" s="10"/>
      <c r="M79" s="10"/>
      <c r="N79" s="10"/>
      <c r="O79" s="10"/>
      <c r="P79" s="10"/>
      <c r="Q79" s="10"/>
      <c r="X79" s="2"/>
      <c r="Y79" s="9"/>
      <c r="Z79" s="2"/>
      <c r="AA79" s="9"/>
      <c r="AB79" s="9"/>
      <c r="AC79" s="2"/>
      <c r="AD79" s="2"/>
      <c r="AH79" s="9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</row>
    <row r="80" spans="7:55">
      <c r="G80" s="10"/>
      <c r="H80" s="10"/>
      <c r="I80" s="10"/>
      <c r="J80" s="10"/>
      <c r="K80" s="10"/>
      <c r="M80" s="10"/>
      <c r="N80" s="10"/>
      <c r="O80" s="10"/>
      <c r="P80" s="10"/>
      <c r="Q80" s="10"/>
      <c r="X80" s="2"/>
      <c r="Y80" s="9"/>
      <c r="Z80" s="2"/>
      <c r="AA80" s="9"/>
      <c r="AB80" s="9"/>
      <c r="AC80" s="2"/>
      <c r="AD80" s="2"/>
      <c r="AH80" s="9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</row>
    <row r="81" spans="7:55">
      <c r="G81" s="10"/>
      <c r="H81" s="10"/>
      <c r="I81" s="10"/>
      <c r="J81" s="10"/>
      <c r="K81" s="10"/>
      <c r="M81" s="10"/>
      <c r="N81" s="10"/>
      <c r="O81" s="10"/>
      <c r="P81" s="10"/>
      <c r="Q81" s="10"/>
      <c r="X81" s="2"/>
      <c r="Y81" s="9"/>
      <c r="Z81" s="2"/>
      <c r="AA81" s="9"/>
      <c r="AB81" s="9"/>
      <c r="AC81" s="2"/>
      <c r="AD81" s="2"/>
      <c r="AH81" s="9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</row>
    <row r="82" spans="7:55">
      <c r="G82" s="10"/>
      <c r="H82" s="10"/>
      <c r="I82" s="10"/>
      <c r="J82" s="10"/>
      <c r="K82" s="10"/>
      <c r="M82" s="10"/>
      <c r="N82" s="10"/>
      <c r="O82" s="10"/>
      <c r="P82" s="10"/>
      <c r="Q82" s="10"/>
      <c r="X82" s="2"/>
      <c r="Y82" s="9"/>
      <c r="Z82" s="2"/>
      <c r="AA82" s="9"/>
      <c r="AB82" s="9"/>
      <c r="AC82" s="2"/>
      <c r="AD82" s="2"/>
      <c r="AH82" s="9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</row>
    <row r="83" spans="7:55">
      <c r="G83" s="10"/>
      <c r="H83" s="10"/>
      <c r="I83" s="10"/>
      <c r="J83" s="10"/>
      <c r="K83" s="10"/>
      <c r="M83" s="10"/>
      <c r="N83" s="10"/>
      <c r="O83" s="10"/>
      <c r="P83" s="10"/>
      <c r="Q83" s="10"/>
      <c r="X83" s="2"/>
      <c r="Y83" s="9"/>
      <c r="Z83" s="2"/>
      <c r="AA83" s="9"/>
      <c r="AB83" s="9"/>
      <c r="AC83" s="2"/>
      <c r="AD83" s="2"/>
      <c r="AH83" s="9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</row>
    <row r="84" spans="7:55">
      <c r="G84" s="10"/>
      <c r="H84" s="10"/>
      <c r="I84" s="10"/>
      <c r="J84" s="10"/>
      <c r="K84" s="10"/>
      <c r="M84" s="10"/>
      <c r="N84" s="10"/>
      <c r="O84" s="10"/>
      <c r="P84" s="10"/>
      <c r="Q84" s="10"/>
      <c r="X84" s="2"/>
      <c r="Y84" s="9"/>
      <c r="Z84" s="2"/>
      <c r="AA84" s="9"/>
      <c r="AB84" s="9"/>
      <c r="AC84" s="2"/>
      <c r="AD84" s="2"/>
      <c r="AH84" s="9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</row>
    <row r="85" spans="7:55">
      <c r="G85" s="10"/>
      <c r="H85" s="10"/>
      <c r="I85" s="10"/>
      <c r="J85" s="10"/>
      <c r="K85" s="10"/>
      <c r="M85" s="10"/>
      <c r="N85" s="10"/>
      <c r="O85" s="10"/>
      <c r="P85" s="10"/>
      <c r="Q85" s="10"/>
      <c r="X85" s="2"/>
      <c r="Y85" s="9"/>
      <c r="Z85" s="2"/>
      <c r="AA85" s="9"/>
      <c r="AB85" s="9"/>
      <c r="AC85" s="2"/>
      <c r="AD85" s="2"/>
      <c r="AH85" s="9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</row>
    <row r="86" spans="7:55">
      <c r="G86" s="10"/>
      <c r="H86" s="10"/>
      <c r="I86" s="10"/>
      <c r="J86" s="10"/>
      <c r="K86" s="10"/>
      <c r="M86" s="10"/>
      <c r="N86" s="10"/>
      <c r="O86" s="10"/>
      <c r="P86" s="10"/>
      <c r="Q86" s="10"/>
      <c r="X86" s="2"/>
      <c r="Y86" s="9"/>
      <c r="Z86" s="2"/>
      <c r="AA86" s="9"/>
      <c r="AB86" s="9"/>
      <c r="AC86" s="2"/>
      <c r="AD86" s="2"/>
      <c r="AH86" s="9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</row>
    <row r="87" spans="7:55">
      <c r="G87" s="10"/>
      <c r="H87" s="10"/>
      <c r="I87" s="10"/>
      <c r="J87" s="10"/>
      <c r="K87" s="10"/>
      <c r="X87" s="2"/>
      <c r="Y87" s="9"/>
      <c r="Z87" s="2"/>
      <c r="AA87" s="9"/>
      <c r="AB87" s="9"/>
      <c r="AC87" s="2"/>
      <c r="AD87" s="2"/>
      <c r="AH87" s="9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</row>
    <row r="88" spans="7:55">
      <c r="G88" s="10"/>
      <c r="H88" s="10"/>
      <c r="I88" s="10"/>
      <c r="J88" s="10"/>
      <c r="K88" s="10"/>
      <c r="X88" s="2"/>
      <c r="Y88" s="9"/>
      <c r="Z88" s="2"/>
      <c r="AA88" s="9"/>
      <c r="AB88" s="9"/>
      <c r="AC88" s="2"/>
      <c r="AD88" s="2"/>
      <c r="AH88" s="9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</row>
    <row r="89" spans="7:55">
      <c r="G89" s="10"/>
      <c r="H89" s="10"/>
      <c r="I89" s="10"/>
      <c r="J89" s="10"/>
      <c r="K89" s="10"/>
      <c r="X89" s="2"/>
      <c r="Y89" s="9"/>
      <c r="Z89" s="2"/>
      <c r="AA89" s="9"/>
      <c r="AB89" s="9"/>
      <c r="AC89" s="2"/>
      <c r="AD89" s="2"/>
      <c r="AH89" s="9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</row>
    <row r="90" spans="7:55">
      <c r="G90" s="10"/>
      <c r="H90" s="10"/>
      <c r="I90" s="10"/>
      <c r="J90" s="10"/>
      <c r="K90" s="10"/>
      <c r="X90" s="2"/>
      <c r="Y90" s="9"/>
      <c r="Z90" s="2"/>
      <c r="AA90" s="9"/>
      <c r="AB90" s="9"/>
      <c r="AC90" s="2"/>
      <c r="AD90" s="2"/>
      <c r="AH90" s="9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</row>
    <row r="91" spans="7:55">
      <c r="X91" s="2"/>
      <c r="Y91" s="9"/>
      <c r="Z91" s="2"/>
      <c r="AA91" s="9"/>
      <c r="AB91" s="9"/>
      <c r="AC91" s="2"/>
      <c r="AD91" s="2"/>
      <c r="AH91" s="9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</row>
    <row r="92" spans="7:55">
      <c r="X92" s="2"/>
      <c r="Y92" s="9"/>
      <c r="Z92" s="2"/>
      <c r="AA92" s="9"/>
      <c r="AB92" s="9"/>
      <c r="AC92" s="2"/>
      <c r="AD92" s="2"/>
      <c r="AH92" s="9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</row>
    <row r="93" spans="7:55">
      <c r="X93" s="2"/>
      <c r="Y93" s="9"/>
      <c r="Z93" s="2"/>
      <c r="AA93" s="9"/>
      <c r="AB93" s="9"/>
      <c r="AC93" s="2"/>
      <c r="AD93" s="2"/>
      <c r="AH93" s="9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</row>
    <row r="94" spans="7:55">
      <c r="X94" s="2"/>
      <c r="Y94" s="9"/>
      <c r="Z94" s="2"/>
      <c r="AA94" s="9"/>
      <c r="AB94" s="9"/>
      <c r="AC94" s="2"/>
      <c r="AD94" s="2"/>
      <c r="AH94" s="9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</row>
    <row r="95" spans="7:55">
      <c r="X95" s="2"/>
      <c r="Y95" s="9"/>
      <c r="Z95" s="2"/>
      <c r="AA95" s="9"/>
      <c r="AB95" s="9"/>
      <c r="AC95" s="2"/>
      <c r="AD95" s="2"/>
      <c r="AH95" s="9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</row>
    <row r="96" spans="7:55">
      <c r="X96" s="2"/>
      <c r="Y96" s="9"/>
      <c r="Z96" s="2"/>
      <c r="AA96" s="9"/>
      <c r="AB96" s="9"/>
      <c r="AC96" s="2"/>
      <c r="AD96" s="2"/>
      <c r="AH96" s="9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</row>
    <row r="97" spans="24:55">
      <c r="X97" s="2"/>
      <c r="Y97" s="9"/>
      <c r="Z97" s="2"/>
      <c r="AA97" s="9"/>
      <c r="AB97" s="9"/>
      <c r="AC97" s="2"/>
      <c r="AD97" s="2"/>
      <c r="AH97" s="9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</row>
  </sheetData>
  <mergeCells count="5">
    <mergeCell ref="X1:AG1"/>
    <mergeCell ref="M2:N2"/>
    <mergeCell ref="S1:V1"/>
    <mergeCell ref="A2:B2"/>
    <mergeCell ref="G2:H2"/>
  </mergeCells>
  <phoneticPr fontId="4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5DB65-F86B-454E-A7B0-1C89B9B50696}">
  <dimension ref="A1:BO76"/>
  <sheetViews>
    <sheetView topLeftCell="AX13" zoomScale="82" zoomScaleNormal="70" workbookViewId="0">
      <selection activeCell="BE34" sqref="BE34"/>
    </sheetView>
  </sheetViews>
  <sheetFormatPr baseColWidth="10" defaultColWidth="9.1640625" defaultRowHeight="15"/>
  <cols>
    <col min="1" max="2" width="9.1640625" style="19"/>
    <col min="3" max="3" width="21.5" style="19" customWidth="1"/>
    <col min="4" max="4" width="10.1640625" style="19" customWidth="1"/>
    <col min="5" max="5" width="24.5" style="19" customWidth="1"/>
    <col min="6" max="6" width="15" style="19" customWidth="1"/>
    <col min="7" max="7" width="19.5" style="19" customWidth="1"/>
    <col min="8" max="8" width="8.1640625" style="19" customWidth="1"/>
    <col min="9" max="9" width="17.5" style="19" customWidth="1"/>
    <col min="10" max="11" width="9.1640625" style="19"/>
    <col min="12" max="15" width="9.1640625" style="17"/>
    <col min="16" max="16" width="16.33203125" style="17" customWidth="1"/>
    <col min="17" max="17" width="14.5" style="17" customWidth="1"/>
    <col min="18" max="18" width="16.33203125" style="17" customWidth="1"/>
    <col min="19" max="19" width="16.1640625" style="17" customWidth="1"/>
    <col min="20" max="20" width="12" style="19" customWidth="1"/>
    <col min="21" max="21" width="10.33203125" style="19" customWidth="1"/>
    <col min="22" max="23" width="9.1640625" style="17"/>
    <col min="24" max="25" width="16.6640625" style="17" customWidth="1"/>
    <col min="26" max="27" width="17.6640625" style="17" customWidth="1"/>
    <col min="28" max="28" width="14.83203125" style="17" customWidth="1"/>
    <col min="29" max="29" width="9.6640625" style="17" customWidth="1"/>
    <col min="30" max="30" width="12.5" style="17" bestFit="1" customWidth="1"/>
    <col min="31" max="32" width="9.1640625" style="17"/>
    <col min="33" max="34" width="16.6640625" style="17" customWidth="1"/>
    <col min="35" max="36" width="17.6640625" style="17" customWidth="1"/>
    <col min="37" max="37" width="14.83203125" style="17" customWidth="1"/>
    <col min="38" max="38" width="9.6640625" style="17" customWidth="1"/>
    <col min="39" max="39" width="9.6640625" style="22" customWidth="1"/>
    <col min="40" max="40" width="9.6640625" style="19" customWidth="1"/>
    <col min="41" max="41" width="11.5" style="17" customWidth="1"/>
    <col min="42" max="42" width="11" style="17" customWidth="1"/>
    <col min="43" max="43" width="11.1640625" style="17" customWidth="1"/>
    <col min="44" max="45" width="9.1640625" style="17"/>
    <col min="46" max="46" width="12" style="17" customWidth="1"/>
    <col min="47" max="52" width="9.1640625" style="17"/>
    <col min="53" max="53" width="15.83203125" style="17" customWidth="1"/>
    <col min="54" max="54" width="9.1640625" style="17"/>
    <col min="55" max="55" width="28.1640625" style="17" customWidth="1"/>
    <col min="56" max="56" width="18.6640625" style="17" customWidth="1"/>
    <col min="57" max="57" width="24.6640625" style="17" customWidth="1"/>
    <col min="58" max="58" width="19.33203125" style="17" customWidth="1"/>
    <col min="59" max="60" width="9.1640625" style="17"/>
    <col min="61" max="62" width="26.5" style="17" customWidth="1"/>
    <col min="63" max="63" width="28" style="17" customWidth="1"/>
    <col min="64" max="64" width="28.5" style="17" customWidth="1"/>
    <col min="65" max="65" width="26.6640625" style="17" customWidth="1"/>
    <col min="66" max="66" width="28.5" style="17" customWidth="1"/>
    <col min="67" max="67" width="13.83203125" style="17" bestFit="1" customWidth="1"/>
    <col min="68" max="68" width="12.33203125" style="17" bestFit="1" customWidth="1"/>
    <col min="69" max="16384" width="9.1640625" style="17"/>
  </cols>
  <sheetData>
    <row r="1" spans="1:67">
      <c r="A1" s="46" t="s">
        <v>124</v>
      </c>
      <c r="B1" s="46"/>
      <c r="C1" s="46"/>
      <c r="D1" s="46"/>
      <c r="E1" s="46"/>
      <c r="F1" s="46"/>
      <c r="G1" s="46"/>
      <c r="H1" s="46"/>
      <c r="I1" s="46"/>
      <c r="L1" s="41" t="s">
        <v>121</v>
      </c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1"/>
      <c r="AN1" s="41" t="s">
        <v>122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BA1" s="41" t="s">
        <v>123</v>
      </c>
      <c r="BB1" s="41"/>
      <c r="BC1" s="41"/>
      <c r="BD1" s="41"/>
      <c r="BE1" s="41"/>
      <c r="BF1" s="41"/>
      <c r="BG1" s="41"/>
      <c r="BI1" s="22"/>
      <c r="BJ1" s="22"/>
      <c r="BK1" s="22"/>
      <c r="BL1" s="22"/>
      <c r="BM1" s="22"/>
      <c r="BN1" s="22"/>
      <c r="BO1" s="22"/>
    </row>
    <row r="2" spans="1:67">
      <c r="A2" s="19" t="str">
        <f>'Ladder Standards'!X1</f>
        <v>Standard Titer</v>
      </c>
      <c r="B2" s="3"/>
      <c r="C2" s="38" t="str">
        <f>'Ladder Standards'!Z2</f>
        <v>Gel 1: Image 42</v>
      </c>
      <c r="D2" s="29"/>
      <c r="E2" s="37" t="s">
        <v>59</v>
      </c>
      <c r="F2" s="18"/>
      <c r="G2" s="18" t="s">
        <v>108</v>
      </c>
      <c r="H2" s="24"/>
      <c r="I2" s="24" t="s">
        <v>125</v>
      </c>
      <c r="L2" s="41" t="s">
        <v>33</v>
      </c>
      <c r="M2" s="41"/>
      <c r="N2" s="41" t="s">
        <v>0</v>
      </c>
      <c r="O2" s="41" t="s">
        <v>1</v>
      </c>
      <c r="P2" s="41" t="s">
        <v>39</v>
      </c>
      <c r="Q2" s="41"/>
      <c r="R2" s="41"/>
      <c r="S2" s="41"/>
      <c r="W2" s="17" t="s">
        <v>0</v>
      </c>
      <c r="X2" s="17" t="s">
        <v>1</v>
      </c>
      <c r="Y2" s="41" t="s">
        <v>39</v>
      </c>
      <c r="Z2" s="41"/>
      <c r="AA2" s="41"/>
      <c r="AF2" s="17" t="s">
        <v>0</v>
      </c>
      <c r="AG2" s="17" t="s">
        <v>1</v>
      </c>
      <c r="AH2" s="41" t="s">
        <v>39</v>
      </c>
      <c r="AI2" s="41"/>
      <c r="AJ2" s="41"/>
      <c r="AO2" s="41" t="s">
        <v>119</v>
      </c>
      <c r="AP2" s="41"/>
      <c r="AQ2" s="41"/>
      <c r="AS2" s="41" t="s">
        <v>42</v>
      </c>
      <c r="AT2" s="41"/>
      <c r="AU2" s="41"/>
      <c r="AW2" s="41" t="s">
        <v>87</v>
      </c>
      <c r="AX2" s="41"/>
      <c r="AY2" s="41"/>
      <c r="BA2" s="41" t="s">
        <v>106</v>
      </c>
      <c r="BB2" s="41"/>
      <c r="BC2" s="46" t="s">
        <v>50</v>
      </c>
      <c r="BD2" s="46"/>
      <c r="BE2" s="46"/>
      <c r="BF2" s="46"/>
      <c r="BG2" s="46"/>
      <c r="BI2" s="46"/>
      <c r="BJ2" s="46"/>
      <c r="BK2" s="46"/>
      <c r="BL2" s="46"/>
      <c r="BM2" s="46"/>
      <c r="BN2" s="46"/>
      <c r="BO2" s="46"/>
    </row>
    <row r="3" spans="1:67">
      <c r="A3" s="19" t="str">
        <f>'Ladder Standards'!X2</f>
        <v>Ladder Band</v>
      </c>
      <c r="B3" s="3" t="str">
        <f>'Ladder Standards'!Y2</f>
        <v>Mass (ng</v>
      </c>
      <c r="C3" s="3"/>
      <c r="D3" s="7" t="str">
        <f>'Ladder Standards'!AA2</f>
        <v>Mass (ng)</v>
      </c>
      <c r="E3" s="7" t="str">
        <f>'Ladder Standards'!AB2</f>
        <v xml:space="preserve"> Gel 2: Image 62</v>
      </c>
      <c r="F3" s="18" t="str">
        <f>'Ladder Standards'!AC2</f>
        <v>Mass</v>
      </c>
      <c r="G3" s="18" t="str">
        <f>'Ladder Standards'!AD2</f>
        <v>Gel 3: Image 78</v>
      </c>
      <c r="H3" s="24" t="str">
        <f>'Ladder Standards'!AF2</f>
        <v>Mass (ng</v>
      </c>
      <c r="I3" s="24" t="s">
        <v>86</v>
      </c>
      <c r="L3" s="19" t="s">
        <v>34</v>
      </c>
      <c r="M3" s="17" t="s">
        <v>35</v>
      </c>
      <c r="N3" s="41"/>
      <c r="O3" s="41"/>
      <c r="P3" s="17" t="s">
        <v>36</v>
      </c>
      <c r="Q3" s="13" t="s">
        <v>29</v>
      </c>
      <c r="R3" s="17" t="s">
        <v>40</v>
      </c>
      <c r="S3" s="19" t="s">
        <v>48</v>
      </c>
      <c r="T3" s="19" t="s">
        <v>49</v>
      </c>
      <c r="Y3" s="17" t="s">
        <v>36</v>
      </c>
      <c r="Z3" s="13" t="s">
        <v>29</v>
      </c>
      <c r="AA3" s="17" t="s">
        <v>40</v>
      </c>
      <c r="AB3" s="19" t="s">
        <v>48</v>
      </c>
      <c r="AC3" s="19" t="s">
        <v>49</v>
      </c>
      <c r="AH3" s="17" t="s">
        <v>36</v>
      </c>
      <c r="AI3" s="13" t="s">
        <v>29</v>
      </c>
      <c r="AJ3" s="17" t="s">
        <v>40</v>
      </c>
      <c r="AK3" s="19" t="s">
        <v>48</v>
      </c>
      <c r="AL3" s="19" t="s">
        <v>49</v>
      </c>
      <c r="AN3" s="19" t="s">
        <v>118</v>
      </c>
      <c r="AP3" s="17" t="s">
        <v>0</v>
      </c>
      <c r="AQ3" s="17" t="s">
        <v>55</v>
      </c>
      <c r="AT3" s="17" t="s">
        <v>0</v>
      </c>
      <c r="AU3" s="19" t="s">
        <v>55</v>
      </c>
      <c r="AV3" s="19"/>
      <c r="AX3" s="17" t="s">
        <v>0</v>
      </c>
      <c r="AY3" s="19" t="s">
        <v>55</v>
      </c>
      <c r="AZ3" s="19"/>
      <c r="BA3" s="19" t="s">
        <v>105</v>
      </c>
      <c r="BB3" s="17" t="s">
        <v>107</v>
      </c>
      <c r="BC3" s="19" t="s">
        <v>70</v>
      </c>
      <c r="BD3" s="17" t="s">
        <v>49</v>
      </c>
      <c r="BE3" s="17" t="s">
        <v>103</v>
      </c>
      <c r="BF3" s="17" t="s">
        <v>100</v>
      </c>
      <c r="BG3" s="17" t="s">
        <v>104</v>
      </c>
      <c r="BI3" s="22"/>
      <c r="BJ3" s="22"/>
      <c r="BK3" s="22"/>
      <c r="BL3" s="40"/>
      <c r="BM3" s="22"/>
      <c r="BN3" s="22"/>
      <c r="BO3" s="22"/>
    </row>
    <row r="4" spans="1:67">
      <c r="A4" s="19" t="str">
        <f>'Ladder Standards'!X3</f>
        <v>2.0 kb</v>
      </c>
      <c r="B4" s="3">
        <f>'Ladder Standards'!Y3</f>
        <v>2.5</v>
      </c>
      <c r="C4" s="3">
        <f>'Ladder Standards'!Z3</f>
        <v>5235.1130000000003</v>
      </c>
      <c r="D4" s="7"/>
      <c r="E4" s="7"/>
      <c r="F4" s="18">
        <f>'Ladder Standards'!AC3</f>
        <v>0</v>
      </c>
      <c r="G4" s="18">
        <f>'Ladder Standards'!AD3</f>
        <v>0</v>
      </c>
      <c r="H4" s="24">
        <f>'Ladder Standards'!AF3</f>
        <v>2</v>
      </c>
      <c r="I4" s="24">
        <f>'Ladder Standards'!AG3</f>
        <v>1368.0920000000001</v>
      </c>
      <c r="L4" s="46" t="s">
        <v>30</v>
      </c>
      <c r="M4" s="7" t="s">
        <v>21</v>
      </c>
      <c r="N4" s="7" t="s">
        <v>4</v>
      </c>
      <c r="O4" s="7">
        <v>1767.355</v>
      </c>
      <c r="P4" s="11" t="s">
        <v>120</v>
      </c>
      <c r="Q4" s="11">
        <f t="shared" ref="Q4:Q9" si="0">(O4-10.323)/1251.7</f>
        <v>1.4037165454981224</v>
      </c>
      <c r="R4" s="11">
        <f t="shared" ref="R4:R9" si="1">(O4+192.21)/1125.4</f>
        <v>1.7412164563710679</v>
      </c>
      <c r="S4" s="11">
        <f>AVERAGE(P4:R4)</f>
        <v>1.5724665009345951</v>
      </c>
      <c r="T4" s="11">
        <f>_xlfn.STDEV.P(P4:R4)</f>
        <v>0.16874995543647439</v>
      </c>
      <c r="V4" s="18" t="s">
        <v>21</v>
      </c>
      <c r="W4" s="18" t="s">
        <v>4</v>
      </c>
      <c r="X4" s="18">
        <v>4117.4059999999999</v>
      </c>
      <c r="Y4" s="15" t="s">
        <v>120</v>
      </c>
      <c r="Z4" s="15">
        <f t="shared" ref="Z4:Z9" si="2">(X4-155.43)/1634.8</f>
        <v>2.4235233667726939</v>
      </c>
      <c r="AA4" s="15">
        <f t="shared" ref="AA4:AA9" si="3">(X4+35.252)/1231.8</f>
        <v>3.3712112355901938</v>
      </c>
      <c r="AB4" s="15">
        <f t="shared" ref="AB4:AB9" si="4">AVERAGE(Y4:AA4)</f>
        <v>2.8973673011814438</v>
      </c>
      <c r="AC4" s="15">
        <f t="shared" ref="AC4:AC9" si="5">_xlfn.STDEV.P(Y4:AA4)</f>
        <v>0.47384393440875056</v>
      </c>
      <c r="AE4" s="24" t="s">
        <v>21</v>
      </c>
      <c r="AF4" s="24" t="s">
        <v>4</v>
      </c>
      <c r="AG4" s="24">
        <v>1885.627</v>
      </c>
      <c r="AH4" s="28" t="s">
        <v>120</v>
      </c>
      <c r="AI4" s="28">
        <f t="shared" ref="AI4:AI21" si="6">(AG4+201.15)/777.02</f>
        <v>2.6856155568711233</v>
      </c>
      <c r="AJ4" s="28">
        <f t="shared" ref="AJ4:AJ21" si="7">(AG4+189.6)/698.1</f>
        <v>2.9726786993267438</v>
      </c>
      <c r="AK4" s="28">
        <f>AVERAGE(AH4:AJ4)</f>
        <v>2.8291471280989335</v>
      </c>
      <c r="AL4" s="28">
        <f>_xlfn.STDEV.P(AH4:AJ4)</f>
        <v>0.14353157122781024</v>
      </c>
      <c r="AM4" s="14"/>
      <c r="AN4" s="47" t="s">
        <v>26</v>
      </c>
      <c r="AO4" s="11">
        <f>SUM(S4:S5)</f>
        <v>3.2339006614058015</v>
      </c>
      <c r="AP4" s="17">
        <v>0.04</v>
      </c>
      <c r="AQ4" s="17">
        <f>AO4/AP4</f>
        <v>80.847516535145033</v>
      </c>
      <c r="AS4" s="15">
        <f>SUM(AB4:AB5)</f>
        <v>5.5873895730001077</v>
      </c>
      <c r="AT4" s="17">
        <v>0.04</v>
      </c>
      <c r="AU4" s="17">
        <f>AS4/AT4</f>
        <v>139.68473932500268</v>
      </c>
      <c r="AV4" s="19"/>
      <c r="AW4" s="28">
        <f>SUM(AK4:AK5)</f>
        <v>6.1173146148543065</v>
      </c>
      <c r="AX4" s="19">
        <v>0.04</v>
      </c>
      <c r="AY4" s="19">
        <f>AW4/AX4</f>
        <v>152.93286537135765</v>
      </c>
      <c r="AZ4" s="19"/>
      <c r="BA4" s="49">
        <v>0.6</v>
      </c>
      <c r="BB4" s="30" t="s">
        <v>56</v>
      </c>
      <c r="BC4" s="34">
        <f>AVERAGE(AU36:AU38,AQ36:AQ38)</f>
        <v>122.95736363699802</v>
      </c>
      <c r="BD4" s="34">
        <f>_xlfn.STDEV.P(AU36:AU38,AQ36:AQ38)</f>
        <v>28.143378974724474</v>
      </c>
      <c r="BE4" s="36">
        <v>813</v>
      </c>
      <c r="BF4" s="34">
        <f>BC4*10^-9/((BE4*617.96)+36.04)*10^6*10^9</f>
        <v>244.72169920152069</v>
      </c>
      <c r="BG4" s="34">
        <f t="shared" ref="BG4:BG12" si="8">BD4*10^-9/((BE4*617.96)+36.04)*10^6*10^9</f>
        <v>56.013688975147545</v>
      </c>
      <c r="BI4" s="14"/>
      <c r="BJ4" s="40"/>
      <c r="BK4" s="40"/>
      <c r="BL4" s="40"/>
      <c r="BM4" s="14"/>
      <c r="BN4" s="40"/>
      <c r="BO4" s="40"/>
    </row>
    <row r="5" spans="1:67">
      <c r="B5" s="3">
        <f>'Ladder Standards'!Y4</f>
        <v>1.25</v>
      </c>
      <c r="C5" s="3">
        <f>'Ladder Standards'!Z4</f>
        <v>2061.87</v>
      </c>
      <c r="D5" s="7">
        <f>'Ladder Standards'!AA3</f>
        <v>0</v>
      </c>
      <c r="E5" s="7">
        <f>'Ladder Standards'!AB3</f>
        <v>0</v>
      </c>
      <c r="F5" s="18">
        <f>'Ladder Standards'!AC4</f>
        <v>2</v>
      </c>
      <c r="G5" s="18">
        <f>'Ladder Standards'!AD4</f>
        <v>2420.335</v>
      </c>
      <c r="H5" s="24">
        <f>'Ladder Standards'!AF4</f>
        <v>1</v>
      </c>
      <c r="I5" s="24">
        <f>'Ladder Standards'!AG4</f>
        <v>494.971</v>
      </c>
      <c r="L5" s="46"/>
      <c r="M5" s="7"/>
      <c r="N5" s="7"/>
      <c r="O5" s="7">
        <v>1872.799</v>
      </c>
      <c r="P5" s="11" t="s">
        <v>120</v>
      </c>
      <c r="Q5" s="11">
        <f t="shared" si="0"/>
        <v>1.4879571782375967</v>
      </c>
      <c r="R5" s="11">
        <f t="shared" si="1"/>
        <v>1.8349111427048159</v>
      </c>
      <c r="S5" s="11">
        <f t="shared" ref="S5:S9" si="9">AVERAGE(P5:R5)</f>
        <v>1.6614341604712064</v>
      </c>
      <c r="T5" s="11">
        <f t="shared" ref="T5:T9" si="10">_xlfn.STDEV.P(P5:R5)</f>
        <v>0.17347698223360858</v>
      </c>
      <c r="V5" s="18"/>
      <c r="W5" s="18"/>
      <c r="X5" s="18">
        <v>3826.0920000000001</v>
      </c>
      <c r="Y5" s="15" t="s">
        <v>120</v>
      </c>
      <c r="Z5" s="15">
        <f t="shared" si="2"/>
        <v>2.2453278688524594</v>
      </c>
      <c r="AA5" s="15">
        <f t="shared" si="3"/>
        <v>3.134716674784868</v>
      </c>
      <c r="AB5" s="15">
        <f t="shared" si="4"/>
        <v>2.6900222718186635</v>
      </c>
      <c r="AC5" s="15">
        <f t="shared" si="5"/>
        <v>0.44469440296620627</v>
      </c>
      <c r="AE5" s="24"/>
      <c r="AF5" s="24"/>
      <c r="AG5" s="24">
        <v>2223.2130000000002</v>
      </c>
      <c r="AH5" s="28" t="s">
        <v>120</v>
      </c>
      <c r="AI5" s="28">
        <f t="shared" si="6"/>
        <v>3.1200779902705214</v>
      </c>
      <c r="AJ5" s="28">
        <f t="shared" si="7"/>
        <v>3.4562569832402237</v>
      </c>
      <c r="AK5" s="28">
        <f t="shared" ref="AK5:AK15" si="11">AVERAGE(AH5:AJ5)</f>
        <v>3.2881674867553725</v>
      </c>
      <c r="AL5" s="28">
        <f t="shared" ref="AL5:AL15" si="12">_xlfn.STDEV.P(AH5:AJ5)</f>
        <v>0.16808949648485116</v>
      </c>
      <c r="AM5" s="14"/>
      <c r="AN5" s="47"/>
      <c r="AO5" s="7"/>
      <c r="AS5" s="18"/>
      <c r="AV5" s="19"/>
      <c r="AW5" s="24"/>
      <c r="AX5" s="19"/>
      <c r="AY5" s="19"/>
      <c r="AZ5" s="19"/>
      <c r="BA5" s="49"/>
      <c r="BB5" s="30" t="s">
        <v>57</v>
      </c>
      <c r="BC5" s="34">
        <f>AVERAGE(AU40:AU41,AQ39:AQ41)</f>
        <v>162.88370856576586</v>
      </c>
      <c r="BD5" s="34">
        <f>_xlfn.STDEV.P(AU40:AU41,AQ39:AQ41)</f>
        <v>37.575535856207836</v>
      </c>
      <c r="BE5" s="36">
        <v>790</v>
      </c>
      <c r="BF5" s="34">
        <f t="shared" ref="BF5" si="13">BC5*10^-9/((BE5*617.96)+36.04)*10^6*10^9</f>
        <v>333.62465132996181</v>
      </c>
      <c r="BG5" s="34">
        <f t="shared" si="8"/>
        <v>76.963651914287269</v>
      </c>
      <c r="BI5" s="14"/>
      <c r="BJ5" s="40"/>
      <c r="BK5" s="40"/>
      <c r="BL5" s="40"/>
      <c r="BM5" s="14"/>
      <c r="BN5" s="40"/>
      <c r="BO5" s="40"/>
    </row>
    <row r="6" spans="1:67">
      <c r="B6" s="3">
        <f>'Ladder Standards'!Y5</f>
        <v>0.625</v>
      </c>
      <c r="C6" s="3">
        <f>'Ladder Standards'!Z5</f>
        <v>989.92</v>
      </c>
      <c r="D6" s="7">
        <f>'Ladder Standards'!AA4</f>
        <v>0</v>
      </c>
      <c r="E6" s="7">
        <f>'Ladder Standards'!AB4</f>
        <v>0</v>
      </c>
      <c r="F6" s="18">
        <f>'Ladder Standards'!AC5</f>
        <v>1</v>
      </c>
      <c r="G6" s="18">
        <f>'Ladder Standards'!AD5</f>
        <v>1083.5060000000001</v>
      </c>
      <c r="H6" s="24">
        <f>'Ladder Standards'!AF5</f>
        <v>0.5</v>
      </c>
      <c r="I6" s="24">
        <f>'Ladder Standards'!AG5</f>
        <v>177.435</v>
      </c>
      <c r="L6" s="46"/>
      <c r="M6" s="7"/>
      <c r="N6" s="7" t="s">
        <v>5</v>
      </c>
      <c r="O6" s="7">
        <v>897.33500000000004</v>
      </c>
      <c r="P6" s="11">
        <f>(O6+62.309)/1230.2</f>
        <v>0.78007153308405131</v>
      </c>
      <c r="Q6" s="11">
        <f t="shared" si="0"/>
        <v>0.70864584165534872</v>
      </c>
      <c r="R6" s="11">
        <f t="shared" si="1"/>
        <v>0.96814021681180018</v>
      </c>
      <c r="S6" s="11">
        <f t="shared" si="9"/>
        <v>0.81895253051706673</v>
      </c>
      <c r="T6" s="11">
        <f t="shared" si="10"/>
        <v>0.10944749625733399</v>
      </c>
      <c r="V6" s="18"/>
      <c r="W6" s="18" t="s">
        <v>5</v>
      </c>
      <c r="X6" s="18">
        <v>1733.0419999999999</v>
      </c>
      <c r="Y6" s="15">
        <f>(X6+33.574)/1199.1</f>
        <v>1.4732849637227923</v>
      </c>
      <c r="Z6" s="15">
        <f t="shared" si="2"/>
        <v>0.96501835086860777</v>
      </c>
      <c r="AA6" s="15">
        <f t="shared" si="3"/>
        <v>1.4355366130865399</v>
      </c>
      <c r="AB6" s="15">
        <f t="shared" si="4"/>
        <v>1.2912799758926468</v>
      </c>
      <c r="AC6" s="15">
        <f t="shared" si="5"/>
        <v>0.23121594591266692</v>
      </c>
      <c r="AE6" s="24"/>
      <c r="AF6" s="24" t="s">
        <v>5</v>
      </c>
      <c r="AG6" s="24">
        <v>667.09199999999998</v>
      </c>
      <c r="AH6" s="28">
        <f t="shared" ref="AH6:AH21" si="14">(AG6+74.801)/683.87</f>
        <v>1.0848450728939711</v>
      </c>
      <c r="AI6" s="28">
        <f t="shared" si="6"/>
        <v>1.1173998095287123</v>
      </c>
      <c r="AJ6" s="28">
        <f t="shared" si="7"/>
        <v>1.227176622260421</v>
      </c>
      <c r="AK6" s="28">
        <f t="shared" si="11"/>
        <v>1.143140501561035</v>
      </c>
      <c r="AL6" s="28">
        <f t="shared" si="12"/>
        <v>6.0890639160113336E-2</v>
      </c>
      <c r="AM6" s="14"/>
      <c r="AN6" s="47"/>
      <c r="AO6" s="11">
        <f>SUM(S6:S7)</f>
        <v>1.6199557929289385</v>
      </c>
      <c r="AP6" s="17">
        <v>0.02</v>
      </c>
      <c r="AQ6" s="17">
        <f t="shared" ref="AQ6:AQ14" si="15">AO6/AP6</f>
        <v>80.997789646446932</v>
      </c>
      <c r="AS6" s="15">
        <f>SUM(AB6:AB7)</f>
        <v>2.5126158661365166</v>
      </c>
      <c r="AT6" s="17">
        <v>0.02</v>
      </c>
      <c r="AU6" s="17">
        <f t="shared" ref="AU6:AU8" si="16">AS6/AT6</f>
        <v>125.63079330682582</v>
      </c>
      <c r="AV6" s="19"/>
      <c r="AW6" s="28">
        <f>SUM(AK6:AK7)</f>
        <v>2.6168034839520877</v>
      </c>
      <c r="AX6" s="19">
        <v>0.02</v>
      </c>
      <c r="AY6" s="19">
        <f>AW6/AX6</f>
        <v>130.84017419760437</v>
      </c>
      <c r="AZ6" s="19"/>
      <c r="BA6" s="49"/>
      <c r="BB6" s="30" t="s">
        <v>58</v>
      </c>
      <c r="BC6" s="34">
        <f>AVERAGE(AU42:AU44)</f>
        <v>84.007678384913177</v>
      </c>
      <c r="BD6" s="34">
        <f>_xlfn.STDEV.P(AU42:AU44)</f>
        <v>21.806787148730628</v>
      </c>
      <c r="BE6" s="36">
        <v>1099</v>
      </c>
      <c r="BF6" s="34">
        <f>BC6*10^-9/((BE6*617.96)+36.04)*10^6*10^9</f>
        <v>123.69093706419594</v>
      </c>
      <c r="BG6" s="34">
        <f t="shared" si="8"/>
        <v>32.107802389529688</v>
      </c>
      <c r="BI6" s="14"/>
      <c r="BJ6" s="40"/>
      <c r="BK6" s="40"/>
      <c r="BL6" s="40"/>
      <c r="BM6" s="14"/>
      <c r="BN6" s="40"/>
      <c r="BO6" s="40"/>
    </row>
    <row r="7" spans="1:67">
      <c r="B7" s="3">
        <f>'Ladder Standards'!Y6</f>
        <v>0.3125</v>
      </c>
      <c r="C7" s="3">
        <f>'Ladder Standards'!Z6</f>
        <v>447.971</v>
      </c>
      <c r="D7" s="7">
        <f>'Ladder Standards'!AA5</f>
        <v>1.25</v>
      </c>
      <c r="E7" s="7">
        <f>'Ladder Standards'!AB5</f>
        <v>1543.92</v>
      </c>
      <c r="F7" s="18">
        <f>'Ladder Standards'!AC6</f>
        <v>0.5</v>
      </c>
      <c r="G7" s="18">
        <f>'Ladder Standards'!AD6</f>
        <v>466.971</v>
      </c>
      <c r="H7" s="24">
        <f>'Ladder Standards'!AF6</f>
        <v>0.25</v>
      </c>
      <c r="I7" s="24">
        <f>'Ladder Standards'!AG6</f>
        <v>111.31399999999999</v>
      </c>
      <c r="L7" s="46"/>
      <c r="M7" s="7"/>
      <c r="N7" s="7"/>
      <c r="O7" s="7">
        <v>875.79899999999998</v>
      </c>
      <c r="P7" s="11">
        <f>(O7+62.309)/1230.2</f>
        <v>0.7625654365143878</v>
      </c>
      <c r="Q7" s="11">
        <f t="shared" si="0"/>
        <v>0.6914404410002396</v>
      </c>
      <c r="R7" s="11">
        <f t="shared" si="1"/>
        <v>0.94900390972098803</v>
      </c>
      <c r="S7" s="11">
        <f t="shared" si="9"/>
        <v>0.80100326241187181</v>
      </c>
      <c r="T7" s="11">
        <f t="shared" si="10"/>
        <v>0.10860581614155553</v>
      </c>
      <c r="V7" s="18"/>
      <c r="W7" s="18"/>
      <c r="X7" s="18">
        <v>1640.0920000000001</v>
      </c>
      <c r="Y7" s="15">
        <f>(X7+33.574)/1199.1</f>
        <v>1.3957684930364442</v>
      </c>
      <c r="Z7" s="15">
        <f t="shared" si="2"/>
        <v>0.90816124296550038</v>
      </c>
      <c r="AA7" s="15">
        <f t="shared" si="3"/>
        <v>1.3600779347296641</v>
      </c>
      <c r="AB7" s="15">
        <f t="shared" si="4"/>
        <v>1.2213358902438696</v>
      </c>
      <c r="AC7" s="15">
        <f t="shared" si="5"/>
        <v>0.22192675032017581</v>
      </c>
      <c r="AE7" s="24"/>
      <c r="AF7" s="24"/>
      <c r="AG7" s="24">
        <v>904.21299999999997</v>
      </c>
      <c r="AH7" s="28">
        <f t="shared" si="14"/>
        <v>1.4315791012911812</v>
      </c>
      <c r="AI7" s="28">
        <f t="shared" si="6"/>
        <v>1.4225669866927493</v>
      </c>
      <c r="AJ7" s="28">
        <f t="shared" si="7"/>
        <v>1.5668428591892276</v>
      </c>
      <c r="AK7" s="28">
        <f t="shared" si="11"/>
        <v>1.4736629823910528</v>
      </c>
      <c r="AL7" s="28">
        <f t="shared" si="12"/>
        <v>6.5990765174510649E-2</v>
      </c>
      <c r="AM7" s="14"/>
      <c r="AN7" s="47"/>
      <c r="AO7" s="7"/>
      <c r="AS7" s="18"/>
      <c r="AV7" s="19"/>
      <c r="AW7" s="24"/>
      <c r="AX7" s="19"/>
      <c r="AY7" s="19"/>
      <c r="AZ7" s="19"/>
      <c r="BA7" s="49">
        <v>1</v>
      </c>
      <c r="BB7" s="30" t="s">
        <v>56</v>
      </c>
      <c r="BC7" s="34">
        <f>AVERAGE(AY24:AY26,AQ24:AQ26)</f>
        <v>95.635822073408576</v>
      </c>
      <c r="BD7" s="34">
        <f>_xlfn.STDEV.P(AQ24:AQ26,AY24:AY26)</f>
        <v>22.067004933675459</v>
      </c>
      <c r="BE7" s="36">
        <v>1199</v>
      </c>
      <c r="BF7" s="34">
        <f t="shared" ref="BF7:BF12" si="17">BC7*10^-9/((BE7*617.96)+36.04)*10^6*10^9</f>
        <v>129.06839919016511</v>
      </c>
      <c r="BG7" s="34">
        <f t="shared" si="8"/>
        <v>29.781236151499471</v>
      </c>
      <c r="BI7" s="14"/>
      <c r="BJ7" s="40"/>
      <c r="BK7" s="40"/>
      <c r="BL7" s="40"/>
      <c r="BM7" s="14"/>
      <c r="BN7" s="40"/>
      <c r="BO7" s="40"/>
    </row>
    <row r="8" spans="1:67">
      <c r="B8" s="3">
        <f>'Ladder Standards'!Y7</f>
        <v>0.15625</v>
      </c>
      <c r="C8" s="3">
        <f>'Ladder Standards'!Z7</f>
        <v>247.38499999999999</v>
      </c>
      <c r="D8" s="7">
        <f>'Ladder Standards'!AA6</f>
        <v>0.625</v>
      </c>
      <c r="E8" s="7">
        <f>'Ladder Standards'!AB6</f>
        <v>559.09199999999998</v>
      </c>
      <c r="F8" s="18">
        <f>'Ladder Standards'!AC7</f>
        <v>0.25</v>
      </c>
      <c r="G8" s="18">
        <f>'Ladder Standards'!AD7</f>
        <v>335.55599999999998</v>
      </c>
      <c r="H8" s="24">
        <f>'Ladder Standards'!AF7</f>
        <v>0.125</v>
      </c>
      <c r="I8" s="24">
        <f>'Ladder Standards'!AG7</f>
        <v>49.363999999999997</v>
      </c>
      <c r="L8" s="46"/>
      <c r="M8" s="7"/>
      <c r="N8" s="7" t="s">
        <v>6</v>
      </c>
      <c r="O8" s="7">
        <v>363.38499999999999</v>
      </c>
      <c r="P8" s="11">
        <f>(O8+62.309)/1230.2</f>
        <v>0.34603641684278974</v>
      </c>
      <c r="Q8" s="11">
        <f t="shared" si="0"/>
        <v>0.28206599025325557</v>
      </c>
      <c r="R8" s="11">
        <f t="shared" si="1"/>
        <v>0.49368668917718145</v>
      </c>
      <c r="S8" s="11">
        <f t="shared" si="9"/>
        <v>0.37392969875774223</v>
      </c>
      <c r="T8" s="11">
        <f t="shared" si="10"/>
        <v>8.861661407528891E-2</v>
      </c>
      <c r="V8" s="18"/>
      <c r="W8" s="18" t="s">
        <v>6</v>
      </c>
      <c r="X8" s="18">
        <v>532.09199999999998</v>
      </c>
      <c r="Y8" s="15">
        <f>(X8+33.574)/1199.1</f>
        <v>0.47174213993828701</v>
      </c>
      <c r="Z8" s="15">
        <f t="shared" si="2"/>
        <v>0.23040249571813065</v>
      </c>
      <c r="AA8" s="15">
        <f t="shared" si="3"/>
        <v>0.4605812631920766</v>
      </c>
      <c r="AB8" s="15">
        <f t="shared" si="4"/>
        <v>0.38757529961616477</v>
      </c>
      <c r="AC8" s="15">
        <f t="shared" si="5"/>
        <v>0.11123131755134869</v>
      </c>
      <c r="AE8" s="24"/>
      <c r="AF8" s="24" t="s">
        <v>6</v>
      </c>
      <c r="AG8" s="24">
        <v>304.971</v>
      </c>
      <c r="AH8" s="28">
        <f t="shared" si="14"/>
        <v>0.55532776697325514</v>
      </c>
      <c r="AI8" s="28">
        <f t="shared" si="6"/>
        <v>0.65136161231371137</v>
      </c>
      <c r="AJ8" s="28">
        <f t="shared" si="7"/>
        <v>0.70845294370434042</v>
      </c>
      <c r="AK8" s="28">
        <f t="shared" si="11"/>
        <v>0.63838077433043561</v>
      </c>
      <c r="AL8" s="28">
        <f t="shared" si="12"/>
        <v>6.3183365708033026E-2</v>
      </c>
      <c r="AM8" s="14"/>
      <c r="AN8" s="47"/>
      <c r="AO8" s="11">
        <f>SUM(S8:S9)</f>
        <v>0.78404297503772313</v>
      </c>
      <c r="AP8" s="17">
        <v>0.01</v>
      </c>
      <c r="AQ8" s="17">
        <f t="shared" si="15"/>
        <v>78.404297503772312</v>
      </c>
      <c r="AS8" s="15">
        <f>SUM(AB8:AB9)</f>
        <v>0.77603176678794794</v>
      </c>
      <c r="AT8" s="17">
        <v>0.01</v>
      </c>
      <c r="AU8" s="17">
        <f t="shared" si="16"/>
        <v>77.603176678794796</v>
      </c>
      <c r="AV8" s="19"/>
      <c r="AW8" s="28">
        <f>SUM(AK8:AK9)</f>
        <v>1.3669565046836105</v>
      </c>
      <c r="AX8" s="19">
        <v>0.01</v>
      </c>
      <c r="AY8" s="19">
        <f>AW8/AX8</f>
        <v>136.69565046836104</v>
      </c>
      <c r="AZ8" s="19"/>
      <c r="BA8" s="49"/>
      <c r="BB8" s="30" t="s">
        <v>57</v>
      </c>
      <c r="BC8" s="34">
        <f>AVERAGE(AY27:AY29,AQ27:AQ29)</f>
        <v>27.211163568007077</v>
      </c>
      <c r="BD8" s="34">
        <f>_xlfn.STDEV.P(AQ27:AQ29,AY27:AY29)</f>
        <v>6.327434145749752</v>
      </c>
      <c r="BE8" s="36">
        <v>1176</v>
      </c>
      <c r="BF8" s="34">
        <f t="shared" si="17"/>
        <v>37.44190089398117</v>
      </c>
      <c r="BG8" s="34">
        <f t="shared" si="8"/>
        <v>8.7063958733796181</v>
      </c>
      <c r="BI8" s="14"/>
      <c r="BJ8" s="40"/>
      <c r="BK8" s="40"/>
      <c r="BL8" s="40"/>
      <c r="BM8" s="14"/>
      <c r="BN8" s="40"/>
      <c r="BO8" s="40"/>
    </row>
    <row r="9" spans="1:67">
      <c r="B9" s="3">
        <f>'Ladder Standards'!Y8</f>
        <v>0</v>
      </c>
      <c r="C9" s="3">
        <f>'Ladder Standards'!Z8</f>
        <v>0</v>
      </c>
      <c r="D9" s="7">
        <f>'Ladder Standards'!AA7</f>
        <v>0.3125</v>
      </c>
      <c r="E9" s="7">
        <f>'Ladder Standards'!AB7</f>
        <v>347.38499999999999</v>
      </c>
      <c r="F9" s="18">
        <f>'Ladder Standards'!AC8</f>
        <v>0.125</v>
      </c>
      <c r="G9" s="18">
        <f>'Ladder Standards'!AD8</f>
        <v>138.72800000000001</v>
      </c>
      <c r="H9" s="24">
        <f>'Ladder Standards'!AF8</f>
        <v>0</v>
      </c>
      <c r="I9" s="24">
        <f>'Ladder Standards'!AG8</f>
        <v>0</v>
      </c>
      <c r="L9" s="46"/>
      <c r="M9" s="7"/>
      <c r="N9" s="7"/>
      <c r="O9" s="7">
        <v>406.79899999999998</v>
      </c>
      <c r="P9" s="11">
        <f>(O9+62.309)/1230.2</f>
        <v>0.3813266135587709</v>
      </c>
      <c r="Q9" s="11">
        <f t="shared" si="0"/>
        <v>0.31675001997283692</v>
      </c>
      <c r="R9" s="11">
        <f t="shared" si="1"/>
        <v>0.53226319530833477</v>
      </c>
      <c r="S9" s="11">
        <f t="shared" si="9"/>
        <v>0.41011327627998084</v>
      </c>
      <c r="T9" s="11">
        <f t="shared" si="10"/>
        <v>9.0306833070245771E-2</v>
      </c>
      <c r="V9" s="18"/>
      <c r="W9" s="18"/>
      <c r="X9" s="18">
        <v>533.26300000000003</v>
      </c>
      <c r="Y9" s="15">
        <f>(X9+33.574)/1199.1</f>
        <v>0.47271870569593866</v>
      </c>
      <c r="Z9" s="15">
        <f t="shared" si="2"/>
        <v>0.23111879128945439</v>
      </c>
      <c r="AA9" s="15">
        <f t="shared" si="3"/>
        <v>0.46153190452995618</v>
      </c>
      <c r="AB9" s="15">
        <f t="shared" si="4"/>
        <v>0.38845646717178312</v>
      </c>
      <c r="AC9" s="15">
        <f t="shared" si="5"/>
        <v>0.11134823548705604</v>
      </c>
      <c r="AE9" s="24"/>
      <c r="AF9" s="24"/>
      <c r="AG9" s="24">
        <v>369.678</v>
      </c>
      <c r="AH9" s="28">
        <f t="shared" si="14"/>
        <v>0.64994662728296315</v>
      </c>
      <c r="AI9" s="28">
        <f t="shared" si="6"/>
        <v>0.73463746106921313</v>
      </c>
      <c r="AJ9" s="28">
        <f t="shared" si="7"/>
        <v>0.80114310270734856</v>
      </c>
      <c r="AK9" s="28">
        <f t="shared" si="11"/>
        <v>0.72857573035317491</v>
      </c>
      <c r="AL9" s="28">
        <f t="shared" si="12"/>
        <v>6.1874345678126927E-2</v>
      </c>
      <c r="AM9" s="14"/>
      <c r="AN9" s="47"/>
      <c r="AO9" s="7"/>
      <c r="AS9" s="18"/>
      <c r="AT9" s="19"/>
      <c r="AU9" s="19"/>
      <c r="AV9" s="19"/>
      <c r="AW9" s="24"/>
      <c r="AX9" s="19"/>
      <c r="AY9" s="19"/>
      <c r="AZ9" s="19"/>
      <c r="BA9" s="49"/>
      <c r="BB9" s="30" t="s">
        <v>58</v>
      </c>
      <c r="BC9" s="34">
        <f>AVERAGE(AY30:AY32,AU30:AU32)</f>
        <v>21.258016818057552</v>
      </c>
      <c r="BD9" s="34">
        <f>_xlfn.STDEV.P(AU30:AU32,AY30:AY32)</f>
        <v>5.7292291420580579</v>
      </c>
      <c r="BE9" s="36">
        <v>1485</v>
      </c>
      <c r="BF9" s="34">
        <f t="shared" si="17"/>
        <v>23.164283542786126</v>
      </c>
      <c r="BG9" s="34">
        <f t="shared" si="8"/>
        <v>6.2429853858941868</v>
      </c>
      <c r="BI9" s="14"/>
      <c r="BJ9" s="40"/>
      <c r="BK9" s="40"/>
      <c r="BL9" s="40"/>
      <c r="BM9" s="14"/>
      <c r="BN9" s="40"/>
      <c r="BO9" s="40"/>
    </row>
    <row r="10" spans="1:67">
      <c r="B10" s="3">
        <f>'Ladder Standards'!Y9</f>
        <v>0</v>
      </c>
      <c r="C10" s="3">
        <f>'Ladder Standards'!Z9</f>
        <v>0</v>
      </c>
      <c r="D10" s="7">
        <f>'Ladder Standards'!AA8</f>
        <v>0.15625</v>
      </c>
      <c r="E10" s="7">
        <f>'Ladder Standards'!AB8</f>
        <v>121.31399999999999</v>
      </c>
      <c r="F10" s="18">
        <v>0</v>
      </c>
      <c r="G10" s="18">
        <v>0</v>
      </c>
      <c r="H10" s="24"/>
      <c r="I10" s="24"/>
      <c r="L10" s="46"/>
      <c r="M10" s="3" t="s">
        <v>22</v>
      </c>
      <c r="N10" s="3" t="s">
        <v>4</v>
      </c>
      <c r="O10" s="3">
        <v>3986.598</v>
      </c>
      <c r="P10" s="12">
        <f t="shared" ref="P10:P15" si="18">(O10+187.28)/2086.4</f>
        <v>2.0005166794478524</v>
      </c>
      <c r="Q10" s="12">
        <f t="shared" ref="Q10:Q15" si="19">(O10-81.184)/1012.6</f>
        <v>3.8568180920402919</v>
      </c>
      <c r="R10" s="12">
        <f t="shared" ref="R10:R15" si="20">(O10-126.91)/1016.5</f>
        <v>3.7970368912936547</v>
      </c>
      <c r="S10" s="12">
        <f t="shared" ref="S10:S15" si="21">AVERAGE(P10:R10)</f>
        <v>3.2181238875939329</v>
      </c>
      <c r="T10" s="12">
        <f t="shared" ref="T10:T15" si="22">_xlfn.STDEV.P(P10:R10)</f>
        <v>0.86132414842406002</v>
      </c>
      <c r="Y10" s="14"/>
      <c r="AA10" s="14"/>
      <c r="AB10" s="14"/>
      <c r="AC10" s="14"/>
      <c r="AE10" s="24" t="s">
        <v>22</v>
      </c>
      <c r="AF10" s="24" t="s">
        <v>4</v>
      </c>
      <c r="AG10" s="24">
        <v>1215.4559999999999</v>
      </c>
      <c r="AH10" s="28">
        <f t="shared" si="14"/>
        <v>1.8866992264611693</v>
      </c>
      <c r="AI10" s="28">
        <f t="shared" si="6"/>
        <v>1.8231268178425266</v>
      </c>
      <c r="AJ10" s="28">
        <f t="shared" si="7"/>
        <v>2.012685861624409</v>
      </c>
      <c r="AK10" s="28">
        <f t="shared" si="11"/>
        <v>1.9075039686427016</v>
      </c>
      <c r="AL10" s="28">
        <f t="shared" si="12"/>
        <v>7.8773031522238732E-2</v>
      </c>
      <c r="AM10" s="14"/>
      <c r="AN10" s="47"/>
      <c r="AO10" s="12">
        <f>SUM(S10:S11)</f>
        <v>5.5785547816636463</v>
      </c>
      <c r="AP10" s="17">
        <v>0.05</v>
      </c>
      <c r="AQ10" s="17">
        <f t="shared" si="15"/>
        <v>111.57109563327292</v>
      </c>
      <c r="AS10" s="19"/>
      <c r="AT10" s="19"/>
      <c r="AU10" s="19"/>
      <c r="AV10" s="19"/>
      <c r="AW10" s="28">
        <f>SUM(AK10:AK11)</f>
        <v>3.8336067179151869</v>
      </c>
      <c r="AX10" s="19">
        <v>0.04</v>
      </c>
      <c r="AY10" s="19">
        <f>AW10/AX10</f>
        <v>95.840167947879678</v>
      </c>
      <c r="AZ10" s="19"/>
      <c r="BA10" s="49">
        <v>2</v>
      </c>
      <c r="BB10" s="30" t="s">
        <v>127</v>
      </c>
      <c r="BC10" s="34">
        <f>AVERAGE(AU6:AU9,AQ4:AQ9,AY6:AY9)</f>
        <v>101.57419976242147</v>
      </c>
      <c r="BD10" s="34">
        <f>_xlfn.STDEV.P(AQ4:AQ9,AU6:AU9,AY6:AY9)</f>
        <v>25.727060854580358</v>
      </c>
      <c r="BE10" s="36">
        <f>AVERAGE(1707,2193)</f>
        <v>1950</v>
      </c>
      <c r="BF10" s="34">
        <f t="shared" si="17"/>
        <v>84.28988180720448</v>
      </c>
      <c r="BG10" s="34">
        <f t="shared" si="8"/>
        <v>21.349229664141617</v>
      </c>
      <c r="BI10" s="14"/>
      <c r="BJ10" s="40"/>
      <c r="BK10" s="40"/>
      <c r="BL10" s="40"/>
      <c r="BM10" s="14"/>
      <c r="BN10" s="40"/>
      <c r="BO10" s="40"/>
    </row>
    <row r="11" spans="1:67">
      <c r="B11" s="3">
        <f>'Ladder Standards'!Y10</f>
        <v>0</v>
      </c>
      <c r="C11" s="3">
        <f>'Ladder Standards'!Z10</f>
        <v>0</v>
      </c>
      <c r="D11" s="7">
        <f>'Ladder Standards'!AA9</f>
        <v>0</v>
      </c>
      <c r="E11" s="7">
        <f>'Ladder Standards'!AB9</f>
        <v>0</v>
      </c>
      <c r="F11" s="18"/>
      <c r="G11" s="18"/>
      <c r="H11" s="24"/>
      <c r="I11" s="24"/>
      <c r="L11" s="46"/>
      <c r="M11" s="3"/>
      <c r="N11" s="3"/>
      <c r="O11" s="3">
        <v>2936.627</v>
      </c>
      <c r="P11" s="12">
        <f t="shared" si="18"/>
        <v>1.4972713765337424</v>
      </c>
      <c r="Q11" s="12">
        <f t="shared" si="19"/>
        <v>2.8199121074461777</v>
      </c>
      <c r="R11" s="12">
        <f t="shared" si="20"/>
        <v>2.7641091982292179</v>
      </c>
      <c r="S11" s="12">
        <f t="shared" si="21"/>
        <v>2.360430894069713</v>
      </c>
      <c r="T11" s="12">
        <f t="shared" si="22"/>
        <v>0.61077096400312714</v>
      </c>
      <c r="Y11" s="14"/>
      <c r="AA11" s="14"/>
      <c r="AB11" s="14"/>
      <c r="AC11" s="14"/>
      <c r="AE11" s="24"/>
      <c r="AF11" s="24"/>
      <c r="AG11" s="24">
        <v>1228.799</v>
      </c>
      <c r="AH11" s="28">
        <f t="shared" si="14"/>
        <v>1.9062102446371385</v>
      </c>
      <c r="AI11" s="28">
        <f t="shared" si="6"/>
        <v>1.8402988340068469</v>
      </c>
      <c r="AJ11" s="28">
        <f t="shared" si="7"/>
        <v>2.0317991691734707</v>
      </c>
      <c r="AK11" s="28">
        <f t="shared" si="11"/>
        <v>1.9261027492724854</v>
      </c>
      <c r="AL11" s="28">
        <f t="shared" si="12"/>
        <v>7.9434998154603462E-2</v>
      </c>
      <c r="AM11" s="14"/>
      <c r="AN11" s="47"/>
      <c r="AO11" s="3"/>
      <c r="AS11" s="19"/>
      <c r="AT11" s="19"/>
      <c r="AU11" s="19"/>
      <c r="AV11" s="19"/>
      <c r="AW11" s="24"/>
      <c r="AX11" s="19"/>
      <c r="AY11" s="19"/>
      <c r="AZ11" s="19"/>
      <c r="BA11" s="49"/>
      <c r="BB11" s="30" t="s">
        <v>57</v>
      </c>
      <c r="BC11" s="34">
        <f>AVERAGE(AY10:AY15,AQ10:AQ15)</f>
        <v>118.78662623459589</v>
      </c>
      <c r="BD11" s="34">
        <f>_xlfn.STDEV.P(AQ10:AQ14,AY10:AY14)</f>
        <v>29.968059712099176</v>
      </c>
      <c r="BE11" s="36">
        <f>AVERAGE(1684,2170)</f>
        <v>1927</v>
      </c>
      <c r="BF11" s="34">
        <f t="shared" si="17"/>
        <v>99.749866879896672</v>
      </c>
      <c r="BG11" s="34">
        <f t="shared" si="8"/>
        <v>25.165374770615962</v>
      </c>
      <c r="BI11" s="14"/>
      <c r="BJ11" s="40"/>
      <c r="BK11" s="40"/>
      <c r="BL11" s="40"/>
      <c r="BM11" s="14"/>
      <c r="BN11" s="40"/>
      <c r="BO11" s="40"/>
    </row>
    <row r="12" spans="1:67">
      <c r="A12" s="19">
        <f>'Ladder Standards'!X11</f>
        <v>0</v>
      </c>
      <c r="B12" s="3" t="str">
        <f>'Ladder Standards'!Y11</f>
        <v>Trendline</v>
      </c>
      <c r="C12" s="3" t="str">
        <f>'Ladder Standards'!Z11</f>
        <v>(+187.28)/2086.4</v>
      </c>
      <c r="D12" s="7" t="str">
        <f>'Ladder Standards'!AA11</f>
        <v>Trendline</v>
      </c>
      <c r="E12" s="7" t="str">
        <f>'Ladder Standards'!AB11</f>
        <v>(+62.309)/1230.2</v>
      </c>
      <c r="F12" s="18">
        <f>'Ladder Standards'!AC11</f>
        <v>0</v>
      </c>
      <c r="G12" s="18" t="str">
        <f>'Ladder Standards'!AD11</f>
        <v>(+33.574)/1199.1</v>
      </c>
      <c r="H12" s="24">
        <f>'Ladder Standards'!AF11</f>
        <v>0</v>
      </c>
      <c r="I12" s="24" t="str">
        <f>'Ladder Standards'!AG11</f>
        <v>(+74.801)/683.87</v>
      </c>
      <c r="L12" s="46"/>
      <c r="M12" s="3"/>
      <c r="N12" s="3" t="s">
        <v>5</v>
      </c>
      <c r="O12" s="3">
        <v>2840.77</v>
      </c>
      <c r="P12" s="12">
        <f t="shared" si="18"/>
        <v>1.4513276457055215</v>
      </c>
      <c r="Q12" s="12">
        <f t="shared" si="19"/>
        <v>2.7252478767529129</v>
      </c>
      <c r="R12" s="12">
        <f t="shared" si="20"/>
        <v>2.6698081652729959</v>
      </c>
      <c r="S12" s="12">
        <f t="shared" si="21"/>
        <v>2.2821278959104769</v>
      </c>
      <c r="T12" s="12">
        <f t="shared" si="22"/>
        <v>0.58790032160092476</v>
      </c>
      <c r="Y12" s="14"/>
      <c r="AA12" s="14"/>
      <c r="AB12" s="14"/>
      <c r="AC12" s="14"/>
      <c r="AE12" s="24"/>
      <c r="AF12" s="24" t="s">
        <v>5</v>
      </c>
      <c r="AG12" s="24">
        <v>488.33499999999998</v>
      </c>
      <c r="AH12" s="28">
        <f t="shared" si="14"/>
        <v>0.82345475017181624</v>
      </c>
      <c r="AI12" s="28">
        <f t="shared" si="6"/>
        <v>0.88734524207871102</v>
      </c>
      <c r="AJ12" s="28">
        <f t="shared" si="7"/>
        <v>0.97111445351668801</v>
      </c>
      <c r="AK12" s="28">
        <f t="shared" si="11"/>
        <v>0.89397148192240505</v>
      </c>
      <c r="AL12" s="28">
        <f t="shared" si="12"/>
        <v>6.0463638047030678E-2</v>
      </c>
      <c r="AM12" s="14"/>
      <c r="AN12" s="47"/>
      <c r="AO12" s="12">
        <f>SUM(S12:S13)</f>
        <v>4.4215252008117734</v>
      </c>
      <c r="AP12" s="17">
        <v>2.5000000000000001E-2</v>
      </c>
      <c r="AQ12" s="17">
        <f t="shared" si="15"/>
        <v>176.86100803247092</v>
      </c>
      <c r="AS12" s="19"/>
      <c r="AT12" s="19"/>
      <c r="AU12" s="19"/>
      <c r="AV12" s="19"/>
      <c r="AW12" s="28">
        <f>SUM(AK12:AK13)</f>
        <v>1.7571768478243812</v>
      </c>
      <c r="AX12" s="19">
        <v>0.02</v>
      </c>
      <c r="AY12" s="19">
        <f>AW12/AX12</f>
        <v>87.858842391219056</v>
      </c>
      <c r="AZ12" s="19"/>
      <c r="BA12" s="49"/>
      <c r="BB12" s="30" t="s">
        <v>58</v>
      </c>
      <c r="BC12" s="34">
        <f>AVERAGE(AY16:AY21,AU16:AU21,AQ16:AQ21)</f>
        <v>39.448197973023504</v>
      </c>
      <c r="BD12" s="34">
        <f>_xlfn.STDEV.P(AU16:AU21,AY16:AY21,AQ16:AQ21)</f>
        <v>15.299643811869354</v>
      </c>
      <c r="BE12" s="36">
        <f>AVERAGE(1993,2479)</f>
        <v>2236</v>
      </c>
      <c r="BF12" s="34">
        <f t="shared" si="17"/>
        <v>28.548525209914335</v>
      </c>
      <c r="BG12" s="34">
        <f t="shared" si="8"/>
        <v>11.072299610860652</v>
      </c>
      <c r="BI12" s="14"/>
      <c r="BJ12" s="40"/>
      <c r="BK12" s="40"/>
      <c r="BL12" s="40"/>
      <c r="BM12" s="14"/>
      <c r="BN12" s="40"/>
      <c r="BO12" s="40"/>
    </row>
    <row r="13" spans="1:67">
      <c r="A13" s="19">
        <f>'Ladder Standards'!X12</f>
        <v>0</v>
      </c>
      <c r="B13" s="3">
        <f>'Ladder Standards'!Y12</f>
        <v>0</v>
      </c>
      <c r="C13" s="3">
        <f>'Ladder Standards'!Z12</f>
        <v>0</v>
      </c>
      <c r="D13" s="7">
        <f>'Ladder Standards'!AA12</f>
        <v>0</v>
      </c>
      <c r="E13" s="7">
        <f>'Ladder Standards'!AB12</f>
        <v>0</v>
      </c>
      <c r="F13" s="18">
        <f>'Ladder Standards'!AC12</f>
        <v>0</v>
      </c>
      <c r="G13" s="18">
        <f>'Ladder Standards'!AD12</f>
        <v>0</v>
      </c>
      <c r="H13" s="24">
        <f>'Ladder Standards'!AF12</f>
        <v>0</v>
      </c>
      <c r="I13" s="24">
        <f>'Ladder Standards'!AG12</f>
        <v>0</v>
      </c>
      <c r="L13" s="46"/>
      <c r="M13" s="3"/>
      <c r="N13" s="3"/>
      <c r="O13" s="3">
        <v>2666.0419999999999</v>
      </c>
      <c r="P13" s="12">
        <f t="shared" si="18"/>
        <v>1.3675814800613497</v>
      </c>
      <c r="Q13" s="12">
        <f t="shared" si="19"/>
        <v>2.5526940549081569</v>
      </c>
      <c r="R13" s="12">
        <f t="shared" si="20"/>
        <v>2.4979163797343826</v>
      </c>
      <c r="S13" s="12">
        <f t="shared" si="21"/>
        <v>2.1393973049012964</v>
      </c>
      <c r="T13" s="12">
        <f t="shared" si="22"/>
        <v>0.54621418206254613</v>
      </c>
      <c r="Y13" s="14"/>
      <c r="AA13" s="14"/>
      <c r="AB13" s="14"/>
      <c r="AC13" s="14"/>
      <c r="AE13" s="24"/>
      <c r="AF13" s="24"/>
      <c r="AG13" s="24">
        <v>466.26299999999998</v>
      </c>
      <c r="AH13" s="28">
        <f t="shared" si="14"/>
        <v>0.79117961015982563</v>
      </c>
      <c r="AI13" s="28">
        <f t="shared" si="6"/>
        <v>0.85893928084219195</v>
      </c>
      <c r="AJ13" s="28">
        <f t="shared" si="7"/>
        <v>0.93949720670391046</v>
      </c>
      <c r="AK13" s="28">
        <f t="shared" si="11"/>
        <v>0.86320536590197605</v>
      </c>
      <c r="AL13" s="28">
        <f t="shared" si="12"/>
        <v>6.0625500533776855E-2</v>
      </c>
      <c r="AM13" s="14"/>
      <c r="AN13" s="47"/>
      <c r="AO13" s="3"/>
      <c r="AS13" s="19"/>
      <c r="AT13" s="19"/>
      <c r="AU13" s="19"/>
      <c r="AV13" s="19"/>
      <c r="AW13" s="24"/>
      <c r="AX13" s="19"/>
      <c r="AY13" s="19"/>
      <c r="AZ13" s="19"/>
    </row>
    <row r="14" spans="1:67">
      <c r="A14" s="19" t="str">
        <f>'Ladder Standards'!X13</f>
        <v>1.5 kb</v>
      </c>
      <c r="B14" s="3">
        <f>'Ladder Standards'!Y13</f>
        <v>8.75</v>
      </c>
      <c r="C14" s="3">
        <f>'Ladder Standards'!Z13</f>
        <v>9208.4259999999995</v>
      </c>
      <c r="D14" s="7">
        <f>'Ladder Standards'!AA13</f>
        <v>0</v>
      </c>
      <c r="E14" s="7">
        <f>'Ladder Standards'!AB13</f>
        <v>0</v>
      </c>
      <c r="F14" s="18">
        <f>'Ladder Standards'!AC13</f>
        <v>14</v>
      </c>
      <c r="G14" s="18">
        <f>'Ladder Standards'!AD13</f>
        <v>0</v>
      </c>
      <c r="H14" s="24">
        <f>'Ladder Standards'!AF13</f>
        <v>7</v>
      </c>
      <c r="I14" s="24">
        <f>'Ladder Standards'!AG13</f>
        <v>5153.7489999999998</v>
      </c>
      <c r="L14" s="46"/>
      <c r="M14" s="3"/>
      <c r="N14" s="3" t="s">
        <v>6</v>
      </c>
      <c r="O14" s="3">
        <v>1053.749</v>
      </c>
      <c r="P14" s="12">
        <f t="shared" si="18"/>
        <v>0.59481834739263806</v>
      </c>
      <c r="Q14" s="12">
        <f t="shared" si="19"/>
        <v>0.96046316413193766</v>
      </c>
      <c r="R14" s="12">
        <f t="shared" si="20"/>
        <v>0.91179439252336458</v>
      </c>
      <c r="S14" s="12">
        <f t="shared" si="21"/>
        <v>0.82235863468264681</v>
      </c>
      <c r="T14" s="12">
        <f t="shared" si="22"/>
        <v>0.16211744526214439</v>
      </c>
      <c r="V14" s="19"/>
      <c r="Y14" s="14"/>
      <c r="AA14" s="14"/>
      <c r="AB14" s="14"/>
      <c r="AC14" s="14"/>
      <c r="AE14" s="24"/>
      <c r="AF14" s="24" t="s">
        <v>6</v>
      </c>
      <c r="AG14" s="24">
        <v>217.72800000000001</v>
      </c>
      <c r="AH14" s="28">
        <f t="shared" si="14"/>
        <v>0.4277552751253893</v>
      </c>
      <c r="AI14" s="28">
        <f t="shared" si="6"/>
        <v>0.53908264909526149</v>
      </c>
      <c r="AJ14" s="28">
        <f t="shared" si="7"/>
        <v>0.58348087666523418</v>
      </c>
      <c r="AK14" s="28">
        <f t="shared" si="11"/>
        <v>0.51677293362862831</v>
      </c>
      <c r="AL14" s="28">
        <f t="shared" si="12"/>
        <v>6.5502713922850508E-2</v>
      </c>
      <c r="AM14" s="14"/>
      <c r="AN14" s="47"/>
      <c r="AO14" s="12">
        <f>SUM(S14:S15)</f>
        <v>1.6965592994223342</v>
      </c>
      <c r="AP14" s="17">
        <v>1.2500000000000001E-2</v>
      </c>
      <c r="AQ14" s="17">
        <f t="shared" si="15"/>
        <v>135.72474395378671</v>
      </c>
      <c r="AS14" s="19"/>
      <c r="AT14" s="19"/>
      <c r="AU14" s="19"/>
      <c r="AV14" s="19"/>
      <c r="AW14" s="28">
        <f>SUM(AK14:AK15)</f>
        <v>1.0486389944894605</v>
      </c>
      <c r="AX14" s="19">
        <v>0.01</v>
      </c>
      <c r="AY14" s="19">
        <f>AW14/AX14</f>
        <v>104.86389944894604</v>
      </c>
      <c r="AZ14" s="19"/>
      <c r="BA14" s="17" t="s">
        <v>77</v>
      </c>
      <c r="BB14" s="17" t="str">
        <f t="shared" ref="BB14:BG14" si="23">BB4</f>
        <v>.2 LA</v>
      </c>
      <c r="BC14" s="13">
        <f t="shared" si="23"/>
        <v>122.95736363699802</v>
      </c>
      <c r="BD14" s="13">
        <f t="shared" si="23"/>
        <v>28.143378974724474</v>
      </c>
      <c r="BE14" s="17">
        <f t="shared" si="23"/>
        <v>813</v>
      </c>
      <c r="BF14" s="13">
        <f t="shared" si="23"/>
        <v>244.72169920152069</v>
      </c>
      <c r="BG14" s="17">
        <f t="shared" si="23"/>
        <v>56.013688975147545</v>
      </c>
    </row>
    <row r="15" spans="1:67">
      <c r="B15" s="3">
        <f>'Ladder Standards'!Y14</f>
        <v>4.375</v>
      </c>
      <c r="C15" s="3">
        <f>'Ladder Standards'!Z14</f>
        <v>3902.4059999999999</v>
      </c>
      <c r="D15" s="7">
        <f>'Ladder Standards'!AA14</f>
        <v>4.375</v>
      </c>
      <c r="E15" s="7">
        <f>'Ladder Standards'!AB14</f>
        <v>5476.82</v>
      </c>
      <c r="F15" s="18">
        <f>'Ladder Standards'!AC14</f>
        <v>7</v>
      </c>
      <c r="G15" s="18">
        <f>'Ladder Standards'!AD14</f>
        <v>7954.3549999999996</v>
      </c>
      <c r="H15" s="24">
        <f>'Ladder Standards'!AF14</f>
        <v>3.5</v>
      </c>
      <c r="I15" s="24">
        <f>'Ladder Standards'!AG14</f>
        <v>2893.2130000000002</v>
      </c>
      <c r="L15" s="46"/>
      <c r="M15" s="3"/>
      <c r="N15" s="3"/>
      <c r="O15" s="3">
        <v>1117.213</v>
      </c>
      <c r="P15" s="12">
        <f t="shared" si="18"/>
        <v>0.6252362921779141</v>
      </c>
      <c r="Q15" s="12">
        <f t="shared" si="19"/>
        <v>1.0231374679044045</v>
      </c>
      <c r="R15" s="12">
        <f t="shared" si="20"/>
        <v>0.97422823413674375</v>
      </c>
      <c r="S15" s="12">
        <f t="shared" si="21"/>
        <v>0.87420066473968749</v>
      </c>
      <c r="T15" s="12">
        <f t="shared" si="22"/>
        <v>0.17717312134508978</v>
      </c>
      <c r="V15" s="19"/>
      <c r="Y15" s="13" t="s">
        <v>36</v>
      </c>
      <c r="Z15" s="13" t="s">
        <v>29</v>
      </c>
      <c r="AA15" s="13" t="s">
        <v>40</v>
      </c>
      <c r="AB15" s="14"/>
      <c r="AC15" s="14"/>
      <c r="AE15" s="24"/>
      <c r="AF15" s="24"/>
      <c r="AG15" s="24">
        <v>228.55600000000001</v>
      </c>
      <c r="AH15" s="28">
        <f t="shared" si="14"/>
        <v>0.44358869375758553</v>
      </c>
      <c r="AI15" s="28">
        <f t="shared" si="6"/>
        <v>0.55301794033615614</v>
      </c>
      <c r="AJ15" s="28">
        <f t="shared" si="7"/>
        <v>0.59899154848875513</v>
      </c>
      <c r="AK15" s="28">
        <f t="shared" si="11"/>
        <v>0.53186606086083221</v>
      </c>
      <c r="AL15" s="28">
        <f t="shared" si="12"/>
        <v>6.5182120854588368E-2</v>
      </c>
      <c r="AM15" s="14"/>
      <c r="AN15" s="47"/>
      <c r="AO15" s="3"/>
      <c r="AS15" s="19"/>
      <c r="AT15" s="19"/>
      <c r="AU15" s="19"/>
      <c r="AV15" s="19"/>
      <c r="AW15" s="24"/>
      <c r="AX15" s="19"/>
      <c r="AY15" s="19"/>
      <c r="AZ15" s="19"/>
      <c r="BA15" s="17" t="s">
        <v>28</v>
      </c>
      <c r="BB15" s="17" t="str">
        <f t="shared" ref="BB15:BG15" si="24">BB7</f>
        <v>.2 LA</v>
      </c>
      <c r="BC15" s="13">
        <f t="shared" si="24"/>
        <v>95.635822073408576</v>
      </c>
      <c r="BD15" s="13">
        <f t="shared" si="24"/>
        <v>22.067004933675459</v>
      </c>
      <c r="BE15" s="17">
        <f t="shared" si="24"/>
        <v>1199</v>
      </c>
      <c r="BF15" s="13">
        <f t="shared" si="24"/>
        <v>129.06839919016511</v>
      </c>
      <c r="BG15" s="17">
        <f t="shared" si="24"/>
        <v>29.781236151499471</v>
      </c>
    </row>
    <row r="16" spans="1:67">
      <c r="B16" s="3">
        <f>'Ladder Standards'!Y15</f>
        <v>2.1875</v>
      </c>
      <c r="C16" s="3">
        <f>'Ladder Standards'!Z15</f>
        <v>2294.335</v>
      </c>
      <c r="D16" s="7">
        <f>'Ladder Standards'!AA15</f>
        <v>2.1875</v>
      </c>
      <c r="E16" s="7">
        <f>'Ladder Standards'!AB15</f>
        <v>2702.5770000000002</v>
      </c>
      <c r="F16" s="18">
        <f>'Ladder Standards'!AC15</f>
        <v>3.5</v>
      </c>
      <c r="G16" s="18">
        <f>'Ladder Standards'!AD15</f>
        <v>5730.4059999999999</v>
      </c>
      <c r="H16" s="24">
        <f>'Ladder Standards'!AF15</f>
        <v>1.75</v>
      </c>
      <c r="I16" s="24">
        <f>'Ladder Standards'!AG15</f>
        <v>828.09199999999998</v>
      </c>
      <c r="L16" s="46"/>
      <c r="M16" s="45" t="s">
        <v>23</v>
      </c>
      <c r="N16" s="7" t="s">
        <v>4</v>
      </c>
      <c r="O16" s="7">
        <v>862.99099999999999</v>
      </c>
      <c r="P16" s="11">
        <f t="shared" ref="P16:P21" si="25">(O16+62.309)/1230.2</f>
        <v>0.75215412128109249</v>
      </c>
      <c r="Q16" s="11">
        <f t="shared" ref="Q16:Q21" si="26">(O16-10.323)/1251.7</f>
        <v>0.68120795717823757</v>
      </c>
      <c r="R16" s="11">
        <f t="shared" ref="R16:R21" si="27">(O16+192.21)/1125.4</f>
        <v>0.93762306735382972</v>
      </c>
      <c r="S16" s="11">
        <f t="shared" ref="S16" si="28">AVERAGE(P16:R16)</f>
        <v>0.79032838193771993</v>
      </c>
      <c r="T16" s="11">
        <f t="shared" ref="T16" si="29">_xlfn.STDEV.P(P16:R16)</f>
        <v>0.10810529686097804</v>
      </c>
      <c r="V16" s="18" t="s">
        <v>23</v>
      </c>
      <c r="W16" s="18" t="s">
        <v>4</v>
      </c>
      <c r="X16" s="18">
        <v>2388.6979999999999</v>
      </c>
      <c r="Y16" s="15">
        <f t="shared" ref="Y16:Y21" si="30">(X16+33.574)/1199.1</f>
        <v>2.0200750562922192</v>
      </c>
      <c r="Z16" s="15">
        <f t="shared" ref="Z16:Z21" si="31">(X16-155.43)/1634.8</f>
        <v>1.3660802544653781</v>
      </c>
      <c r="AA16" s="15">
        <f t="shared" ref="AA16:AA21" si="32">(X16+35.252)/1231.8</f>
        <v>1.9678113330086051</v>
      </c>
      <c r="AB16" s="15">
        <f t="shared" ref="AB16:AB21" si="33">AVERAGE(Y16:AA16)</f>
        <v>1.7846555479220674</v>
      </c>
      <c r="AC16" s="15">
        <f t="shared" ref="AC16:AC21" si="34">_xlfn.STDEV.P(Y16:AA16)</f>
        <v>0.29674549298698488</v>
      </c>
      <c r="AE16" s="24" t="s">
        <v>23</v>
      </c>
      <c r="AF16" s="24" t="s">
        <v>4</v>
      </c>
      <c r="AG16" s="24">
        <v>247.142</v>
      </c>
      <c r="AH16" s="28">
        <f t="shared" si="14"/>
        <v>0.47076637372600055</v>
      </c>
      <c r="AI16" s="28">
        <f t="shared" si="6"/>
        <v>0.57693753056549391</v>
      </c>
      <c r="AJ16" s="28">
        <f t="shared" si="7"/>
        <v>0.62561524136943125</v>
      </c>
      <c r="AK16" s="28">
        <f t="shared" ref="AK16:AK21" si="35">AVERAGE(AH16:AJ16)</f>
        <v>0.55777304855364196</v>
      </c>
      <c r="AL16" s="28">
        <f t="shared" ref="AL16:AL21" si="36">_xlfn.STDEV.P(AH16:AJ16)</f>
        <v>6.4652924557208349E-2</v>
      </c>
      <c r="AM16" s="14"/>
      <c r="AN16" s="47"/>
      <c r="AO16" s="11">
        <f>SUM(S16:S17)</f>
        <v>1.5709836952633998</v>
      </c>
      <c r="AP16" s="17">
        <v>0.04</v>
      </c>
      <c r="AQ16" s="17">
        <f>AO16/AP16</f>
        <v>39.274592381584995</v>
      </c>
      <c r="AS16" s="15">
        <f>SUM(AB16:AB17)</f>
        <v>3.6106830789422499</v>
      </c>
      <c r="AT16" s="17">
        <v>0.1</v>
      </c>
      <c r="AU16" s="17">
        <f>AS16/AT16</f>
        <v>36.106830789422496</v>
      </c>
      <c r="AV16" s="19"/>
      <c r="AW16" s="28">
        <f>SUM(AK16:AK17)</f>
        <v>1.2837993395174836</v>
      </c>
      <c r="AX16" s="19">
        <v>0.04</v>
      </c>
      <c r="AY16" s="19">
        <f>AW16/AX16</f>
        <v>32.094983487937093</v>
      </c>
      <c r="AZ16" s="19"/>
      <c r="BA16" s="17" t="s">
        <v>26</v>
      </c>
      <c r="BB16" s="17" t="str">
        <f t="shared" ref="BB16:BG16" si="37">BB10</f>
        <v>.2 LA</v>
      </c>
      <c r="BC16" s="13">
        <f t="shared" si="37"/>
        <v>101.57419976242147</v>
      </c>
      <c r="BD16" s="13">
        <f t="shared" si="37"/>
        <v>25.727060854580358</v>
      </c>
      <c r="BE16" s="17">
        <f t="shared" si="37"/>
        <v>1950</v>
      </c>
      <c r="BF16" s="13">
        <f t="shared" si="37"/>
        <v>84.28988180720448</v>
      </c>
      <c r="BG16" s="17">
        <f t="shared" si="37"/>
        <v>21.349229664141617</v>
      </c>
    </row>
    <row r="17" spans="1:59">
      <c r="B17" s="3">
        <f>'Ladder Standards'!Y16</f>
        <v>1.09375</v>
      </c>
      <c r="C17" s="3">
        <f>'Ladder Standards'!Z16</f>
        <v>1375.335</v>
      </c>
      <c r="D17" s="7">
        <f>'Ladder Standards'!AA16</f>
        <v>1.09375</v>
      </c>
      <c r="E17" s="7">
        <f>'Ladder Standards'!AB16</f>
        <v>1573.335</v>
      </c>
      <c r="F17" s="18">
        <f>'Ladder Standards'!AC16</f>
        <v>1.75</v>
      </c>
      <c r="G17" s="18">
        <f>'Ladder Standards'!AD16</f>
        <v>3175.4560000000001</v>
      </c>
      <c r="H17" s="24">
        <f>'Ladder Standards'!AF16</f>
        <v>0.875</v>
      </c>
      <c r="I17" s="24">
        <f>'Ladder Standards'!AG16</f>
        <v>311.971</v>
      </c>
      <c r="L17" s="46"/>
      <c r="M17" s="45"/>
      <c r="N17" s="7"/>
      <c r="O17" s="7">
        <v>851.38499999999999</v>
      </c>
      <c r="P17" s="11">
        <f t="shared" si="25"/>
        <v>0.74271988294586244</v>
      </c>
      <c r="Q17" s="11">
        <f t="shared" si="26"/>
        <v>0.67193576735639526</v>
      </c>
      <c r="R17" s="11">
        <f t="shared" si="27"/>
        <v>0.92731028967478224</v>
      </c>
      <c r="S17" s="11">
        <f t="shared" ref="S17:S21" si="38">AVERAGE(P17:R17)</f>
        <v>0.78065531332567994</v>
      </c>
      <c r="T17" s="11">
        <f t="shared" ref="T17:T21" si="39">_xlfn.STDEV.P(P17:R17)</f>
        <v>0.10765178221442374</v>
      </c>
      <c r="V17" s="18"/>
      <c r="W17" s="18"/>
      <c r="X17" s="18">
        <v>2443.6779999999999</v>
      </c>
      <c r="Y17" s="15">
        <f t="shared" si="30"/>
        <v>2.0659261112501044</v>
      </c>
      <c r="Z17" s="15">
        <f t="shared" si="31"/>
        <v>1.3997112796672377</v>
      </c>
      <c r="AA17" s="15">
        <f t="shared" si="32"/>
        <v>2.0124452021432049</v>
      </c>
      <c r="AB17" s="15">
        <f t="shared" si="33"/>
        <v>1.8260275310201823</v>
      </c>
      <c r="AC17" s="15">
        <f t="shared" si="34"/>
        <v>0.30224075561870145</v>
      </c>
      <c r="AE17" s="24"/>
      <c r="AF17" s="24"/>
      <c r="AG17" s="24">
        <v>367.84899999999999</v>
      </c>
      <c r="AH17" s="28">
        <f t="shared" si="14"/>
        <v>0.6472721423662392</v>
      </c>
      <c r="AI17" s="28">
        <f t="shared" si="6"/>
        <v>0.73228359630382744</v>
      </c>
      <c r="AJ17" s="28">
        <f t="shared" si="7"/>
        <v>0.79852313422145815</v>
      </c>
      <c r="AK17" s="28">
        <f t="shared" si="35"/>
        <v>0.72602629096384164</v>
      </c>
      <c r="AL17" s="28">
        <f t="shared" si="36"/>
        <v>6.1906278824716096E-2</v>
      </c>
      <c r="AM17" s="14"/>
      <c r="AN17" s="47"/>
      <c r="AO17" s="7"/>
      <c r="AS17" s="18"/>
      <c r="AV17" s="19"/>
      <c r="AW17" s="24"/>
      <c r="AX17" s="19"/>
      <c r="AY17" s="19"/>
      <c r="AZ17" s="19"/>
      <c r="BA17" s="17" t="s">
        <v>77</v>
      </c>
      <c r="BB17" s="17" t="str">
        <f t="shared" ref="BB17:BG17" si="40">BB5</f>
        <v>.4 LA</v>
      </c>
      <c r="BC17" s="13">
        <f t="shared" si="40"/>
        <v>162.88370856576586</v>
      </c>
      <c r="BD17" s="13">
        <f t="shared" si="40"/>
        <v>37.575535856207836</v>
      </c>
      <c r="BE17" s="17">
        <f t="shared" si="40"/>
        <v>790</v>
      </c>
      <c r="BF17" s="13">
        <f t="shared" si="40"/>
        <v>333.62465132996181</v>
      </c>
      <c r="BG17" s="17">
        <f t="shared" si="40"/>
        <v>76.963651914287269</v>
      </c>
    </row>
    <row r="18" spans="1:59">
      <c r="B18" s="3">
        <f>'Ladder Standards'!Y17</f>
        <v>0.546875</v>
      </c>
      <c r="C18" s="3">
        <f>'Ladder Standards'!Z17</f>
        <v>873.79899999999998</v>
      </c>
      <c r="D18" s="7">
        <f>'Ladder Standards'!AA17</f>
        <v>0.546875</v>
      </c>
      <c r="E18" s="7">
        <f>'Ladder Standards'!AB17</f>
        <v>566.50599999999997</v>
      </c>
      <c r="F18" s="18">
        <f>'Ladder Standards'!AC17</f>
        <v>0.875</v>
      </c>
      <c r="G18" s="18">
        <f>'Ladder Standards'!AD17</f>
        <v>1981.92</v>
      </c>
      <c r="H18" s="24">
        <f>'Ladder Standards'!AF17</f>
        <v>0.4375</v>
      </c>
      <c r="I18" s="24">
        <f>'Ladder Standards'!AG17</f>
        <v>144.435</v>
      </c>
      <c r="L18" s="46"/>
      <c r="M18" s="45"/>
      <c r="N18" s="7" t="s">
        <v>5</v>
      </c>
      <c r="O18" s="7">
        <v>431.21300000000002</v>
      </c>
      <c r="P18" s="11">
        <f t="shared" si="25"/>
        <v>0.40117216712729642</v>
      </c>
      <c r="Q18" s="11">
        <f t="shared" si="26"/>
        <v>0.33625469361668131</v>
      </c>
      <c r="R18" s="11">
        <f t="shared" si="27"/>
        <v>0.55395681535454055</v>
      </c>
      <c r="S18" s="11">
        <f t="shared" si="38"/>
        <v>0.43046122536617276</v>
      </c>
      <c r="T18" s="11">
        <f t="shared" si="39"/>
        <v>9.1257657767012071E-2</v>
      </c>
      <c r="V18" s="18"/>
      <c r="W18" s="18" t="s">
        <v>5</v>
      </c>
      <c r="X18" s="18">
        <v>776.50599999999997</v>
      </c>
      <c r="Y18" s="15">
        <f t="shared" si="30"/>
        <v>0.67557334667667412</v>
      </c>
      <c r="Z18" s="15">
        <f t="shared" si="31"/>
        <v>0.37990946904820166</v>
      </c>
      <c r="AA18" s="15">
        <f t="shared" si="32"/>
        <v>0.6590014612761812</v>
      </c>
      <c r="AB18" s="15">
        <f t="shared" si="33"/>
        <v>0.57149475900035229</v>
      </c>
      <c r="AC18" s="15">
        <f t="shared" si="34"/>
        <v>0.13564008586689769</v>
      </c>
      <c r="AE18" s="24"/>
      <c r="AF18" s="24" t="s">
        <v>5</v>
      </c>
      <c r="AG18" s="24">
        <v>133.071</v>
      </c>
      <c r="AH18" s="28">
        <f t="shared" si="14"/>
        <v>0.30396420372292982</v>
      </c>
      <c r="AI18" s="28">
        <f t="shared" si="6"/>
        <v>0.43013178553962578</v>
      </c>
      <c r="AJ18" s="28">
        <f t="shared" si="7"/>
        <v>0.46221314997851309</v>
      </c>
      <c r="AK18" s="28">
        <f t="shared" si="35"/>
        <v>0.39876971308035625</v>
      </c>
      <c r="AL18" s="28">
        <f t="shared" si="36"/>
        <v>6.8305036122070104E-2</v>
      </c>
      <c r="AM18" s="14"/>
      <c r="AN18" s="47"/>
      <c r="AO18" s="11">
        <f>SUM(S18:S19)</f>
        <v>0.96396738532808635</v>
      </c>
      <c r="AP18" s="17">
        <v>0.02</v>
      </c>
      <c r="AQ18" s="17">
        <f t="shared" ref="AQ18" si="41">AO18/AP18</f>
        <v>48.198369266404313</v>
      </c>
      <c r="AS18" s="15">
        <f>SUM(AB18:AB19)</f>
        <v>1.074238883883277</v>
      </c>
      <c r="AT18" s="17">
        <v>0.05</v>
      </c>
      <c r="AU18" s="17">
        <f>AS18/AT18</f>
        <v>21.484777677665541</v>
      </c>
      <c r="AV18" s="19"/>
      <c r="AW18" s="28">
        <f>SUM(AK18:AK19)</f>
        <v>0.85683027026387348</v>
      </c>
      <c r="AX18" s="19">
        <v>0.02</v>
      </c>
      <c r="AY18" s="19">
        <f>AW18/AX18</f>
        <v>42.841513513193675</v>
      </c>
      <c r="AZ18" s="19"/>
      <c r="BA18" s="17" t="s">
        <v>28</v>
      </c>
      <c r="BB18" s="17" t="str">
        <f t="shared" ref="BB18:BG18" si="42">BB8</f>
        <v>.4 LA</v>
      </c>
      <c r="BC18" s="13">
        <f t="shared" si="42"/>
        <v>27.211163568007077</v>
      </c>
      <c r="BD18" s="13">
        <f t="shared" si="42"/>
        <v>6.327434145749752</v>
      </c>
      <c r="BE18" s="17">
        <f t="shared" si="42"/>
        <v>1176</v>
      </c>
      <c r="BF18" s="13">
        <f t="shared" si="42"/>
        <v>37.44190089398117</v>
      </c>
      <c r="BG18" s="17">
        <f t="shared" si="42"/>
        <v>8.7063958733796181</v>
      </c>
    </row>
    <row r="19" spans="1:59">
      <c r="B19" s="3">
        <f>'Ladder Standards'!Y18</f>
        <v>0</v>
      </c>
      <c r="C19" s="3">
        <f>'Ladder Standards'!Z18</f>
        <v>0</v>
      </c>
      <c r="D19" s="7">
        <f>'Ladder Standards'!AA18</f>
        <v>0</v>
      </c>
      <c r="E19" s="7">
        <f>'Ladder Standards'!AB18</f>
        <v>0</v>
      </c>
      <c r="F19" s="18">
        <f>'Ladder Standards'!AC18</f>
        <v>0.4375</v>
      </c>
      <c r="G19" s="18">
        <f>'Ladder Standards'!AD18</f>
        <v>617.971</v>
      </c>
      <c r="H19" s="24">
        <f>'Ladder Standards'!AF18</f>
        <v>0</v>
      </c>
      <c r="I19" s="24">
        <f>'Ladder Standards'!AG18</f>
        <v>0</v>
      </c>
      <c r="L19" s="46"/>
      <c r="M19" s="45"/>
      <c r="N19" s="7"/>
      <c r="O19" s="7">
        <v>554.84900000000005</v>
      </c>
      <c r="P19" s="11">
        <f t="shared" si="25"/>
        <v>0.50167289871565601</v>
      </c>
      <c r="Q19" s="11">
        <f t="shared" si="26"/>
        <v>0.43502916034193501</v>
      </c>
      <c r="R19" s="11">
        <f t="shared" si="27"/>
        <v>0.66381642082814996</v>
      </c>
      <c r="S19" s="11">
        <f t="shared" si="38"/>
        <v>0.53350615996191364</v>
      </c>
      <c r="T19" s="11">
        <f t="shared" si="39"/>
        <v>9.607608107250587E-2</v>
      </c>
      <c r="V19" s="18"/>
      <c r="W19" s="18"/>
      <c r="X19" s="18">
        <v>685.14200000000005</v>
      </c>
      <c r="Y19" s="15">
        <f t="shared" si="30"/>
        <v>0.59937953465098825</v>
      </c>
      <c r="Z19" s="15">
        <f t="shared" si="31"/>
        <v>0.32402251039882557</v>
      </c>
      <c r="AA19" s="15">
        <f t="shared" si="32"/>
        <v>0.58483032959896086</v>
      </c>
      <c r="AB19" s="15">
        <f t="shared" si="33"/>
        <v>0.50274412488292486</v>
      </c>
      <c r="AC19" s="15">
        <f t="shared" si="34"/>
        <v>0.12651477240428957</v>
      </c>
      <c r="AE19" s="24"/>
      <c r="AF19" s="24"/>
      <c r="AG19" s="24">
        <v>175.607</v>
      </c>
      <c r="AH19" s="28">
        <f t="shared" si="14"/>
        <v>0.36616315966484858</v>
      </c>
      <c r="AI19" s="28">
        <f t="shared" si="6"/>
        <v>0.48487426321072818</v>
      </c>
      <c r="AJ19" s="28">
        <f t="shared" si="7"/>
        <v>0.52314424867497489</v>
      </c>
      <c r="AK19" s="28">
        <f t="shared" si="35"/>
        <v>0.45806055718351724</v>
      </c>
      <c r="AL19" s="28">
        <f t="shared" si="36"/>
        <v>6.6833109059739729E-2</v>
      </c>
      <c r="AM19" s="14"/>
      <c r="AN19" s="47"/>
      <c r="AO19" s="7"/>
      <c r="AS19" s="18"/>
      <c r="AV19" s="19"/>
      <c r="AW19" s="24"/>
      <c r="AX19" s="19"/>
      <c r="AY19" s="19"/>
      <c r="AZ19" s="19"/>
      <c r="BA19" s="17" t="s">
        <v>26</v>
      </c>
      <c r="BB19" s="17" t="str">
        <f t="shared" ref="BB19:BG19" si="43">BB11</f>
        <v>.4 LA</v>
      </c>
      <c r="BC19" s="13">
        <f t="shared" si="43"/>
        <v>118.78662623459589</v>
      </c>
      <c r="BD19" s="13">
        <f t="shared" si="43"/>
        <v>29.968059712099176</v>
      </c>
      <c r="BE19" s="17">
        <f t="shared" si="43"/>
        <v>1927</v>
      </c>
      <c r="BF19" s="13">
        <f t="shared" si="43"/>
        <v>99.749866879896672</v>
      </c>
      <c r="BG19" s="17">
        <f t="shared" si="43"/>
        <v>25.165374770615962</v>
      </c>
    </row>
    <row r="20" spans="1:59">
      <c r="B20" s="3">
        <f>'Ladder Standards'!Y19</f>
        <v>0</v>
      </c>
      <c r="C20" s="3">
        <f>'Ladder Standards'!Z19</f>
        <v>0</v>
      </c>
      <c r="D20" s="7">
        <f>'Ladder Standards'!AA19</f>
        <v>0</v>
      </c>
      <c r="E20" s="7">
        <f>'Ladder Standards'!AB19</f>
        <v>0</v>
      </c>
      <c r="F20" s="18">
        <f>'Ladder Standards'!AC19</f>
        <v>0</v>
      </c>
      <c r="G20" s="18">
        <f>'Ladder Standards'!AD19</f>
        <v>0</v>
      </c>
      <c r="H20" s="24"/>
      <c r="I20" s="24"/>
      <c r="L20" s="46"/>
      <c r="M20" s="45"/>
      <c r="N20" s="7" t="s">
        <v>6</v>
      </c>
      <c r="O20" s="7">
        <v>236.84899999999999</v>
      </c>
      <c r="P20" s="11">
        <f t="shared" si="25"/>
        <v>0.24317834498455537</v>
      </c>
      <c r="Q20" s="11">
        <f t="shared" si="26"/>
        <v>0.18097467444275783</v>
      </c>
      <c r="R20" s="11">
        <f t="shared" si="27"/>
        <v>0.38125022214323789</v>
      </c>
      <c r="S20" s="11">
        <f t="shared" si="38"/>
        <v>0.26846774719018368</v>
      </c>
      <c r="T20" s="11">
        <f t="shared" si="39"/>
        <v>8.3694839146430736E-2</v>
      </c>
      <c r="V20" s="18"/>
      <c r="W20" s="18" t="s">
        <v>6</v>
      </c>
      <c r="X20" s="18">
        <v>232.02099999999999</v>
      </c>
      <c r="Y20" s="15">
        <f t="shared" si="30"/>
        <v>0.22149528813276623</v>
      </c>
      <c r="Z20" s="15">
        <f t="shared" si="31"/>
        <v>4.6850379251284546E-2</v>
      </c>
      <c r="AA20" s="15">
        <f t="shared" si="32"/>
        <v>0.2169775937652216</v>
      </c>
      <c r="AB20" s="15">
        <f t="shared" si="33"/>
        <v>0.16177442038309078</v>
      </c>
      <c r="AC20" s="15">
        <f t="shared" si="34"/>
        <v>8.1284495500468235E-2</v>
      </c>
      <c r="AE20" s="24"/>
      <c r="AF20" s="24" t="s">
        <v>6</v>
      </c>
      <c r="AG20" s="24">
        <v>76.242999999999995</v>
      </c>
      <c r="AH20" s="28">
        <f t="shared" si="14"/>
        <v>0.22086653896208341</v>
      </c>
      <c r="AI20" s="28">
        <f t="shared" si="6"/>
        <v>0.35699595891997637</v>
      </c>
      <c r="AJ20" s="28">
        <f t="shared" si="7"/>
        <v>0.38080933963615521</v>
      </c>
      <c r="AK20" s="28">
        <f t="shared" si="35"/>
        <v>0.31955727917273835</v>
      </c>
      <c r="AL20" s="28">
        <f t="shared" si="36"/>
        <v>7.0458810321012436E-2</v>
      </c>
      <c r="AM20" s="14"/>
      <c r="AN20" s="47"/>
      <c r="AO20" s="11">
        <f>SUM(S20:S21)</f>
        <v>0.57492933426908466</v>
      </c>
      <c r="AP20" s="17">
        <v>0.01</v>
      </c>
      <c r="AQ20" s="17">
        <f t="shared" ref="AQ20" si="44">AO20/AP20</f>
        <v>57.492933426908465</v>
      </c>
      <c r="AS20" s="15">
        <f>SUM(AB20:AB21)</f>
        <v>0.33085327583226742</v>
      </c>
      <c r="AT20" s="17">
        <v>2.5000000000000001E-2</v>
      </c>
      <c r="AU20" s="17">
        <f>AS20/AT20</f>
        <v>13.234131033290696</v>
      </c>
      <c r="AV20" s="19"/>
      <c r="AW20" s="28">
        <f>SUM(AK20:AK21)</f>
        <v>0.64305650180804341</v>
      </c>
      <c r="AX20" s="19">
        <v>0.01</v>
      </c>
      <c r="AY20" s="19">
        <f>AW20/AX20</f>
        <v>64.305650180804335</v>
      </c>
      <c r="AZ20" s="19"/>
      <c r="BA20" s="17" t="s">
        <v>77</v>
      </c>
      <c r="BB20" s="17" t="str">
        <f t="shared" ref="BB20:BG20" si="45">BB6</f>
        <v>.8 LA</v>
      </c>
      <c r="BC20" s="13">
        <f t="shared" si="45"/>
        <v>84.007678384913177</v>
      </c>
      <c r="BD20" s="13">
        <f t="shared" si="45"/>
        <v>21.806787148730628</v>
      </c>
      <c r="BE20" s="17">
        <f t="shared" si="45"/>
        <v>1099</v>
      </c>
      <c r="BF20" s="13">
        <f t="shared" si="45"/>
        <v>123.69093706419594</v>
      </c>
      <c r="BG20" s="17">
        <f t="shared" si="45"/>
        <v>32.107802389529688</v>
      </c>
    </row>
    <row r="21" spans="1:59">
      <c r="B21" s="3">
        <f>'Ladder Standards'!Y20</f>
        <v>0</v>
      </c>
      <c r="C21" s="3">
        <f>'Ladder Standards'!Z20</f>
        <v>0</v>
      </c>
      <c r="D21" s="7">
        <f>'Ladder Standards'!AA20</f>
        <v>0</v>
      </c>
      <c r="E21" s="7">
        <f>'Ladder Standards'!AB20</f>
        <v>0</v>
      </c>
      <c r="F21" s="18"/>
      <c r="G21" s="18"/>
      <c r="H21" s="24"/>
      <c r="I21" s="24"/>
      <c r="L21" s="46"/>
      <c r="M21" s="45"/>
      <c r="N21" s="7"/>
      <c r="O21" s="7">
        <v>282.435</v>
      </c>
      <c r="P21" s="11">
        <f t="shared" si="25"/>
        <v>0.28023410827507722</v>
      </c>
      <c r="Q21" s="11">
        <f t="shared" si="26"/>
        <v>0.21739394423583927</v>
      </c>
      <c r="R21" s="11">
        <f t="shared" si="27"/>
        <v>0.42175670872578636</v>
      </c>
      <c r="S21" s="11">
        <f t="shared" si="38"/>
        <v>0.30646158707890092</v>
      </c>
      <c r="T21" s="11">
        <f t="shared" si="39"/>
        <v>8.5467129591039012E-2</v>
      </c>
      <c r="V21" s="18"/>
      <c r="W21" s="18"/>
      <c r="X21" s="18">
        <v>241.72800000000001</v>
      </c>
      <c r="Y21" s="15">
        <f t="shared" si="30"/>
        <v>0.22959052622800438</v>
      </c>
      <c r="Z21" s="15">
        <f t="shared" si="31"/>
        <v>5.2788108637142159E-2</v>
      </c>
      <c r="AA21" s="15">
        <f t="shared" si="32"/>
        <v>0.22485793148238353</v>
      </c>
      <c r="AB21" s="15">
        <f t="shared" si="33"/>
        <v>0.16907885544917667</v>
      </c>
      <c r="AC21" s="15">
        <f t="shared" si="34"/>
        <v>8.2252670509157855E-2</v>
      </c>
      <c r="AE21" s="24"/>
      <c r="AF21" s="24"/>
      <c r="AG21" s="24">
        <v>79.070999999999998</v>
      </c>
      <c r="AH21" s="28">
        <f t="shared" si="14"/>
        <v>0.22500182783277525</v>
      </c>
      <c r="AI21" s="28">
        <f t="shared" si="6"/>
        <v>0.36063550487760931</v>
      </c>
      <c r="AJ21" s="28">
        <f t="shared" si="7"/>
        <v>0.3848603351955307</v>
      </c>
      <c r="AK21" s="28">
        <f t="shared" si="35"/>
        <v>0.32349922263530506</v>
      </c>
      <c r="AL21" s="28">
        <f t="shared" si="36"/>
        <v>7.0346822662894576E-2</v>
      </c>
      <c r="AM21" s="14"/>
      <c r="AN21" s="47"/>
      <c r="AO21" s="7"/>
      <c r="AS21" s="18"/>
      <c r="AV21" s="19"/>
      <c r="AW21" s="28"/>
      <c r="AX21" s="19"/>
      <c r="AY21" s="19"/>
      <c r="AZ21" s="19"/>
      <c r="BA21" s="17" t="s">
        <v>28</v>
      </c>
      <c r="BB21" s="17" t="str">
        <f t="shared" ref="BB21:BG21" si="46">BB9</f>
        <v>.8 LA</v>
      </c>
      <c r="BC21" s="13">
        <f t="shared" si="46"/>
        <v>21.258016818057552</v>
      </c>
      <c r="BD21" s="13">
        <f t="shared" si="46"/>
        <v>5.7292291420580579</v>
      </c>
      <c r="BE21" s="17">
        <f t="shared" si="46"/>
        <v>1485</v>
      </c>
      <c r="BF21" s="13">
        <f t="shared" si="46"/>
        <v>23.164283542786126</v>
      </c>
      <c r="BG21" s="17">
        <f t="shared" si="46"/>
        <v>6.2429853858941868</v>
      </c>
    </row>
    <row r="22" spans="1:59">
      <c r="B22" s="3" t="str">
        <f>'Ladder Standards'!Y21</f>
        <v>Trendline</v>
      </c>
      <c r="C22" s="3" t="str">
        <f>'Ladder Standards'!Z21</f>
        <v>(-81.184)/1012.6</v>
      </c>
      <c r="D22" s="7" t="str">
        <f>'Ladder Standards'!AA21</f>
        <v>Trendline</v>
      </c>
      <c r="E22" s="7" t="str">
        <f>'Ladder Standards'!AB21</f>
        <v>(-10.323)/1251.7</v>
      </c>
      <c r="F22" s="18">
        <f>'Ladder Standards'!AC21</f>
        <v>0</v>
      </c>
      <c r="G22" s="18" t="str">
        <f>'Ladder Standards'!AD21</f>
        <v>(-155.43)/1634.8</v>
      </c>
      <c r="H22" s="24">
        <f>'Ladder Standards'!AF21</f>
        <v>0</v>
      </c>
      <c r="I22" s="24" t="str">
        <f>'Ladder Standards'!AG21</f>
        <v>(+201.15)/777.02</v>
      </c>
      <c r="P22" s="13"/>
      <c r="Q22" s="13"/>
      <c r="R22" s="13"/>
      <c r="S22" s="14"/>
      <c r="T22" s="14"/>
      <c r="X22" s="19"/>
      <c r="Y22" s="14"/>
      <c r="Z22" s="14"/>
      <c r="AA22" s="13"/>
      <c r="AB22" s="14"/>
      <c r="AC22" s="13"/>
      <c r="AF22" s="19"/>
      <c r="AG22" s="19"/>
      <c r="AH22" s="14"/>
      <c r="AI22" s="14"/>
      <c r="AJ22" s="13"/>
      <c r="AK22" s="14"/>
      <c r="AL22" s="13"/>
      <c r="AM22" s="14"/>
      <c r="AN22" s="14"/>
      <c r="AV22" s="19"/>
      <c r="AW22" s="19"/>
      <c r="AX22" s="19"/>
      <c r="AY22" s="19"/>
      <c r="AZ22" s="19"/>
      <c r="BA22" s="17" t="s">
        <v>26</v>
      </c>
      <c r="BB22" s="17" t="str">
        <f t="shared" ref="BB22:BG22" si="47">BB12</f>
        <v>.8 LA</v>
      </c>
      <c r="BC22" s="13">
        <f t="shared" si="47"/>
        <v>39.448197973023504</v>
      </c>
      <c r="BD22" s="13">
        <f t="shared" si="47"/>
        <v>15.299643811869354</v>
      </c>
      <c r="BE22" s="17">
        <f t="shared" si="47"/>
        <v>2236</v>
      </c>
      <c r="BF22" s="13">
        <f t="shared" si="47"/>
        <v>28.548525209914335</v>
      </c>
      <c r="BG22" s="17">
        <f t="shared" si="47"/>
        <v>11.072299610860652</v>
      </c>
    </row>
    <row r="23" spans="1:59">
      <c r="B23" s="3">
        <f>'Ladder Standards'!Y22</f>
        <v>0</v>
      </c>
      <c r="C23" s="3">
        <f>'Ladder Standards'!Z22</f>
        <v>0</v>
      </c>
      <c r="D23" s="7">
        <f>'Ladder Standards'!AA22</f>
        <v>0</v>
      </c>
      <c r="E23" s="7">
        <f>'Ladder Standards'!AB22</f>
        <v>0</v>
      </c>
      <c r="F23" s="18">
        <f>'Ladder Standards'!AC22</f>
        <v>0</v>
      </c>
      <c r="G23" s="18">
        <f>'Ladder Standards'!AD22</f>
        <v>0</v>
      </c>
      <c r="H23" s="24"/>
      <c r="I23" s="24"/>
      <c r="P23" s="13" t="s">
        <v>29</v>
      </c>
      <c r="Q23" s="13" t="s">
        <v>37</v>
      </c>
      <c r="R23" s="13" t="s">
        <v>40</v>
      </c>
      <c r="S23" s="14"/>
      <c r="T23" s="14"/>
      <c r="X23" s="19"/>
      <c r="Y23" s="14"/>
      <c r="Z23" s="14"/>
      <c r="AA23" s="13"/>
      <c r="AB23" s="14"/>
      <c r="AC23" s="13"/>
      <c r="AF23" s="19"/>
      <c r="AG23" s="19"/>
      <c r="AH23" s="17" t="s">
        <v>37</v>
      </c>
      <c r="AI23" s="13" t="s">
        <v>29</v>
      </c>
      <c r="AJ23" s="13" t="s">
        <v>40</v>
      </c>
      <c r="AK23" s="19" t="s">
        <v>48</v>
      </c>
      <c r="AL23" s="19" t="s">
        <v>49</v>
      </c>
      <c r="AN23" s="14"/>
      <c r="AO23" s="13"/>
      <c r="AV23" s="19"/>
      <c r="AW23" s="19"/>
      <c r="AX23" s="19"/>
      <c r="AY23" s="19"/>
      <c r="AZ23" s="19"/>
    </row>
    <row r="24" spans="1:59">
      <c r="A24" s="19" t="str">
        <f>'Ladder Standards'!X23</f>
        <v>1.0 kb</v>
      </c>
      <c r="B24" s="3">
        <f>'Ladder Standards'!Y23</f>
        <v>3.75</v>
      </c>
      <c r="C24" s="3">
        <f>'Ladder Standards'!Z23</f>
        <v>3676.1840000000002</v>
      </c>
      <c r="D24" s="7">
        <f>'Ladder Standards'!AA23</f>
        <v>0</v>
      </c>
      <c r="E24" s="7">
        <f>'Ladder Standards'!AB23</f>
        <v>0</v>
      </c>
      <c r="F24" s="18">
        <f>'Ladder Standards'!AC23</f>
        <v>6</v>
      </c>
      <c r="G24" s="18">
        <f>'Ladder Standards'!AD23</f>
        <v>0</v>
      </c>
      <c r="H24" s="24">
        <f>'Ladder Standards'!AF23</f>
        <v>3</v>
      </c>
      <c r="I24" s="24">
        <f>'Ladder Standards'!AG23</f>
        <v>1912.5060000000001</v>
      </c>
      <c r="L24" s="46" t="s">
        <v>31</v>
      </c>
      <c r="M24" s="7" t="s">
        <v>21</v>
      </c>
      <c r="N24" s="7" t="s">
        <v>4</v>
      </c>
      <c r="O24" s="7">
        <v>3757.4769999999999</v>
      </c>
      <c r="P24" s="11">
        <f>(O24-10.323)/1251.7</f>
        <v>2.9936518335064313</v>
      </c>
      <c r="Q24" s="11"/>
      <c r="R24" s="11">
        <f>(O24+192.21)/1125.4</f>
        <v>3.5095850364314907</v>
      </c>
      <c r="S24" s="11">
        <f t="shared" ref="S24:S29" si="48">AVERAGE(P24:R24)</f>
        <v>3.251618434968961</v>
      </c>
      <c r="T24" s="11">
        <f t="shared" ref="T24:T29" si="49">_xlfn.STDEV.P(P24:R24)</f>
        <v>0.2579666014625297</v>
      </c>
      <c r="X24" s="19"/>
      <c r="Y24" s="14"/>
      <c r="Z24" s="14"/>
      <c r="AA24" s="13"/>
      <c r="AB24" s="14"/>
      <c r="AC24" s="13"/>
      <c r="AE24" s="24" t="s">
        <v>21</v>
      </c>
      <c r="AF24" s="24" t="s">
        <v>4</v>
      </c>
      <c r="AG24" s="24">
        <v>3748.4769999999999</v>
      </c>
      <c r="AH24" s="28" t="s">
        <v>120</v>
      </c>
      <c r="AI24" s="28">
        <f t="shared" ref="AI24:AI29" si="50">(AG24+201.15)/777.02</f>
        <v>5.0830441944866287</v>
      </c>
      <c r="AJ24" s="28">
        <f t="shared" ref="AJ24:AJ29" si="51">(AG24+189.6)/698.1</f>
        <v>5.6411359404096828</v>
      </c>
      <c r="AK24" s="28">
        <f>AVERAGE(AH24:AJ24)</f>
        <v>5.3620900674481558</v>
      </c>
      <c r="AL24" s="28">
        <f>_xlfn.STDEV.P(AH24:AJ24)</f>
        <v>0.27904587296152705</v>
      </c>
      <c r="AM24" s="14"/>
      <c r="AN24" s="47" t="s">
        <v>28</v>
      </c>
      <c r="AO24" s="11">
        <f t="shared" ref="AO24:AO29" si="52">S24</f>
        <v>3.251618434968961</v>
      </c>
      <c r="AP24" s="17">
        <v>0.04</v>
      </c>
      <c r="AQ24" s="17">
        <f>AO24/AP24</f>
        <v>81.290460874224024</v>
      </c>
      <c r="AV24" s="19"/>
      <c r="AW24" s="28">
        <f>AK24</f>
        <v>5.3620900674481558</v>
      </c>
      <c r="AX24" s="17">
        <v>0.05</v>
      </c>
      <c r="AY24" s="19">
        <f>AW24/AX24</f>
        <v>107.24180134896311</v>
      </c>
      <c r="AZ24" s="19"/>
      <c r="BA24" s="17" t="s">
        <v>102</v>
      </c>
    </row>
    <row r="25" spans="1:59" ht="16" thickBot="1">
      <c r="B25" s="3">
        <f>'Ladder Standards'!Y24</f>
        <v>1.875</v>
      </c>
      <c r="C25" s="3">
        <f>'Ladder Standards'!Z24</f>
        <v>2407.87</v>
      </c>
      <c r="D25" s="7">
        <f>'Ladder Standards'!AA24</f>
        <v>1.875</v>
      </c>
      <c r="E25" s="7">
        <f>'Ladder Standards'!AB24</f>
        <v>2190.87</v>
      </c>
      <c r="F25" s="18">
        <f>'Ladder Standards'!AC24</f>
        <v>3</v>
      </c>
      <c r="G25" s="18">
        <f>'Ladder Standards'!AD24</f>
        <v>3530.87</v>
      </c>
      <c r="H25" s="24">
        <f>'Ladder Standards'!AF24</f>
        <v>1.5</v>
      </c>
      <c r="I25" s="24">
        <f>'Ladder Standards'!AG24</f>
        <v>784.971</v>
      </c>
      <c r="L25" s="46"/>
      <c r="M25" s="7"/>
      <c r="N25" s="7" t="s">
        <v>5</v>
      </c>
      <c r="O25" s="7">
        <v>1471.82</v>
      </c>
      <c r="P25" s="11">
        <f>(O25-10.323)/1251.7</f>
        <v>1.1676096508748102</v>
      </c>
      <c r="Q25" s="11">
        <f>(O25+128.32)/1157.4</f>
        <v>1.3825298081907722</v>
      </c>
      <c r="R25" s="11">
        <f>(O25+192.21)/1125.4</f>
        <v>1.4786120490492267</v>
      </c>
      <c r="S25" s="11">
        <f t="shared" si="48"/>
        <v>1.3429171693716031</v>
      </c>
      <c r="T25" s="11">
        <f t="shared" si="49"/>
        <v>0.13001921340894979</v>
      </c>
      <c r="X25" s="19"/>
      <c r="Y25" s="14"/>
      <c r="Z25" s="14"/>
      <c r="AA25" s="14"/>
      <c r="AB25" s="14"/>
      <c r="AC25" s="13"/>
      <c r="AD25" s="19"/>
      <c r="AE25" s="24"/>
      <c r="AF25" s="24" t="s">
        <v>5</v>
      </c>
      <c r="AG25" s="24">
        <v>2228.991</v>
      </c>
      <c r="AH25" s="28" t="s">
        <v>120</v>
      </c>
      <c r="AI25" s="28">
        <f t="shared" si="50"/>
        <v>3.1275140923013565</v>
      </c>
      <c r="AJ25" s="28">
        <f t="shared" si="51"/>
        <v>3.4645337344220022</v>
      </c>
      <c r="AK25" s="28">
        <f t="shared" ref="AK25:AK29" si="53">AVERAGE(AH25:AJ25)</f>
        <v>3.2960239133616795</v>
      </c>
      <c r="AL25" s="28">
        <f t="shared" ref="AL25:AL29" si="54">_xlfn.STDEV.P(AH25:AJ25)</f>
        <v>0.16850982106032286</v>
      </c>
      <c r="AM25" s="14"/>
      <c r="AN25" s="47"/>
      <c r="AO25" s="11">
        <f t="shared" si="52"/>
        <v>1.3429171693716031</v>
      </c>
      <c r="AP25" s="17">
        <v>0.02</v>
      </c>
      <c r="AQ25" s="17">
        <f t="shared" ref="AQ25:AQ29" si="55">AO25/AP25</f>
        <v>67.145858468580158</v>
      </c>
      <c r="AS25" s="19"/>
      <c r="AT25" s="19"/>
      <c r="AU25" s="19"/>
      <c r="AV25" s="19"/>
      <c r="AW25" s="28">
        <f t="shared" ref="AW25:AW29" si="56">AK25</f>
        <v>3.2960239133616795</v>
      </c>
      <c r="AX25" s="17">
        <v>2.5000000000000001E-2</v>
      </c>
      <c r="AY25" s="19">
        <f t="shared" ref="AY25:AY32" si="57">AW25/AX25</f>
        <v>131.84095653446718</v>
      </c>
      <c r="AZ25" s="19"/>
      <c r="BA25" s="19"/>
      <c r="BB25" s="19"/>
      <c r="BC25" s="19" t="s">
        <v>99</v>
      </c>
    </row>
    <row r="26" spans="1:59" ht="16" thickBot="1">
      <c r="B26" s="3">
        <f>'Ladder Standards'!Y25</f>
        <v>0.9375</v>
      </c>
      <c r="C26" s="3">
        <f>'Ladder Standards'!Z25</f>
        <v>1176.5060000000001</v>
      </c>
      <c r="D26" s="7">
        <f>'Ladder Standards'!AA25</f>
        <v>0.9375</v>
      </c>
      <c r="E26" s="7">
        <f>'Ladder Standards'!AB25</f>
        <v>651.09199999999998</v>
      </c>
      <c r="F26" s="18">
        <f>'Ladder Standards'!AC25</f>
        <v>1.5</v>
      </c>
      <c r="G26" s="18">
        <f>'Ladder Standards'!AD25</f>
        <v>1657.335</v>
      </c>
      <c r="H26" s="24">
        <f>'Ladder Standards'!AF25</f>
        <v>0.75</v>
      </c>
      <c r="I26" s="24">
        <f>'Ladder Standards'!AG25</f>
        <v>225.55600000000001</v>
      </c>
      <c r="L26" s="46"/>
      <c r="M26" s="7"/>
      <c r="N26" s="7" t="s">
        <v>6</v>
      </c>
      <c r="O26" s="7">
        <v>812.40599999999995</v>
      </c>
      <c r="P26" s="11">
        <f>(O26-10.323)/1251.7</f>
        <v>0.64079491891028195</v>
      </c>
      <c r="Q26" s="11">
        <f>(O26+128.32)/1157.4</f>
        <v>0.81279246587178144</v>
      </c>
      <c r="R26" s="11">
        <f>(O26+192.21)/1125.4</f>
        <v>0.89267460458503634</v>
      </c>
      <c r="S26" s="11">
        <f t="shared" si="48"/>
        <v>0.78208732978903317</v>
      </c>
      <c r="T26" s="11">
        <f t="shared" si="49"/>
        <v>0.10509661602639302</v>
      </c>
      <c r="X26" s="19"/>
      <c r="Y26" s="14"/>
      <c r="Z26" s="14"/>
      <c r="AA26" s="14"/>
      <c r="AB26" s="14"/>
      <c r="AC26" s="13"/>
      <c r="AD26" s="19"/>
      <c r="AE26" s="24"/>
      <c r="AF26" s="24" t="s">
        <v>6</v>
      </c>
      <c r="AG26" s="24">
        <v>786.74900000000002</v>
      </c>
      <c r="AH26" s="28">
        <f>(AG26+113.29)/650.65</f>
        <v>1.3832920925228618</v>
      </c>
      <c r="AI26" s="28">
        <f t="shared" si="50"/>
        <v>1.2713945586986177</v>
      </c>
      <c r="AJ26" s="28">
        <f t="shared" si="51"/>
        <v>1.3985804326027791</v>
      </c>
      <c r="AK26" s="28">
        <f t="shared" si="53"/>
        <v>1.3510890279414196</v>
      </c>
      <c r="AL26" s="28">
        <f t="shared" si="54"/>
        <v>5.6697087853014777E-2</v>
      </c>
      <c r="AM26" s="14"/>
      <c r="AN26" s="47"/>
      <c r="AO26" s="11">
        <f t="shared" si="52"/>
        <v>0.78208732978903317</v>
      </c>
      <c r="AP26" s="17">
        <v>0.01</v>
      </c>
      <c r="AQ26" s="17">
        <f t="shared" si="55"/>
        <v>78.208732978903313</v>
      </c>
      <c r="AS26" s="19"/>
      <c r="AT26" s="19"/>
      <c r="AU26" s="19"/>
      <c r="AV26" s="19"/>
      <c r="AW26" s="28">
        <f t="shared" si="56"/>
        <v>1.3510890279414196</v>
      </c>
      <c r="AX26" s="17">
        <v>1.2500000000000001E-2</v>
      </c>
      <c r="AY26" s="19">
        <f t="shared" si="57"/>
        <v>108.08712223531356</v>
      </c>
      <c r="AZ26" s="19"/>
      <c r="BA26" s="50">
        <v>0.6</v>
      </c>
      <c r="BB26" s="32">
        <v>0.2</v>
      </c>
      <c r="BC26" s="32">
        <v>813</v>
      </c>
    </row>
    <row r="27" spans="1:59" ht="16" thickBot="1">
      <c r="B27" s="3">
        <f>'Ladder Standards'!Y26</f>
        <v>0.46875</v>
      </c>
      <c r="C27" s="3">
        <f>'Ladder Standards'!Z26</f>
        <v>512.38499999999999</v>
      </c>
      <c r="D27" s="7">
        <f>'Ladder Standards'!AA26</f>
        <v>0.46875</v>
      </c>
      <c r="E27" s="7">
        <f>'Ladder Standards'!AB26</f>
        <v>415.971</v>
      </c>
      <c r="F27" s="18">
        <f>'Ladder Standards'!AC26</f>
        <v>0.75</v>
      </c>
      <c r="G27" s="18">
        <f>'Ladder Standards'!AD26</f>
        <v>863.92</v>
      </c>
      <c r="H27" s="24">
        <f>'Ladder Standards'!AF26</f>
        <v>0.375</v>
      </c>
      <c r="I27" s="24">
        <f>'Ladder Standards'!AG26</f>
        <v>127.435</v>
      </c>
      <c r="L27" s="46"/>
      <c r="M27" s="3" t="s">
        <v>22</v>
      </c>
      <c r="N27" s="3" t="s">
        <v>4</v>
      </c>
      <c r="O27" s="3">
        <v>2018.527</v>
      </c>
      <c r="P27" s="12">
        <f>(O27-81.184)/1012.6</f>
        <v>1.9132362235828559</v>
      </c>
      <c r="Q27" s="12">
        <f>(O27-133.98)/1000.5</f>
        <v>1.8836051974012993</v>
      </c>
      <c r="R27" s="12">
        <f>(O27-126.91)/1016.5</f>
        <v>1.860911952779144</v>
      </c>
      <c r="S27" s="12">
        <f t="shared" si="48"/>
        <v>1.8859177912544329</v>
      </c>
      <c r="T27" s="12">
        <f t="shared" si="49"/>
        <v>2.1423793572135467E-2</v>
      </c>
      <c r="X27" s="19"/>
      <c r="Y27" s="14"/>
      <c r="Z27" s="14"/>
      <c r="AA27" s="14"/>
      <c r="AB27" s="14"/>
      <c r="AC27" s="13"/>
      <c r="AD27" s="19"/>
      <c r="AE27" s="24" t="s">
        <v>22</v>
      </c>
      <c r="AF27" s="24" t="s">
        <v>4</v>
      </c>
      <c r="AG27" s="24">
        <v>731.45600000000002</v>
      </c>
      <c r="AH27" s="28">
        <f>(AG27+113.29)/650.65</f>
        <v>1.2983109198493814</v>
      </c>
      <c r="AI27" s="28">
        <f t="shared" si="50"/>
        <v>1.2002342282051943</v>
      </c>
      <c r="AJ27" s="28">
        <f t="shared" si="51"/>
        <v>1.3193754476436041</v>
      </c>
      <c r="AK27" s="28">
        <f t="shared" si="53"/>
        <v>1.2726401985660598</v>
      </c>
      <c r="AL27" s="28">
        <f t="shared" si="54"/>
        <v>5.1915938405094252E-2</v>
      </c>
      <c r="AM27" s="14"/>
      <c r="AN27" s="47"/>
      <c r="AO27" s="12">
        <f t="shared" si="52"/>
        <v>1.8859177912544329</v>
      </c>
      <c r="AP27" s="17">
        <v>0.05</v>
      </c>
      <c r="AQ27" s="17">
        <f t="shared" si="55"/>
        <v>37.718355825088658</v>
      </c>
      <c r="AS27" s="19"/>
      <c r="AT27" s="19"/>
      <c r="AU27" s="19"/>
      <c r="AV27" s="19"/>
      <c r="AW27" s="28">
        <f t="shared" si="56"/>
        <v>1.2726401985660598</v>
      </c>
      <c r="AX27" s="17">
        <v>0.05</v>
      </c>
      <c r="AY27" s="19">
        <f t="shared" si="57"/>
        <v>25.452803971321195</v>
      </c>
      <c r="AZ27" s="19"/>
      <c r="BA27" s="51"/>
      <c r="BB27" s="33">
        <v>0.4</v>
      </c>
      <c r="BC27" s="33">
        <v>790</v>
      </c>
    </row>
    <row r="28" spans="1:59" ht="16" thickBot="1">
      <c r="B28" s="3">
        <f>'Ladder Standards'!Y27</f>
        <v>0.234375</v>
      </c>
      <c r="C28" s="3">
        <f>'Ladder Standards'!Z27</f>
        <v>299.971</v>
      </c>
      <c r="D28" s="7">
        <f>'Ladder Standards'!AA27</f>
        <v>0.234375</v>
      </c>
      <c r="E28" s="7">
        <f>'Ladder Standards'!AB27</f>
        <v>169.435</v>
      </c>
      <c r="F28" s="18">
        <f>'Ladder Standards'!AC27</f>
        <v>0.375</v>
      </c>
      <c r="G28" s="18">
        <f>'Ladder Standards'!AD27</f>
        <v>502.09199999999998</v>
      </c>
      <c r="H28" s="24">
        <f>'Ladder Standards'!AF27</f>
        <v>0.1875</v>
      </c>
      <c r="I28" s="24">
        <f>'Ladder Standards'!AG27</f>
        <v>51.656999999999996</v>
      </c>
      <c r="L28" s="46"/>
      <c r="M28" s="3"/>
      <c r="N28" s="3" t="s">
        <v>5</v>
      </c>
      <c r="O28" s="3">
        <v>814.99099999999999</v>
      </c>
      <c r="P28" s="12">
        <f>(O28-81.184)/1012.6</f>
        <v>0.72467608137467909</v>
      </c>
      <c r="Q28" s="12">
        <f>(O28-133.98)/1000.5</f>
        <v>0.68067066466766613</v>
      </c>
      <c r="R28" s="12">
        <f>(O28-126.91)/1016.5</f>
        <v>0.67691195277914418</v>
      </c>
      <c r="S28" s="12">
        <f t="shared" si="48"/>
        <v>0.69408623294049654</v>
      </c>
      <c r="T28" s="12">
        <f t="shared" si="49"/>
        <v>2.16846504727027E-2</v>
      </c>
      <c r="X28" s="19"/>
      <c r="Y28" s="14"/>
      <c r="Z28" s="14"/>
      <c r="AA28" s="14"/>
      <c r="AB28" s="14"/>
      <c r="AC28" s="13"/>
      <c r="AD28" s="19"/>
      <c r="AE28" s="24"/>
      <c r="AF28" s="24" t="s">
        <v>5</v>
      </c>
      <c r="AG28" s="24">
        <v>224.09200000000001</v>
      </c>
      <c r="AH28" s="28">
        <f>(AG28+113.29)/650.65</f>
        <v>0.51853070006916169</v>
      </c>
      <c r="AI28" s="28">
        <f t="shared" si="50"/>
        <v>0.54727291446809612</v>
      </c>
      <c r="AJ28" s="28">
        <f t="shared" si="51"/>
        <v>0.59259704913336197</v>
      </c>
      <c r="AK28" s="28">
        <f t="shared" si="53"/>
        <v>0.55280022122353989</v>
      </c>
      <c r="AL28" s="28">
        <f t="shared" si="54"/>
        <v>3.0489007373167266E-2</v>
      </c>
      <c r="AM28" s="14"/>
      <c r="AN28" s="47"/>
      <c r="AO28" s="12">
        <f t="shared" si="52"/>
        <v>0.69408623294049654</v>
      </c>
      <c r="AP28" s="17">
        <v>2.5000000000000001E-2</v>
      </c>
      <c r="AQ28" s="17">
        <f t="shared" si="55"/>
        <v>27.763449317619859</v>
      </c>
      <c r="AS28" s="19"/>
      <c r="AT28" s="19"/>
      <c r="AU28" s="19"/>
      <c r="AV28" s="19"/>
      <c r="AW28" s="28">
        <f t="shared" si="56"/>
        <v>0.55280022122353989</v>
      </c>
      <c r="AX28" s="17">
        <v>2.5000000000000001E-2</v>
      </c>
      <c r="AY28" s="19">
        <f t="shared" si="57"/>
        <v>22.112008848941596</v>
      </c>
      <c r="AZ28" s="19"/>
      <c r="BA28" s="52"/>
      <c r="BB28" s="33">
        <v>0.8</v>
      </c>
      <c r="BC28" s="33">
        <v>1099</v>
      </c>
    </row>
    <row r="29" spans="1:59" ht="16" thickBot="1">
      <c r="B29" s="3">
        <f>'Ladder Standards'!Y28</f>
        <v>0</v>
      </c>
      <c r="C29" s="3">
        <f>'Ladder Standards'!Z28</f>
        <v>0</v>
      </c>
      <c r="D29" s="7">
        <f>'Ladder Standards'!AA28</f>
        <v>0</v>
      </c>
      <c r="E29" s="7">
        <f>'Ladder Standards'!AB28</f>
        <v>0</v>
      </c>
      <c r="F29" s="18">
        <f>'Ladder Standards'!AC28</f>
        <v>0.1875</v>
      </c>
      <c r="G29" s="18">
        <f>'Ladder Standards'!AD28</f>
        <v>153.435</v>
      </c>
      <c r="H29" s="24"/>
      <c r="I29" s="24"/>
      <c r="L29" s="46"/>
      <c r="M29" s="3"/>
      <c r="N29" s="3" t="s">
        <v>6</v>
      </c>
      <c r="O29" s="3">
        <v>345.62700000000001</v>
      </c>
      <c r="P29" s="12">
        <f>(O29-81.184)/1012.6</f>
        <v>0.26115247876752912</v>
      </c>
      <c r="Q29" s="12">
        <f>(O29-133.98)/1000.5</f>
        <v>0.21154122938530737</v>
      </c>
      <c r="R29" s="12">
        <f>(O29-126.91)/1016.5</f>
        <v>0.21516674864731924</v>
      </c>
      <c r="S29" s="12">
        <f t="shared" si="48"/>
        <v>0.22928681893338523</v>
      </c>
      <c r="T29" s="12">
        <f t="shared" si="49"/>
        <v>2.2580984699208499E-2</v>
      </c>
      <c r="AD29" s="19"/>
      <c r="AE29" s="24"/>
      <c r="AF29" s="24" t="s">
        <v>6</v>
      </c>
      <c r="AG29" s="24">
        <v>115.31399999999999</v>
      </c>
      <c r="AH29" s="28">
        <f>(AG29+113.29)/650.65</f>
        <v>0.35134711442403749</v>
      </c>
      <c r="AI29" s="28">
        <f t="shared" si="50"/>
        <v>0.40727909191526601</v>
      </c>
      <c r="AJ29" s="28">
        <f t="shared" si="51"/>
        <v>0.43677696605070904</v>
      </c>
      <c r="AK29" s="28">
        <f t="shared" si="53"/>
        <v>0.39846772413000414</v>
      </c>
      <c r="AL29" s="28">
        <f t="shared" si="54"/>
        <v>3.5428755166052532E-2</v>
      </c>
      <c r="AM29" s="14"/>
      <c r="AN29" s="47"/>
      <c r="AO29" s="12">
        <f t="shared" si="52"/>
        <v>0.22928681893338523</v>
      </c>
      <c r="AP29" s="17">
        <v>1.2500000000000001E-2</v>
      </c>
      <c r="AQ29" s="17">
        <f t="shared" si="55"/>
        <v>18.342945514670816</v>
      </c>
      <c r="AS29" s="19"/>
      <c r="AT29" s="19"/>
      <c r="AU29" s="19"/>
      <c r="AV29" s="19"/>
      <c r="AW29" s="28">
        <f t="shared" si="56"/>
        <v>0.39846772413000414</v>
      </c>
      <c r="AX29" s="17">
        <v>1.2500000000000001E-2</v>
      </c>
      <c r="AY29" s="19">
        <f t="shared" si="57"/>
        <v>31.87741793040033</v>
      </c>
      <c r="AZ29" s="19"/>
      <c r="BA29" s="53" t="s">
        <v>2</v>
      </c>
      <c r="BB29" s="54"/>
      <c r="BC29" s="55"/>
    </row>
    <row r="30" spans="1:59" ht="16" thickBot="1">
      <c r="B30" s="3">
        <f>'Ladder Standards'!Y29</f>
        <v>0</v>
      </c>
      <c r="C30" s="3">
        <f>'Ladder Standards'!Z29</f>
        <v>0</v>
      </c>
      <c r="D30" s="7">
        <f>'Ladder Standards'!AA29</f>
        <v>0</v>
      </c>
      <c r="E30" s="7">
        <f>'Ladder Standards'!AB29</f>
        <v>0</v>
      </c>
      <c r="F30" s="18">
        <f>'Ladder Standards'!AC29</f>
        <v>0</v>
      </c>
      <c r="G30" s="18">
        <f>'Ladder Standards'!AD29</f>
        <v>0</v>
      </c>
      <c r="H30" s="24"/>
      <c r="I30" s="24"/>
      <c r="L30" s="46"/>
      <c r="P30" s="13"/>
      <c r="Q30" s="13"/>
      <c r="R30" s="13"/>
      <c r="S30" s="14"/>
      <c r="T30" s="14"/>
      <c r="X30" s="19"/>
      <c r="Y30" s="13" t="s">
        <v>36</v>
      </c>
      <c r="Z30" s="13" t="s">
        <v>29</v>
      </c>
      <c r="AA30" s="13" t="s">
        <v>40</v>
      </c>
      <c r="AB30" s="14"/>
      <c r="AC30" s="13"/>
      <c r="AD30" s="19"/>
      <c r="AH30" s="13" t="s">
        <v>36</v>
      </c>
      <c r="AI30" s="13" t="s">
        <v>29</v>
      </c>
      <c r="AJ30" s="13" t="s">
        <v>40</v>
      </c>
      <c r="AK30" s="19" t="s">
        <v>48</v>
      </c>
      <c r="AL30" s="19" t="s">
        <v>49</v>
      </c>
      <c r="AN30" s="47"/>
      <c r="AS30" s="15">
        <f>AB31</f>
        <v>1.3063448558785371</v>
      </c>
      <c r="AT30" s="17">
        <v>0.05</v>
      </c>
      <c r="AU30" s="17">
        <f t="shared" ref="AU30:AU32" si="58">AS30/AT30</f>
        <v>26.126897117570742</v>
      </c>
      <c r="AV30" s="19"/>
      <c r="AW30" s="28">
        <f>AK31</f>
        <v>0.86986680430636321</v>
      </c>
      <c r="AX30" s="17">
        <v>0.05</v>
      </c>
      <c r="AY30" s="19">
        <f t="shared" si="57"/>
        <v>17.397336086127265</v>
      </c>
      <c r="AZ30" s="19"/>
      <c r="BA30" s="56">
        <v>1</v>
      </c>
      <c r="BB30" s="33">
        <v>0.2</v>
      </c>
      <c r="BC30" s="33">
        <v>1199</v>
      </c>
    </row>
    <row r="31" spans="1:59" ht="16" thickBot="1">
      <c r="B31" s="3">
        <f>'Ladder Standards'!Y30</f>
        <v>0</v>
      </c>
      <c r="C31" s="3">
        <f>'Ladder Standards'!Z30</f>
        <v>0</v>
      </c>
      <c r="D31" s="7">
        <f>'Ladder Standards'!AA30</f>
        <v>0</v>
      </c>
      <c r="E31" s="7">
        <f>'Ladder Standards'!AB30</f>
        <v>0</v>
      </c>
      <c r="F31" s="18"/>
      <c r="G31" s="18"/>
      <c r="H31" s="24"/>
      <c r="I31" s="24"/>
      <c r="L31" s="46"/>
      <c r="P31" s="13"/>
      <c r="Q31" s="13"/>
      <c r="R31" s="13"/>
      <c r="S31" s="14"/>
      <c r="T31" s="14"/>
      <c r="V31" s="18" t="s">
        <v>23</v>
      </c>
      <c r="W31" s="18" t="s">
        <v>4</v>
      </c>
      <c r="X31" s="18">
        <v>1753.0619999999999</v>
      </c>
      <c r="Y31" s="15">
        <f>(X31+33.574)/1199.1</f>
        <v>1.4899808189475441</v>
      </c>
      <c r="Z31" s="15">
        <f>(X31-155.43)/1634.8</f>
        <v>0.97726449718620012</v>
      </c>
      <c r="AA31" s="15">
        <f>(X31+35.252)/1231.8</f>
        <v>1.4517892515018671</v>
      </c>
      <c r="AB31" s="15">
        <f>AVERAGE(Y31:AA31)</f>
        <v>1.3063448558785371</v>
      </c>
      <c r="AC31" s="15">
        <f>_xlfn.STDEV.P(Y31:AA31)</f>
        <v>0.23321672440571584</v>
      </c>
      <c r="AD31" s="19"/>
      <c r="AE31" s="24" t="s">
        <v>23</v>
      </c>
      <c r="AF31" s="24" t="s">
        <v>4</v>
      </c>
      <c r="AG31" s="24">
        <v>471.04199999999997</v>
      </c>
      <c r="AH31" s="28">
        <f>(AG31+74.801)/683.87</f>
        <v>0.79816778042610437</v>
      </c>
      <c r="AI31" s="28">
        <f>(AG31+201.15)/777.02</f>
        <v>0.86508970168078048</v>
      </c>
      <c r="AJ31" s="28">
        <f>(AG31+189.6)/698.1</f>
        <v>0.94634293081220444</v>
      </c>
      <c r="AK31" s="28">
        <f>AVERAGE(AH31:AJ31)</f>
        <v>0.86986680430636321</v>
      </c>
      <c r="AL31" s="28">
        <f>_xlfn.STDEV.P(AH31:AJ31)</f>
        <v>6.0586490959109326E-2</v>
      </c>
      <c r="AM31" s="14"/>
      <c r="AN31" s="47"/>
      <c r="AS31" s="15">
        <f>AB32</f>
        <v>0.50811841923153778</v>
      </c>
      <c r="AT31" s="17">
        <v>2.5000000000000001E-2</v>
      </c>
      <c r="AU31" s="17">
        <f t="shared" si="58"/>
        <v>20.324736769261509</v>
      </c>
      <c r="AV31" s="19"/>
      <c r="AW31" s="28">
        <f t="shared" ref="AW31:AW32" si="59">AK32</f>
        <v>0.46995747636774893</v>
      </c>
      <c r="AX31" s="17">
        <v>2.5000000000000001E-2</v>
      </c>
      <c r="AY31" s="19">
        <f t="shared" si="57"/>
        <v>18.798299054709958</v>
      </c>
      <c r="AZ31" s="19"/>
      <c r="BA31" s="57"/>
      <c r="BB31" s="33">
        <v>0.4</v>
      </c>
      <c r="BC31" s="33">
        <v>1176</v>
      </c>
    </row>
    <row r="32" spans="1:59" ht="16" thickBot="1">
      <c r="B32" s="3" t="str">
        <f>'Ladder Standards'!Y31</f>
        <v>Trendline</v>
      </c>
      <c r="C32" s="3" t="str">
        <f>'Ladder Standards'!Z31</f>
        <v>(-133.98)/1000.5</v>
      </c>
      <c r="D32" s="7" t="str">
        <f>'Ladder Standards'!AA31</f>
        <v>Trendline</v>
      </c>
      <c r="E32" s="7" t="str">
        <f>'Ladder Standards'!AB31</f>
        <v>(+128.32)/1157.4</v>
      </c>
      <c r="F32" s="18">
        <f>'Ladder Standards'!AC31</f>
        <v>0</v>
      </c>
      <c r="G32" s="18" t="str">
        <f>'Ladder Standards'!AD31</f>
        <v>(+16.621)/1174.2</v>
      </c>
      <c r="H32" s="24"/>
      <c r="I32" s="24" t="str">
        <f>'Ladder Standards'!$AG$31</f>
        <v>(+113.29)/650.65</v>
      </c>
      <c r="L32" s="46"/>
      <c r="P32" s="13"/>
      <c r="Q32" s="13"/>
      <c r="R32" s="13"/>
      <c r="S32" s="14"/>
      <c r="T32" s="14"/>
      <c r="V32" s="18"/>
      <c r="W32" s="18" t="s">
        <v>5</v>
      </c>
      <c r="X32" s="18">
        <v>692.28399999999999</v>
      </c>
      <c r="Y32" s="15">
        <f>(X32+33.574)/1199.1</f>
        <v>0.60533566841798014</v>
      </c>
      <c r="Z32" s="15">
        <f>(X32-155.43)/1634.8</f>
        <v>0.32839124051871793</v>
      </c>
      <c r="AA32" s="15">
        <f>(X32+35.252)/1231.8</f>
        <v>0.59062834875791526</v>
      </c>
      <c r="AB32" s="15">
        <f t="shared" ref="AB32:AB33" si="60">AVERAGE(Y32:AA32)</f>
        <v>0.50811841923153778</v>
      </c>
      <c r="AC32" s="15">
        <f t="shared" ref="AC32:AC33" si="61">_xlfn.STDEV.P(Y32:AA32)</f>
        <v>0.12722806396113548</v>
      </c>
      <c r="AD32" s="19"/>
      <c r="AE32" s="24"/>
      <c r="AF32" s="24" t="s">
        <v>5</v>
      </c>
      <c r="AG32" s="24">
        <v>184.142</v>
      </c>
      <c r="AH32" s="28">
        <f>(AG32+74.801)/683.87</f>
        <v>0.37864360185415352</v>
      </c>
      <c r="AI32" s="28">
        <f>(AG32+201.15)/777.02</f>
        <v>0.49585853645980804</v>
      </c>
      <c r="AJ32" s="28">
        <f>(AG32+189.6)/698.1</f>
        <v>0.53537029078928511</v>
      </c>
      <c r="AK32" s="28">
        <f>AVERAGE(AH32:AJ32)</f>
        <v>0.46995747636774893</v>
      </c>
      <c r="AL32" s="28">
        <f>_xlfn.STDEV.P(AH32:AJ32)</f>
        <v>6.6553048723364025E-2</v>
      </c>
      <c r="AM32" s="14"/>
      <c r="AN32" s="47"/>
      <c r="AS32" s="15">
        <f>AB33</f>
        <v>0.17289473988516321</v>
      </c>
      <c r="AT32" s="17">
        <v>1.2500000000000001E-2</v>
      </c>
      <c r="AU32" s="17">
        <f t="shared" si="58"/>
        <v>13.831579190813056</v>
      </c>
      <c r="AV32" s="19"/>
      <c r="AW32" s="28">
        <f t="shared" si="59"/>
        <v>0.3883656586232847</v>
      </c>
      <c r="AX32" s="17">
        <v>1.2500000000000001E-2</v>
      </c>
      <c r="AY32" s="19">
        <f t="shared" si="57"/>
        <v>31.069252689862775</v>
      </c>
      <c r="AZ32" s="19"/>
      <c r="BA32" s="58"/>
      <c r="BB32" s="33">
        <v>0.8</v>
      </c>
      <c r="BC32" s="33">
        <v>1485</v>
      </c>
    </row>
    <row r="33" spans="1:56" ht="16" thickBot="1">
      <c r="B33" s="3">
        <f>'Ladder Standards'!Y32</f>
        <v>0</v>
      </c>
      <c r="C33" s="3"/>
      <c r="D33" s="7">
        <f>'Ladder Standards'!AA32</f>
        <v>0</v>
      </c>
      <c r="E33" s="7">
        <f>'Ladder Standards'!AB32</f>
        <v>0</v>
      </c>
      <c r="F33" s="18">
        <f>'Ladder Standards'!AC32</f>
        <v>0</v>
      </c>
      <c r="G33" s="18">
        <f>'Ladder Standards'!AD32</f>
        <v>0</v>
      </c>
      <c r="H33" s="24"/>
      <c r="I33" s="24"/>
      <c r="L33" s="22"/>
      <c r="P33" s="13"/>
      <c r="Q33" s="13"/>
      <c r="R33" s="13"/>
      <c r="S33" s="14"/>
      <c r="T33" s="14"/>
      <c r="V33" s="18"/>
      <c r="W33" s="18" t="s">
        <v>6</v>
      </c>
      <c r="X33" s="18">
        <v>246.79900000000001</v>
      </c>
      <c r="Y33" s="15">
        <f>(X33+33.574)/1199.1</f>
        <v>0.23381953131515304</v>
      </c>
      <c r="Z33" s="15">
        <f>(X33-155.43)/1634.8</f>
        <v>5.5890017127477369E-2</v>
      </c>
      <c r="AA33" s="15">
        <f>(X33+35.252)/1231.8</f>
        <v>0.22897467121285922</v>
      </c>
      <c r="AB33" s="15">
        <f t="shared" si="60"/>
        <v>0.17289473988516321</v>
      </c>
      <c r="AC33" s="15">
        <f t="shared" si="61"/>
        <v>8.2758471985470677E-2</v>
      </c>
      <c r="AD33" s="19"/>
      <c r="AE33" s="24"/>
      <c r="AF33" s="24" t="s">
        <v>6</v>
      </c>
      <c r="AG33" s="24">
        <v>125.607</v>
      </c>
      <c r="AH33" s="28">
        <f>(AG33+74.801)/683.87</f>
        <v>0.29304984865544625</v>
      </c>
      <c r="AI33" s="28">
        <f>(AG33+201.15)/777.02</f>
        <v>0.42052585519034263</v>
      </c>
      <c r="AJ33" s="28">
        <f>(AG33+189.6)/698.1</f>
        <v>0.45152127202406528</v>
      </c>
      <c r="AK33" s="28">
        <f>AVERAGE(AH33:AJ33)</f>
        <v>0.3883656586232847</v>
      </c>
      <c r="AL33" s="28">
        <f>_xlfn.STDEV.P(AH33:AJ33)</f>
        <v>6.8576024423228618E-2</v>
      </c>
      <c r="AM33" s="14"/>
      <c r="AN33" s="14"/>
      <c r="AS33" s="19"/>
      <c r="AT33" s="19"/>
      <c r="AU33" s="19"/>
      <c r="AV33" s="19"/>
      <c r="AW33" s="19"/>
      <c r="AX33" s="19"/>
      <c r="AY33" s="19"/>
      <c r="AZ33" s="19"/>
      <c r="BA33" s="53" t="s">
        <v>2</v>
      </c>
      <c r="BB33" s="54"/>
      <c r="BC33" s="55"/>
    </row>
    <row r="34" spans="1:56" ht="16" thickBot="1">
      <c r="A34" s="19">
        <f>'Ladder Standards'!X33</f>
        <v>0</v>
      </c>
      <c r="B34" s="3"/>
      <c r="C34" s="3"/>
      <c r="D34" s="7">
        <f>'Ladder Standards'!AA33</f>
        <v>0</v>
      </c>
      <c r="E34" s="7">
        <f>'Ladder Standards'!AB33</f>
        <v>0</v>
      </c>
      <c r="F34" s="18">
        <f>'Ladder Standards'!AC33</f>
        <v>6</v>
      </c>
      <c r="G34" s="18">
        <f>'Ladder Standards'!AD33</f>
        <v>0</v>
      </c>
      <c r="H34" s="24"/>
      <c r="I34" s="24"/>
      <c r="L34" s="19"/>
      <c r="P34" s="13"/>
      <c r="Q34" s="13"/>
      <c r="R34" s="13"/>
      <c r="S34" s="14"/>
      <c r="T34" s="14"/>
      <c r="Y34" s="14"/>
      <c r="Z34" s="14"/>
      <c r="AA34" s="14"/>
      <c r="AB34" s="13"/>
      <c r="AC34" s="13"/>
      <c r="AD34" s="19"/>
      <c r="AH34" s="14"/>
      <c r="AI34" s="14"/>
      <c r="AJ34" s="14"/>
      <c r="AK34" s="13"/>
      <c r="AL34" s="13"/>
      <c r="AM34" s="14"/>
      <c r="AN34" s="14"/>
      <c r="AS34" s="19"/>
      <c r="AT34" s="19"/>
      <c r="AU34" s="19"/>
      <c r="AV34" s="19"/>
      <c r="AW34" s="19"/>
      <c r="AX34" s="19"/>
      <c r="AY34" s="19"/>
      <c r="AZ34" s="19"/>
      <c r="BA34" s="56">
        <v>2</v>
      </c>
      <c r="BB34" s="33">
        <v>0.2</v>
      </c>
      <c r="BC34" s="33" t="s">
        <v>96</v>
      </c>
    </row>
    <row r="35" spans="1:56" ht="16" thickBot="1">
      <c r="B35" s="3"/>
      <c r="C35" s="3"/>
      <c r="D35" s="7">
        <f>'Ladder Standards'!AA34</f>
        <v>1.875</v>
      </c>
      <c r="E35" s="7">
        <f>'Ladder Standards'!AB34</f>
        <v>2040.4559999999999</v>
      </c>
      <c r="F35" s="18">
        <f>'Ladder Standards'!AC34</f>
        <v>3</v>
      </c>
      <c r="G35" s="18">
        <f>'Ladder Standards'!AD34</f>
        <v>4317.87</v>
      </c>
      <c r="H35" s="24"/>
      <c r="I35" s="24"/>
      <c r="L35" s="19"/>
      <c r="P35" s="13" t="s">
        <v>37</v>
      </c>
      <c r="Q35" s="13" t="s">
        <v>41</v>
      </c>
      <c r="R35" s="13" t="s">
        <v>40</v>
      </c>
      <c r="S35" s="14"/>
      <c r="T35" s="14"/>
      <c r="Y35" s="13" t="s">
        <v>37</v>
      </c>
      <c r="Z35" s="13" t="s">
        <v>41</v>
      </c>
      <c r="AA35" s="13" t="s">
        <v>40</v>
      </c>
      <c r="AB35" s="13"/>
      <c r="AC35" s="13"/>
      <c r="AD35" s="19"/>
      <c r="AE35" s="27"/>
      <c r="AF35" s="27"/>
      <c r="AG35" s="27"/>
      <c r="AH35" s="26"/>
      <c r="AI35" s="26"/>
      <c r="AJ35" s="26"/>
      <c r="AK35" s="26"/>
      <c r="AL35" s="26"/>
      <c r="AM35" s="26"/>
      <c r="AN35" s="26"/>
      <c r="AS35" s="19"/>
      <c r="AT35" s="19"/>
      <c r="AU35" s="19"/>
      <c r="AV35" s="19"/>
      <c r="AW35" s="19"/>
      <c r="AX35" s="19"/>
      <c r="AY35" s="19"/>
      <c r="AZ35" s="19"/>
      <c r="BA35" s="57"/>
      <c r="BB35" s="33">
        <v>0.4</v>
      </c>
      <c r="BC35" s="33" t="s">
        <v>97</v>
      </c>
    </row>
    <row r="36" spans="1:56" ht="16" thickBot="1">
      <c r="B36" s="3"/>
      <c r="C36" s="3"/>
      <c r="D36" s="7">
        <f>'Ladder Standards'!AA35</f>
        <v>0.9375</v>
      </c>
      <c r="E36" s="7">
        <f>'Ladder Standards'!AB35</f>
        <v>588.38499999999999</v>
      </c>
      <c r="F36" s="18">
        <f>'Ladder Standards'!AC35</f>
        <v>1.5</v>
      </c>
      <c r="G36" s="18">
        <f>'Ladder Standards'!AD35</f>
        <v>2021.335</v>
      </c>
      <c r="H36" s="24"/>
      <c r="I36" s="24"/>
      <c r="L36" s="46" t="s">
        <v>32</v>
      </c>
      <c r="M36" s="7" t="s">
        <v>21</v>
      </c>
      <c r="N36" s="7" t="s">
        <v>4</v>
      </c>
      <c r="O36" s="7">
        <v>6072.6189999999997</v>
      </c>
      <c r="P36" s="11" t="s">
        <v>120</v>
      </c>
      <c r="Q36" s="11" t="s">
        <v>120</v>
      </c>
      <c r="R36" s="11" t="s">
        <v>120</v>
      </c>
      <c r="S36" s="11"/>
      <c r="T36" s="11"/>
      <c r="V36" s="18" t="s">
        <v>21</v>
      </c>
      <c r="W36" s="18" t="s">
        <v>4</v>
      </c>
      <c r="X36" s="18">
        <v>2748.77</v>
      </c>
      <c r="Y36" s="15">
        <f>(X36+16.621)/1174.2</f>
        <v>2.3551277465508429</v>
      </c>
      <c r="Z36" s="15">
        <f>(X36+105.52)/1448.7</f>
        <v>1.9702422861876163</v>
      </c>
      <c r="AA36" s="15">
        <f>(X36+35.252)/1231.8</f>
        <v>2.2601250202955026</v>
      </c>
      <c r="AB36" s="15">
        <f t="shared" ref="AB36:AB41" si="62">AVERAGE(Z36:AA36)</f>
        <v>2.1151836532415595</v>
      </c>
      <c r="AC36" s="15">
        <f t="shared" ref="AC36:AC41" si="63">_xlfn.STDEV.P(Z36:AA36)</f>
        <v>0.14494136705394312</v>
      </c>
      <c r="AE36" s="27"/>
      <c r="AF36" s="27"/>
      <c r="AG36" s="27"/>
      <c r="AH36" s="26"/>
      <c r="AI36" s="26"/>
      <c r="AJ36" s="26"/>
      <c r="AK36" s="26"/>
      <c r="AL36" s="26"/>
      <c r="AM36" s="26"/>
      <c r="AN36" s="48" t="s">
        <v>77</v>
      </c>
      <c r="AO36" s="11">
        <f t="shared" ref="AO36:AO41" si="64">S36</f>
        <v>0</v>
      </c>
      <c r="AP36" s="17">
        <v>0.04</v>
      </c>
      <c r="AS36" s="15">
        <f t="shared" ref="AS36:AS41" si="65">AB36</f>
        <v>2.1151836532415595</v>
      </c>
      <c r="AT36" s="17">
        <v>1.2500000000000001E-2</v>
      </c>
      <c r="AU36" s="17">
        <f>AS36/AT36</f>
        <v>169.21469225932475</v>
      </c>
      <c r="BA36" s="58"/>
      <c r="BB36" s="33">
        <v>0.8</v>
      </c>
      <c r="BC36" s="33" t="s">
        <v>98</v>
      </c>
    </row>
    <row r="37" spans="1:56">
      <c r="B37" s="3"/>
      <c r="C37" s="3"/>
      <c r="D37" s="7">
        <f>'Ladder Standards'!AA36</f>
        <v>0.46875</v>
      </c>
      <c r="E37" s="7">
        <f>'Ladder Standards'!AB36</f>
        <v>392.55599999999998</v>
      </c>
      <c r="F37" s="18">
        <f>'Ladder Standards'!AC36</f>
        <v>0.75</v>
      </c>
      <c r="G37" s="18">
        <f>'Ladder Standards'!AD36</f>
        <v>712.09199999999998</v>
      </c>
      <c r="H37" s="24"/>
      <c r="I37" s="24"/>
      <c r="L37" s="46"/>
      <c r="M37" s="7"/>
      <c r="N37" s="7" t="s">
        <v>5</v>
      </c>
      <c r="O37" s="7">
        <v>2014.184</v>
      </c>
      <c r="P37" s="11">
        <f>(O37+128.32)/1157.4</f>
        <v>1.8511353032659408</v>
      </c>
      <c r="Q37" s="11">
        <f>(O37+103.59)/1065.3</f>
        <v>1.9879601990049751</v>
      </c>
      <c r="R37" s="11">
        <f>(O37+192.21)/1125.4</f>
        <v>1.9605420295006217</v>
      </c>
      <c r="S37" s="11">
        <f>AVERAGE(P37:R37)</f>
        <v>1.9332125105905125</v>
      </c>
      <c r="T37" s="11">
        <f>_xlfn.STDEV.P(P37:R37)</f>
        <v>5.9106908656506564E-2</v>
      </c>
      <c r="V37" s="18"/>
      <c r="W37" s="18" t="s">
        <v>5</v>
      </c>
      <c r="X37" s="18">
        <v>1086.82</v>
      </c>
      <c r="Y37" s="15">
        <f>(X37+16.621)/1174.2</f>
        <v>0.9397385453926077</v>
      </c>
      <c r="Z37" s="15">
        <f>(X37+105.52)/1448.7</f>
        <v>0.82304134741492363</v>
      </c>
      <c r="AA37" s="15">
        <f>(X37+35.252)/1231.8</f>
        <v>0.91092060399415486</v>
      </c>
      <c r="AB37" s="15">
        <f t="shared" si="62"/>
        <v>0.86698097570453925</v>
      </c>
      <c r="AC37" s="15">
        <f t="shared" si="63"/>
        <v>4.3939628289615618E-2</v>
      </c>
      <c r="AE37" s="27"/>
      <c r="AF37" s="27"/>
      <c r="AG37" s="27"/>
      <c r="AH37" s="26"/>
      <c r="AI37" s="26"/>
      <c r="AJ37" s="26"/>
      <c r="AK37" s="26"/>
      <c r="AL37" s="26"/>
      <c r="AM37" s="26"/>
      <c r="AN37" s="48"/>
      <c r="AO37" s="11">
        <f t="shared" si="64"/>
        <v>1.9332125105905125</v>
      </c>
      <c r="AP37" s="17">
        <v>0.02</v>
      </c>
      <c r="AQ37" s="17">
        <f t="shared" ref="AQ37:AQ41" si="66">AO37/AP37</f>
        <v>96.660625529525618</v>
      </c>
      <c r="AS37" s="15">
        <f t="shared" si="65"/>
        <v>0.86698097570453925</v>
      </c>
      <c r="AT37" s="17">
        <v>6.2500000000000003E-3</v>
      </c>
      <c r="AU37" s="17">
        <f>AS37/AT37</f>
        <v>138.71695611272628</v>
      </c>
    </row>
    <row r="38" spans="1:56">
      <c r="B38" s="3"/>
      <c r="C38" s="3"/>
      <c r="D38" s="7">
        <f>'Ladder Standards'!AA37</f>
        <v>0.234375</v>
      </c>
      <c r="E38" s="7">
        <f>'Ladder Standards'!AB37</f>
        <v>205.678</v>
      </c>
      <c r="F38" s="18">
        <f>'Ladder Standards'!AC37</f>
        <v>0.375</v>
      </c>
      <c r="G38" s="18">
        <f>'Ladder Standards'!AD37</f>
        <v>516.09199999999998</v>
      </c>
      <c r="H38" s="24"/>
      <c r="I38" s="24"/>
      <c r="L38" s="46"/>
      <c r="M38" s="7"/>
      <c r="N38" s="7" t="s">
        <v>6</v>
      </c>
      <c r="O38" s="7">
        <v>1153.527</v>
      </c>
      <c r="P38" s="11">
        <f>(O38+128.32)/1157.4</f>
        <v>1.1075228961465353</v>
      </c>
      <c r="Q38" s="11">
        <f>(O38+103.59)/1065.3</f>
        <v>1.1800591382709096</v>
      </c>
      <c r="R38" s="11">
        <f>(O38+192.21)/1125.4</f>
        <v>1.1957854984894261</v>
      </c>
      <c r="S38" s="11">
        <f>AVERAGE(P38:R38)</f>
        <v>1.1611225109689569</v>
      </c>
      <c r="T38" s="11">
        <f>_xlfn.STDEV.P(P38:R38)</f>
        <v>3.8440591681750576E-2</v>
      </c>
      <c r="V38" s="18"/>
      <c r="W38" s="18" t="s">
        <v>6</v>
      </c>
      <c r="X38" s="18">
        <v>323.92</v>
      </c>
      <c r="Y38" s="15">
        <f>(X38+16.621)/1174.2</f>
        <v>0.29001958780446258</v>
      </c>
      <c r="Z38" s="15">
        <f>(X38+105.52)/1448.7</f>
        <v>0.29643128321943812</v>
      </c>
      <c r="AA38" s="15">
        <f>(X38+35.252)/1231.8</f>
        <v>0.29158304919629813</v>
      </c>
      <c r="AB38" s="15">
        <f t="shared" si="62"/>
        <v>0.29400716620786815</v>
      </c>
      <c r="AC38" s="15">
        <f t="shared" si="63"/>
        <v>2.4241170115699984E-3</v>
      </c>
      <c r="AE38" s="27"/>
      <c r="AF38" s="27"/>
      <c r="AG38" s="27"/>
      <c r="AH38" s="26"/>
      <c r="AI38" s="26"/>
      <c r="AJ38" s="26"/>
      <c r="AK38" s="26"/>
      <c r="AL38" s="26"/>
      <c r="AM38" s="26"/>
      <c r="AN38" s="48"/>
      <c r="AO38" s="11">
        <f t="shared" si="64"/>
        <v>1.1611225109689569</v>
      </c>
      <c r="AP38" s="17">
        <v>0.01</v>
      </c>
      <c r="AQ38" s="17">
        <f t="shared" si="66"/>
        <v>116.11225109689569</v>
      </c>
      <c r="AS38" s="15">
        <f t="shared" si="65"/>
        <v>0.29400716620786815</v>
      </c>
      <c r="AT38" s="17">
        <v>3.1250000000000002E-3</v>
      </c>
      <c r="AU38" s="17">
        <f t="shared" ref="AU38:AU44" si="67">AS38/AT38</f>
        <v>94.082293186517802</v>
      </c>
    </row>
    <row r="39" spans="1:56">
      <c r="B39" s="3"/>
      <c r="C39" s="3"/>
      <c r="D39" s="7">
        <f>'Ladder Standards'!AA38</f>
        <v>0</v>
      </c>
      <c r="E39" s="7">
        <f>'Ladder Standards'!AB38</f>
        <v>0</v>
      </c>
      <c r="F39" s="18">
        <f>'Ladder Standards'!AC38</f>
        <v>0.1875</v>
      </c>
      <c r="G39" s="18">
        <f>'Ladder Standards'!AD38</f>
        <v>220.26300000000001</v>
      </c>
      <c r="H39" s="24"/>
      <c r="I39" s="24"/>
      <c r="L39" s="46"/>
      <c r="M39" s="7" t="s">
        <v>22</v>
      </c>
      <c r="N39" s="7" t="s">
        <v>4</v>
      </c>
      <c r="O39" s="7">
        <v>6951.8609999999999</v>
      </c>
      <c r="P39" s="11" t="s">
        <v>120</v>
      </c>
      <c r="Q39" s="11" t="s">
        <v>120</v>
      </c>
      <c r="R39" s="11">
        <f>(O39+192.21)/1125.4</f>
        <v>6.3480282566198678</v>
      </c>
      <c r="S39" s="11">
        <f>AVERAGE(P39:R39)</f>
        <v>6.3480282566198678</v>
      </c>
      <c r="T39" s="11">
        <f>_xlfn.STDEV.P(P39:R39)</f>
        <v>0</v>
      </c>
      <c r="V39" s="18" t="s">
        <v>22</v>
      </c>
      <c r="W39" s="18" t="s">
        <v>4</v>
      </c>
      <c r="X39" s="18">
        <v>4760.5479999999998</v>
      </c>
      <c r="Y39" s="15" t="s">
        <v>120</v>
      </c>
      <c r="Z39" s="15" t="s">
        <v>120</v>
      </c>
      <c r="AA39" s="15" t="s">
        <v>120</v>
      </c>
      <c r="AB39" s="15"/>
      <c r="AC39" s="15"/>
      <c r="AE39" s="27"/>
      <c r="AF39" s="19"/>
      <c r="AG39" s="19"/>
      <c r="AH39" s="19"/>
      <c r="AI39" s="19"/>
      <c r="AJ39" s="19"/>
      <c r="AK39" s="19"/>
      <c r="AL39" s="19"/>
      <c r="AN39" s="48"/>
      <c r="AO39" s="11">
        <f t="shared" si="64"/>
        <v>6.3480282566198678</v>
      </c>
      <c r="AP39" s="17">
        <v>0.04</v>
      </c>
      <c r="AQ39" s="17">
        <f t="shared" si="66"/>
        <v>158.70070641549668</v>
      </c>
      <c r="AS39" s="15">
        <f t="shared" si="65"/>
        <v>0</v>
      </c>
      <c r="AT39" s="17">
        <v>1.2500000000000001E-2</v>
      </c>
    </row>
    <row r="40" spans="1:56">
      <c r="B40" s="3"/>
      <c r="C40" s="3"/>
      <c r="D40" s="7">
        <f>'Ladder Standards'!AA39</f>
        <v>0</v>
      </c>
      <c r="E40" s="7">
        <f>'Ladder Standards'!AB39</f>
        <v>0</v>
      </c>
      <c r="F40" s="18">
        <f>'Ladder Standards'!AC39</f>
        <v>0</v>
      </c>
      <c r="G40" s="18">
        <f>'Ladder Standards'!AD39</f>
        <v>0</v>
      </c>
      <c r="H40" s="24"/>
      <c r="I40" s="24"/>
      <c r="L40" s="46"/>
      <c r="M40" s="7"/>
      <c r="N40" s="7" t="s">
        <v>5</v>
      </c>
      <c r="O40" s="7">
        <v>2739.8409999999999</v>
      </c>
      <c r="P40" s="11">
        <f>(O40+128.32)/1157.4</f>
        <v>2.4781069638845685</v>
      </c>
      <c r="Q40" s="11">
        <f>(O40+103.59)/1065.3</f>
        <v>2.6691363935041772</v>
      </c>
      <c r="R40" s="11">
        <f>(O40+192.21)/1125.4</f>
        <v>2.605341212013506</v>
      </c>
      <c r="S40" s="11">
        <f>AVERAGE(P40:R40)</f>
        <v>2.5841948564674175</v>
      </c>
      <c r="T40" s="11">
        <f>_xlfn.STDEV.P(P40:R40)</f>
        <v>7.9407963537920026E-2</v>
      </c>
      <c r="V40" s="18"/>
      <c r="W40" s="18" t="s">
        <v>5</v>
      </c>
      <c r="X40" s="18">
        <v>1879.4770000000001</v>
      </c>
      <c r="Y40" s="15">
        <f>(X40+16.621)/1174.2</f>
        <v>1.6147998637370125</v>
      </c>
      <c r="Z40" s="15">
        <f>(X40+105.52)/1448.7</f>
        <v>1.3701918961827846</v>
      </c>
      <c r="AA40" s="15">
        <f>(X40+35.252)/1231.8</f>
        <v>1.5544154895275208</v>
      </c>
      <c r="AB40" s="15">
        <f t="shared" si="62"/>
        <v>1.4623036928551527</v>
      </c>
      <c r="AC40" s="15">
        <f t="shared" si="63"/>
        <v>9.2111796672368129E-2</v>
      </c>
      <c r="AE40" s="27"/>
      <c r="AF40" s="19"/>
      <c r="AG40" s="19"/>
      <c r="AH40" s="19"/>
      <c r="AI40" s="19"/>
      <c r="AJ40" s="19"/>
      <c r="AK40" s="19"/>
      <c r="AL40" s="19"/>
      <c r="AN40" s="48"/>
      <c r="AO40" s="11">
        <f t="shared" si="64"/>
        <v>2.5841948564674175</v>
      </c>
      <c r="AP40" s="17">
        <v>0.02</v>
      </c>
      <c r="AQ40" s="17">
        <f t="shared" si="66"/>
        <v>129.20974282337087</v>
      </c>
      <c r="AS40" s="15">
        <f t="shared" si="65"/>
        <v>1.4623036928551527</v>
      </c>
      <c r="AT40" s="17">
        <v>6.2500000000000003E-3</v>
      </c>
      <c r="AU40" s="17">
        <f t="shared" si="67"/>
        <v>233.96859085682442</v>
      </c>
      <c r="BD40" s="17" t="s">
        <v>126</v>
      </c>
    </row>
    <row r="41" spans="1:56">
      <c r="B41" s="3"/>
      <c r="C41" s="3"/>
      <c r="D41" s="7">
        <f>'Ladder Standards'!AA40</f>
        <v>0</v>
      </c>
      <c r="E41" s="7">
        <f>'Ladder Standards'!AB40</f>
        <v>0</v>
      </c>
      <c r="F41" s="18"/>
      <c r="G41" s="18"/>
      <c r="H41" s="24"/>
      <c r="I41" s="24"/>
      <c r="L41" s="46"/>
      <c r="M41" s="7"/>
      <c r="N41" s="7" t="s">
        <v>6</v>
      </c>
      <c r="O41" s="7">
        <v>1352.4770000000001</v>
      </c>
      <c r="P41" s="11">
        <f>(O41+128.32)/1157.4</f>
        <v>1.279416796267496</v>
      </c>
      <c r="Q41" s="11">
        <f>(O41+103.59)/1065.3</f>
        <v>1.3668140429925844</v>
      </c>
      <c r="R41" s="11">
        <f>(O41+192.21)/1125.4</f>
        <v>1.3725670872578639</v>
      </c>
      <c r="S41" s="11">
        <f>AVERAGE(P41:R41)</f>
        <v>1.3395993088393148</v>
      </c>
      <c r="T41" s="11">
        <f>_xlfn.STDEV.P(P41:R41)</f>
        <v>4.26202259822916E-2</v>
      </c>
      <c r="V41" s="18"/>
      <c r="W41" s="18" t="s">
        <v>6</v>
      </c>
      <c r="X41" s="18">
        <v>592.28399999999999</v>
      </c>
      <c r="Y41" s="15">
        <f>(X41+16.621)/1174.2</f>
        <v>0.51857009027422918</v>
      </c>
      <c r="Z41" s="15">
        <f>(X41+105.52)/1448.7</f>
        <v>0.48167598536619033</v>
      </c>
      <c r="AA41" s="15">
        <f>(X41+35.252)/1231.8</f>
        <v>0.50944633869134592</v>
      </c>
      <c r="AB41" s="15">
        <f t="shared" si="62"/>
        <v>0.4955611620287681</v>
      </c>
      <c r="AC41" s="15">
        <f t="shared" si="63"/>
        <v>1.3885176662577797E-2</v>
      </c>
      <c r="AE41" s="27"/>
      <c r="AF41" s="19"/>
      <c r="AG41" s="19"/>
      <c r="AH41" s="19"/>
      <c r="AI41" s="19"/>
      <c r="AJ41" s="19"/>
      <c r="AK41" s="19"/>
      <c r="AL41" s="19"/>
      <c r="AN41" s="48"/>
      <c r="AO41" s="11">
        <f t="shared" si="64"/>
        <v>1.3395993088393148</v>
      </c>
      <c r="AP41" s="17">
        <v>0.01</v>
      </c>
      <c r="AQ41" s="17">
        <f t="shared" si="66"/>
        <v>133.95993088393146</v>
      </c>
      <c r="AS41" s="15">
        <f t="shared" si="65"/>
        <v>0.4955611620287681</v>
      </c>
      <c r="AT41" s="17">
        <v>3.1250000000000002E-3</v>
      </c>
      <c r="AU41" s="17">
        <f t="shared" si="67"/>
        <v>158.57957184920579</v>
      </c>
    </row>
    <row r="42" spans="1:56">
      <c r="B42" s="3"/>
      <c r="C42" s="3"/>
      <c r="D42" s="7" t="str">
        <f>'Ladder Standards'!AA41</f>
        <v>Trendline</v>
      </c>
      <c r="E42" s="7" t="str">
        <f>'Ladder Standards'!AB41</f>
        <v>(+103.59)1065.3</v>
      </c>
      <c r="F42" s="18">
        <f>'Ladder Standards'!AC41</f>
        <v>0</v>
      </c>
      <c r="G42" s="18" t="str">
        <f>'Ladder Standards'!AD41</f>
        <v>(+105.52)/1448.7</v>
      </c>
      <c r="H42" s="24"/>
      <c r="I42" s="24"/>
      <c r="L42" s="46"/>
      <c r="M42" s="19"/>
      <c r="N42" s="19"/>
      <c r="O42" s="19"/>
      <c r="P42" s="19"/>
      <c r="Q42" s="19"/>
      <c r="R42" s="19"/>
      <c r="S42" s="19"/>
      <c r="Y42" s="14"/>
      <c r="Z42" s="13"/>
      <c r="AA42" s="13"/>
      <c r="AB42" s="13"/>
      <c r="AC42" s="13"/>
      <c r="AE42" s="27"/>
      <c r="AF42" s="19"/>
      <c r="AG42" s="19"/>
      <c r="AH42" s="19"/>
      <c r="AI42" s="19"/>
      <c r="AJ42" s="19"/>
      <c r="AK42" s="19"/>
      <c r="AL42" s="19"/>
      <c r="AN42" s="48"/>
      <c r="AS42" s="15">
        <f>AB44</f>
        <v>1.3401246583805726</v>
      </c>
      <c r="AT42" s="17">
        <v>1.2500000000000001E-2</v>
      </c>
      <c r="AU42" s="17">
        <f t="shared" si="67"/>
        <v>107.20997267044581</v>
      </c>
    </row>
    <row r="43" spans="1:56">
      <c r="B43" s="3"/>
      <c r="C43" s="3"/>
      <c r="D43" s="7">
        <f>'Ladder Standards'!AA42</f>
        <v>0</v>
      </c>
      <c r="E43" s="7">
        <f>'Ladder Standards'!AB42</f>
        <v>0</v>
      </c>
      <c r="F43" s="18">
        <f>'Ladder Standards'!AC42</f>
        <v>0</v>
      </c>
      <c r="G43" s="18">
        <f>'Ladder Standards'!AD42</f>
        <v>0</v>
      </c>
      <c r="H43" s="24"/>
      <c r="I43" s="24"/>
      <c r="L43" s="46"/>
      <c r="M43" s="19"/>
      <c r="N43" s="19"/>
      <c r="O43" s="19"/>
      <c r="P43" s="19"/>
      <c r="Q43" s="19"/>
      <c r="R43" s="19"/>
      <c r="S43" s="19"/>
      <c r="Y43" s="13" t="s">
        <v>37</v>
      </c>
      <c r="Z43" s="13" t="s">
        <v>29</v>
      </c>
      <c r="AA43" s="13" t="s">
        <v>40</v>
      </c>
      <c r="AB43" s="13"/>
      <c r="AC43" s="13"/>
      <c r="AE43" s="27"/>
      <c r="AF43" s="19"/>
      <c r="AG43" s="19"/>
      <c r="AH43" s="19"/>
      <c r="AI43" s="19"/>
      <c r="AJ43" s="19"/>
      <c r="AK43" s="19"/>
      <c r="AL43" s="19"/>
      <c r="AN43" s="48"/>
      <c r="AS43" s="15">
        <f>AB45</f>
        <v>0.56250247969323619</v>
      </c>
      <c r="AT43" s="17">
        <v>6.2500000000000003E-3</v>
      </c>
      <c r="AU43" s="17">
        <f t="shared" si="67"/>
        <v>90.000396750917787</v>
      </c>
    </row>
    <row r="44" spans="1:56">
      <c r="A44" s="19">
        <f>'Ladder Standards'!X43</f>
        <v>0</v>
      </c>
      <c r="B44" s="3"/>
      <c r="C44" s="3"/>
      <c r="D44" s="7">
        <f>'Ladder Standards'!AA43</f>
        <v>0</v>
      </c>
      <c r="E44" s="7">
        <f>'Ladder Standards'!AB43</f>
        <v>0</v>
      </c>
      <c r="F44" s="18">
        <f>'Ladder Standards'!AC43</f>
        <v>6</v>
      </c>
      <c r="G44" s="18">
        <f>'Ladder Standards'!AD43</f>
        <v>0</v>
      </c>
      <c r="H44" s="24"/>
      <c r="I44" s="24"/>
      <c r="L44" s="46"/>
      <c r="M44" s="19"/>
      <c r="N44" s="19"/>
      <c r="O44" s="19"/>
      <c r="P44" s="19"/>
      <c r="Q44" s="19"/>
      <c r="R44" s="19"/>
      <c r="S44" s="19"/>
      <c r="V44" s="18" t="s">
        <v>23</v>
      </c>
      <c r="W44" s="18" t="s">
        <v>4</v>
      </c>
      <c r="X44" s="18">
        <v>1790.0619999999999</v>
      </c>
      <c r="Y44" s="15">
        <f>(X44+16.621)/1174.2</f>
        <v>1.5386501447794243</v>
      </c>
      <c r="Z44" s="15">
        <f>(X44-155.43)/1634.8</f>
        <v>0.99989723513579631</v>
      </c>
      <c r="AA44" s="15">
        <f>(X44+35.252)/1231.8</f>
        <v>1.4818265952264977</v>
      </c>
      <c r="AB44" s="15">
        <f>AVERAGE(Y44:AA44)</f>
        <v>1.3401246583805726</v>
      </c>
      <c r="AC44" s="15">
        <f>_xlfn.STDEV.P(Y44:AA44)</f>
        <v>0.24169299202608818</v>
      </c>
      <c r="AE44" s="27"/>
      <c r="AF44" s="19"/>
      <c r="AG44" s="19"/>
      <c r="AH44" s="19"/>
      <c r="AI44" s="19"/>
      <c r="AJ44" s="19"/>
      <c r="AK44" s="19"/>
      <c r="AL44" s="19"/>
      <c r="AN44" s="48"/>
      <c r="AS44" s="15">
        <f>AB46</f>
        <v>0.17128958041679984</v>
      </c>
      <c r="AT44" s="17">
        <v>3.1250000000000002E-3</v>
      </c>
      <c r="AU44" s="17">
        <f t="shared" si="67"/>
        <v>54.812665733375944</v>
      </c>
    </row>
    <row r="45" spans="1:56">
      <c r="B45" s="3"/>
      <c r="C45" s="3"/>
      <c r="D45" s="7">
        <f>'Ladder Standards'!AA44</f>
        <v>0</v>
      </c>
      <c r="E45" s="7">
        <f>'Ladder Standards'!AB44</f>
        <v>0</v>
      </c>
      <c r="F45" s="18">
        <f>'Ladder Standards'!AC44</f>
        <v>3</v>
      </c>
      <c r="G45" s="18">
        <f>'Ladder Standards'!AD44</f>
        <v>0</v>
      </c>
      <c r="H45" s="24"/>
      <c r="I45" s="24"/>
      <c r="V45" s="18"/>
      <c r="W45" s="18" t="s">
        <v>5</v>
      </c>
      <c r="X45" s="18">
        <v>764.69799999999998</v>
      </c>
      <c r="Y45" s="15">
        <f>(X45+16.621)/1174.2</f>
        <v>0.66540538238800884</v>
      </c>
      <c r="Z45" s="15">
        <f>(X45-155.43)/1634.8</f>
        <v>0.37268656716417914</v>
      </c>
      <c r="AA45" s="15">
        <f>(X45+35.252)/1231.8</f>
        <v>0.64941548952752071</v>
      </c>
      <c r="AB45" s="15">
        <f t="shared" ref="AB45:AB46" si="68">AVERAGE(Y45:AA45)</f>
        <v>0.56250247969323619</v>
      </c>
      <c r="AC45" s="15">
        <f t="shared" ref="AC45:AC46" si="69">_xlfn.STDEV.P(Y45:AA45)</f>
        <v>0.1343787673093024</v>
      </c>
      <c r="AE45" s="27"/>
      <c r="AF45" s="19"/>
      <c r="AG45" s="19"/>
      <c r="AH45" s="19"/>
      <c r="AI45" s="19"/>
      <c r="AJ45" s="19"/>
      <c r="AK45" s="19"/>
      <c r="AL45" s="19"/>
      <c r="AN45" s="26"/>
    </row>
    <row r="46" spans="1:56">
      <c r="B46" s="3"/>
      <c r="C46" s="3"/>
      <c r="D46" s="7">
        <f>'Ladder Standards'!AA45</f>
        <v>0</v>
      </c>
      <c r="E46" s="7">
        <f>'Ladder Standards'!AB45</f>
        <v>0</v>
      </c>
      <c r="F46" s="18">
        <f>'Ladder Standards'!AC45</f>
        <v>1.5</v>
      </c>
      <c r="G46" s="18">
        <f>'Ladder Standards'!AD45</f>
        <v>1584.627</v>
      </c>
      <c r="H46" s="24"/>
      <c r="I46" s="24"/>
      <c r="V46" s="18"/>
      <c r="W46" s="18" t="s">
        <v>6</v>
      </c>
      <c r="X46" s="18">
        <v>248.84899999999999</v>
      </c>
      <c r="Y46" s="15">
        <f>(X46+16.621)/1174.2</f>
        <v>0.22608584568216655</v>
      </c>
      <c r="Z46" s="15">
        <f>(X46-155.43)/1634.8</f>
        <v>5.7143993149009045E-2</v>
      </c>
      <c r="AA46" s="15">
        <f>(X46+35.252)/1231.8</f>
        <v>0.23063890241922391</v>
      </c>
      <c r="AB46" s="15">
        <f t="shared" si="68"/>
        <v>0.17128958041679984</v>
      </c>
      <c r="AC46" s="15">
        <f t="shared" si="69"/>
        <v>8.0734519263011464E-2</v>
      </c>
      <c r="AE46" s="27"/>
      <c r="AF46" s="19"/>
      <c r="AG46" s="19"/>
      <c r="AH46" s="19"/>
      <c r="AI46" s="19"/>
      <c r="AJ46" s="19"/>
      <c r="AK46" s="19"/>
      <c r="AL46" s="19"/>
      <c r="AN46" s="26"/>
      <c r="AO46" s="41" t="s">
        <v>117</v>
      </c>
      <c r="AP46" s="41"/>
      <c r="AQ46" s="41"/>
      <c r="AR46" s="41"/>
      <c r="AS46" s="41"/>
      <c r="AT46" s="41"/>
      <c r="AU46" s="41"/>
    </row>
    <row r="47" spans="1:56">
      <c r="B47" s="3"/>
      <c r="C47" s="3"/>
      <c r="D47" s="7">
        <f>'Ladder Standards'!AA46</f>
        <v>0</v>
      </c>
      <c r="E47" s="7">
        <f>'Ladder Standards'!AB46</f>
        <v>0</v>
      </c>
      <c r="F47" s="18">
        <f>'Ladder Standards'!AC46</f>
        <v>0.75</v>
      </c>
      <c r="G47" s="18">
        <f>'Ladder Standards'!AD46</f>
        <v>617.38499999999999</v>
      </c>
      <c r="H47" s="24"/>
      <c r="I47" s="24"/>
      <c r="AE47" s="27"/>
      <c r="AF47" s="19"/>
      <c r="AG47" s="19"/>
      <c r="AH47" s="19"/>
      <c r="AI47" s="19"/>
      <c r="AJ47" s="19"/>
      <c r="AK47" s="19"/>
      <c r="AL47" s="19"/>
      <c r="AN47" s="27"/>
      <c r="AO47" s="17" t="s">
        <v>115</v>
      </c>
      <c r="AP47" s="17" t="s">
        <v>116</v>
      </c>
      <c r="AQ47" s="17" t="s">
        <v>51</v>
      </c>
      <c r="AR47" s="17" t="s">
        <v>52</v>
      </c>
      <c r="AS47" s="17" t="s">
        <v>53</v>
      </c>
      <c r="AT47" s="17" t="s">
        <v>54</v>
      </c>
    </row>
    <row r="48" spans="1:56">
      <c r="B48" s="3"/>
      <c r="C48" s="3"/>
      <c r="D48" s="7">
        <f>'Ladder Standards'!AA47</f>
        <v>0</v>
      </c>
      <c r="E48" s="7">
        <f>'Ladder Standards'!AB47</f>
        <v>0</v>
      </c>
      <c r="F48" s="18">
        <f>'Ladder Standards'!AC47</f>
        <v>0.375</v>
      </c>
      <c r="G48" s="18">
        <f>'Ladder Standards'!AD47</f>
        <v>331.26299999999998</v>
      </c>
      <c r="H48" s="24"/>
      <c r="I48" s="24"/>
      <c r="AE48" s="27"/>
      <c r="AF48" s="19"/>
      <c r="AG48" s="19"/>
      <c r="AH48" s="19"/>
      <c r="AI48" s="19"/>
      <c r="AJ48" s="19"/>
      <c r="AK48" s="19"/>
      <c r="AL48" s="19"/>
      <c r="AN48" s="27"/>
      <c r="AO48" s="12" t="s">
        <v>76</v>
      </c>
      <c r="AP48" s="17">
        <v>1</v>
      </c>
      <c r="AQ48" s="17">
        <f t="shared" ref="AQ48:AQ55" si="70">AP48/10</f>
        <v>0.1</v>
      </c>
      <c r="AR48" s="3">
        <f>AQ48/2</f>
        <v>0.05</v>
      </c>
      <c r="AS48" s="3">
        <f t="shared" ref="AS48:AT54" si="71">AR48/2</f>
        <v>2.5000000000000001E-2</v>
      </c>
      <c r="AT48" s="3">
        <f t="shared" si="71"/>
        <v>1.2500000000000001E-2</v>
      </c>
    </row>
    <row r="49" spans="1:47">
      <c r="B49" s="3"/>
      <c r="C49" s="3"/>
      <c r="D49" s="7">
        <f>'Ladder Standards'!AA48</f>
        <v>0</v>
      </c>
      <c r="E49" s="7">
        <f>'Ladder Standards'!AB48</f>
        <v>0</v>
      </c>
      <c r="F49" s="18">
        <f>'Ladder Standards'!AC48</f>
        <v>0.1875</v>
      </c>
      <c r="G49" s="18">
        <f>'Ladder Standards'!AD48</f>
        <v>170.84899999999999</v>
      </c>
      <c r="H49" s="24"/>
      <c r="I49" s="24"/>
      <c r="V49" s="19"/>
      <c r="W49" s="19"/>
      <c r="AE49" s="27"/>
      <c r="AF49" s="19"/>
      <c r="AG49" s="19"/>
      <c r="AH49" s="19"/>
      <c r="AI49" s="19"/>
      <c r="AJ49" s="19"/>
      <c r="AK49" s="19"/>
      <c r="AL49" s="19"/>
      <c r="AN49" s="27"/>
      <c r="AO49" s="7" t="s">
        <v>76</v>
      </c>
      <c r="AP49" s="17">
        <v>1</v>
      </c>
      <c r="AQ49" s="17">
        <f t="shared" si="70"/>
        <v>0.1</v>
      </c>
      <c r="AR49" s="7">
        <f>AQ49*0.4</f>
        <v>4.0000000000000008E-2</v>
      </c>
      <c r="AS49" s="7">
        <f t="shared" si="71"/>
        <v>2.0000000000000004E-2</v>
      </c>
      <c r="AT49" s="7">
        <f t="shared" si="71"/>
        <v>1.0000000000000002E-2</v>
      </c>
    </row>
    <row r="50" spans="1:47">
      <c r="B50" s="3"/>
      <c r="C50" s="3"/>
      <c r="D50" s="7">
        <f>'Ladder Standards'!AA49</f>
        <v>0</v>
      </c>
      <c r="E50" s="7">
        <f>'Ladder Standards'!AB49</f>
        <v>0</v>
      </c>
      <c r="F50" s="18">
        <f>'Ladder Standards'!AC49</f>
        <v>0</v>
      </c>
      <c r="G50" s="18">
        <f>'Ladder Standards'!AD49</f>
        <v>0</v>
      </c>
      <c r="H50" s="24"/>
      <c r="I50" s="24"/>
      <c r="V50" s="19"/>
      <c r="W50" s="19"/>
      <c r="AE50" s="27"/>
      <c r="AF50" s="19"/>
      <c r="AG50" s="19"/>
      <c r="AH50" s="19"/>
      <c r="AI50" s="19"/>
      <c r="AJ50" s="19"/>
      <c r="AK50" s="19"/>
      <c r="AL50" s="19"/>
      <c r="AN50" s="27"/>
      <c r="AO50" s="18" t="s">
        <v>113</v>
      </c>
      <c r="AP50" s="17">
        <v>1</v>
      </c>
      <c r="AQ50" s="17">
        <f t="shared" si="70"/>
        <v>0.1</v>
      </c>
      <c r="AR50" s="31">
        <f>AQ50/4</f>
        <v>2.5000000000000001E-2</v>
      </c>
      <c r="AS50" s="18">
        <f>AR50/2</f>
        <v>1.2500000000000001E-2</v>
      </c>
      <c r="AT50" s="18">
        <f>AS50/2</f>
        <v>6.2500000000000003E-3</v>
      </c>
      <c r="AU50" s="18">
        <f>AT50/2</f>
        <v>3.1250000000000002E-3</v>
      </c>
    </row>
    <row r="51" spans="1:47">
      <c r="B51" s="3"/>
      <c r="C51" s="3"/>
      <c r="D51" s="7">
        <f>'Ladder Standards'!AA50</f>
        <v>0</v>
      </c>
      <c r="E51" s="7">
        <f>'Ladder Standards'!AB50</f>
        <v>0</v>
      </c>
      <c r="F51" s="18"/>
      <c r="G51" s="18"/>
      <c r="H51" s="24"/>
      <c r="I51" s="24"/>
      <c r="V51" s="19"/>
      <c r="W51" s="19"/>
      <c r="AE51" s="27"/>
      <c r="AF51" s="19"/>
      <c r="AG51" s="19"/>
      <c r="AH51" s="19"/>
      <c r="AI51" s="19"/>
      <c r="AJ51" s="19"/>
      <c r="AK51" s="19"/>
      <c r="AL51" s="19"/>
      <c r="AN51" s="27"/>
      <c r="AO51" s="18" t="s">
        <v>114</v>
      </c>
      <c r="AP51" s="17">
        <v>1</v>
      </c>
      <c r="AQ51" s="17">
        <f t="shared" si="70"/>
        <v>0.1</v>
      </c>
      <c r="AR51" s="18">
        <f>AQ51/2</f>
        <v>0.05</v>
      </c>
      <c r="AS51" s="18">
        <f t="shared" si="71"/>
        <v>2.5000000000000001E-2</v>
      </c>
      <c r="AT51" s="18">
        <f t="shared" si="71"/>
        <v>1.2500000000000001E-2</v>
      </c>
    </row>
    <row r="52" spans="1:47">
      <c r="B52" s="3"/>
      <c r="C52" s="3"/>
      <c r="D52" s="7">
        <f>'Ladder Standards'!AA51</f>
        <v>0</v>
      </c>
      <c r="E52" s="7">
        <f>'Ladder Standards'!AB51</f>
        <v>0</v>
      </c>
      <c r="F52" s="18">
        <f>'Ladder Standards'!AC51</f>
        <v>0</v>
      </c>
      <c r="G52" s="18" t="str">
        <f>'Ladder Standards'!AD51</f>
        <v>(+49.242)/1049</v>
      </c>
      <c r="H52" s="24"/>
      <c r="I52" s="24"/>
      <c r="V52" s="19"/>
      <c r="W52" s="19"/>
      <c r="AE52" s="27"/>
      <c r="AF52" s="19"/>
      <c r="AG52" s="19"/>
      <c r="AH52" s="19"/>
      <c r="AI52" s="19"/>
      <c r="AJ52" s="19"/>
      <c r="AK52" s="19"/>
      <c r="AL52" s="19"/>
      <c r="AN52" s="27"/>
      <c r="AO52" s="18" t="s">
        <v>78</v>
      </c>
      <c r="AP52" s="17">
        <v>1</v>
      </c>
      <c r="AQ52" s="17">
        <f t="shared" si="70"/>
        <v>0.1</v>
      </c>
      <c r="AR52" s="18">
        <f>AQ52*0.4</f>
        <v>4.0000000000000008E-2</v>
      </c>
      <c r="AS52" s="18">
        <f t="shared" si="71"/>
        <v>2.0000000000000004E-2</v>
      </c>
      <c r="AT52" s="18">
        <f t="shared" si="71"/>
        <v>1.0000000000000002E-2</v>
      </c>
    </row>
    <row r="53" spans="1:47">
      <c r="B53" s="3"/>
      <c r="C53" s="3"/>
      <c r="D53" s="7">
        <f>'Ladder Standards'!AA52</f>
        <v>0</v>
      </c>
      <c r="E53" s="7">
        <f>'Ladder Standards'!AB52</f>
        <v>0</v>
      </c>
      <c r="F53" s="18"/>
      <c r="G53" s="18"/>
      <c r="H53" s="24"/>
      <c r="I53" s="24"/>
      <c r="V53" s="19"/>
      <c r="W53" s="19"/>
      <c r="AE53" s="27"/>
      <c r="AF53" s="19"/>
      <c r="AG53" s="19"/>
      <c r="AH53" s="19"/>
      <c r="AI53" s="19"/>
      <c r="AJ53" s="19"/>
      <c r="AK53" s="19"/>
      <c r="AL53" s="19"/>
      <c r="AN53" s="27"/>
      <c r="AO53" s="18" t="s">
        <v>79</v>
      </c>
      <c r="AP53" s="17">
        <v>1</v>
      </c>
      <c r="AQ53" s="18">
        <f t="shared" si="70"/>
        <v>0.1</v>
      </c>
      <c r="AR53" s="18">
        <f>AQ53/2</f>
        <v>0.05</v>
      </c>
      <c r="AS53" s="18">
        <f t="shared" si="71"/>
        <v>2.5000000000000001E-2</v>
      </c>
    </row>
    <row r="54" spans="1:47">
      <c r="A54" s="19" t="str">
        <f>'Ladder Standards'!AE53</f>
        <v>All Titers</v>
      </c>
      <c r="B54" s="3"/>
      <c r="C54" s="3" t="str">
        <f>'Ladder Standards'!Z53</f>
        <v>(-126.91)/1016.5</v>
      </c>
      <c r="D54" s="7">
        <f>'Ladder Standards'!AA53</f>
        <v>0</v>
      </c>
      <c r="E54" s="7" t="str">
        <f>'Ladder Standards'!AB53</f>
        <v>(+192.21)/1125.4</v>
      </c>
      <c r="F54" s="19">
        <f>'Ladder Standards'!AC53</f>
        <v>0</v>
      </c>
      <c r="G54" s="18" t="str">
        <f>'Ladder Standards'!AD53</f>
        <v>(+35.252)/1231.8</v>
      </c>
      <c r="H54" s="24"/>
      <c r="I54" s="24" t="str">
        <f>'Ladder Standards'!AG53</f>
        <v>(+189.6)/698.1</v>
      </c>
      <c r="V54" s="19"/>
      <c r="W54" s="19"/>
      <c r="AE54" s="27"/>
      <c r="AF54" s="19"/>
      <c r="AG54" s="19"/>
      <c r="AH54" s="19"/>
      <c r="AI54" s="19"/>
      <c r="AJ54" s="19"/>
      <c r="AK54" s="19"/>
      <c r="AL54" s="19"/>
      <c r="AN54" s="27"/>
      <c r="AO54" s="24" t="s">
        <v>28</v>
      </c>
      <c r="AP54" s="17">
        <v>1</v>
      </c>
      <c r="AQ54" s="17">
        <f t="shared" si="70"/>
        <v>0.1</v>
      </c>
      <c r="AR54" s="24">
        <f>AQ54/2</f>
        <v>0.05</v>
      </c>
      <c r="AS54" s="24">
        <f t="shared" si="71"/>
        <v>2.5000000000000001E-2</v>
      </c>
      <c r="AT54" s="24">
        <f t="shared" ref="AT54:AT55" si="72">AS54/2</f>
        <v>1.2500000000000001E-2</v>
      </c>
    </row>
    <row r="55" spans="1:47">
      <c r="V55" s="19"/>
      <c r="W55" s="19"/>
      <c r="AE55" s="27"/>
      <c r="AF55" s="19"/>
      <c r="AG55" s="19"/>
      <c r="AH55" s="19"/>
      <c r="AI55" s="19"/>
      <c r="AJ55" s="19"/>
      <c r="AK55" s="19"/>
      <c r="AL55" s="19"/>
      <c r="AN55" s="27"/>
      <c r="AO55" s="24" t="s">
        <v>26</v>
      </c>
      <c r="AP55" s="17">
        <v>1</v>
      </c>
      <c r="AQ55" s="17">
        <f t="shared" si="70"/>
        <v>0.1</v>
      </c>
      <c r="AR55" s="24">
        <f>AQ55*0.4</f>
        <v>4.0000000000000008E-2</v>
      </c>
      <c r="AS55" s="24">
        <f t="shared" ref="AS55" si="73">AR55/2</f>
        <v>2.0000000000000004E-2</v>
      </c>
      <c r="AT55" s="24">
        <f t="shared" si="72"/>
        <v>1.0000000000000002E-2</v>
      </c>
    </row>
    <row r="56" spans="1:47">
      <c r="V56" s="19"/>
      <c r="W56" s="19"/>
      <c r="AE56" s="27"/>
      <c r="AF56" s="19"/>
      <c r="AG56" s="19"/>
      <c r="AH56" s="19"/>
      <c r="AI56" s="19"/>
      <c r="AJ56" s="19"/>
      <c r="AK56" s="19"/>
      <c r="AL56" s="19"/>
      <c r="AN56" s="27"/>
    </row>
    <row r="57" spans="1:47">
      <c r="V57" s="19"/>
      <c r="W57" s="19"/>
      <c r="AE57" s="27"/>
      <c r="AF57" s="19"/>
      <c r="AG57" s="19"/>
      <c r="AH57" s="19"/>
      <c r="AI57" s="19"/>
      <c r="AJ57" s="19"/>
      <c r="AK57" s="19"/>
      <c r="AL57" s="19"/>
      <c r="AN57" s="27"/>
    </row>
    <row r="58" spans="1:47">
      <c r="V58" s="19"/>
      <c r="W58" s="19"/>
      <c r="AE58" s="27"/>
      <c r="AF58" s="19"/>
      <c r="AG58" s="19"/>
      <c r="AH58" s="19"/>
      <c r="AI58" s="19"/>
      <c r="AJ58" s="19"/>
      <c r="AK58" s="19"/>
      <c r="AL58" s="19"/>
      <c r="AN58" s="27"/>
    </row>
    <row r="59" spans="1:47">
      <c r="V59" s="19"/>
      <c r="W59" s="19"/>
      <c r="AE59" s="27"/>
      <c r="AF59" s="19"/>
      <c r="AG59" s="19"/>
      <c r="AH59" s="19"/>
      <c r="AI59" s="19"/>
      <c r="AJ59" s="19"/>
      <c r="AK59" s="19"/>
      <c r="AL59" s="19"/>
      <c r="AN59" s="27"/>
    </row>
    <row r="60" spans="1:47">
      <c r="V60" s="19"/>
      <c r="W60" s="19"/>
      <c r="AE60" s="27"/>
      <c r="AF60" s="19"/>
      <c r="AG60" s="19"/>
      <c r="AH60" s="19"/>
      <c r="AI60" s="19"/>
      <c r="AJ60" s="19"/>
      <c r="AK60" s="19"/>
      <c r="AL60" s="19"/>
      <c r="AN60" s="27"/>
    </row>
    <row r="61" spans="1:47">
      <c r="V61" s="19"/>
      <c r="W61" s="19"/>
      <c r="AE61" s="27"/>
      <c r="AF61" s="19"/>
      <c r="AG61" s="19"/>
      <c r="AH61" s="19"/>
      <c r="AI61" s="19"/>
      <c r="AJ61" s="19"/>
      <c r="AK61" s="19"/>
      <c r="AL61" s="19"/>
      <c r="AN61" s="27"/>
    </row>
    <row r="62" spans="1:47">
      <c r="V62" s="19"/>
      <c r="W62" s="19"/>
      <c r="AE62" s="27"/>
      <c r="AF62" s="19"/>
      <c r="AG62" s="19"/>
      <c r="AH62" s="19"/>
      <c r="AI62" s="19"/>
      <c r="AJ62" s="19"/>
      <c r="AK62" s="19"/>
      <c r="AL62" s="19"/>
      <c r="AN62" s="27"/>
    </row>
    <row r="63" spans="1:47">
      <c r="V63" s="19"/>
      <c r="W63" s="19"/>
      <c r="AD63" s="35"/>
      <c r="AE63" s="27"/>
      <c r="AF63" s="19"/>
      <c r="AG63" s="19"/>
      <c r="AH63" s="19"/>
      <c r="AI63" s="19"/>
      <c r="AJ63" s="19"/>
      <c r="AK63" s="19"/>
      <c r="AL63" s="19"/>
      <c r="AN63" s="27"/>
    </row>
    <row r="64" spans="1:47">
      <c r="V64" s="19"/>
      <c r="W64" s="19"/>
      <c r="AD64" s="35"/>
      <c r="AE64" s="19"/>
      <c r="AF64" s="19"/>
      <c r="AG64" s="19"/>
      <c r="AH64" s="19"/>
      <c r="AI64" s="19"/>
      <c r="AJ64" s="19"/>
      <c r="AK64" s="19"/>
      <c r="AL64" s="19"/>
    </row>
    <row r="65" spans="22:38">
      <c r="V65" s="19"/>
      <c r="W65" s="19"/>
      <c r="AD65" s="35"/>
      <c r="AE65" s="19"/>
      <c r="AF65" s="19"/>
      <c r="AG65" s="19"/>
      <c r="AH65" s="19"/>
      <c r="AI65" s="19"/>
      <c r="AJ65" s="19"/>
      <c r="AK65" s="19"/>
      <c r="AL65" s="19"/>
    </row>
    <row r="66" spans="22:38">
      <c r="V66" s="19"/>
      <c r="W66" s="19"/>
      <c r="AE66" s="19"/>
      <c r="AF66" s="19"/>
    </row>
    <row r="67" spans="22:38">
      <c r="V67" s="19"/>
      <c r="W67" s="19"/>
      <c r="AE67" s="19"/>
      <c r="AF67" s="19"/>
    </row>
    <row r="68" spans="22:38">
      <c r="V68" s="19"/>
      <c r="W68" s="19"/>
      <c r="AE68" s="19"/>
      <c r="AF68" s="19"/>
    </row>
    <row r="69" spans="22:38">
      <c r="V69" s="19"/>
      <c r="W69" s="19"/>
      <c r="AE69" s="19"/>
      <c r="AF69" s="19"/>
    </row>
    <row r="70" spans="22:38">
      <c r="V70" s="19"/>
      <c r="W70" s="19"/>
      <c r="AE70" s="19"/>
      <c r="AF70" s="19"/>
    </row>
    <row r="71" spans="22:38">
      <c r="V71" s="19"/>
      <c r="W71" s="19"/>
      <c r="AE71" s="19"/>
      <c r="AF71" s="19"/>
    </row>
    <row r="72" spans="22:38">
      <c r="V72" s="19"/>
      <c r="W72" s="19"/>
      <c r="AE72" s="19"/>
      <c r="AF72" s="19"/>
    </row>
    <row r="73" spans="22:38">
      <c r="V73" s="19"/>
      <c r="W73" s="19"/>
      <c r="AE73" s="19"/>
      <c r="AF73" s="19"/>
    </row>
    <row r="74" spans="22:38">
      <c r="V74" s="19"/>
      <c r="W74" s="19"/>
      <c r="AE74" s="19"/>
      <c r="AF74" s="19"/>
    </row>
    <row r="75" spans="22:38">
      <c r="V75" s="19"/>
      <c r="W75" s="19"/>
      <c r="AE75" s="19"/>
      <c r="AF75" s="19"/>
    </row>
    <row r="76" spans="22:38">
      <c r="V76" s="19"/>
      <c r="W76" s="19"/>
      <c r="AE76" s="19"/>
      <c r="AF76" s="19"/>
    </row>
  </sheetData>
  <mergeCells count="34">
    <mergeCell ref="BA34:BA36"/>
    <mergeCell ref="BA10:BA12"/>
    <mergeCell ref="BI2:BK2"/>
    <mergeCell ref="BL2:BM2"/>
    <mergeCell ref="BN2:BO2"/>
    <mergeCell ref="BA2:BB2"/>
    <mergeCell ref="BC2:BG2"/>
    <mergeCell ref="BA1:BG1"/>
    <mergeCell ref="BA26:BA28"/>
    <mergeCell ref="BA29:BC29"/>
    <mergeCell ref="BA30:BA32"/>
    <mergeCell ref="BA33:BC33"/>
    <mergeCell ref="BA4:BA6"/>
    <mergeCell ref="AH2:AJ2"/>
    <mergeCell ref="L4:L21"/>
    <mergeCell ref="M16:M21"/>
    <mergeCell ref="BA7:BA9"/>
    <mergeCell ref="AW2:AY2"/>
    <mergeCell ref="A1:I1"/>
    <mergeCell ref="AO46:AU46"/>
    <mergeCell ref="AN4:AN21"/>
    <mergeCell ref="AN24:AN32"/>
    <mergeCell ref="AN36:AN44"/>
    <mergeCell ref="AO2:AQ2"/>
    <mergeCell ref="AS2:AU2"/>
    <mergeCell ref="L24:L32"/>
    <mergeCell ref="L36:L44"/>
    <mergeCell ref="P2:S2"/>
    <mergeCell ref="L2:M2"/>
    <mergeCell ref="N2:N3"/>
    <mergeCell ref="O2:O3"/>
    <mergeCell ref="L1:AL1"/>
    <mergeCell ref="AN1:AY1"/>
    <mergeCell ref="Y2:AA2"/>
  </mergeCells>
  <phoneticPr fontId="4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28F43-2894-479C-B881-34033C370CF4}">
  <dimension ref="A1:I38"/>
  <sheetViews>
    <sheetView tabSelected="1" workbookViewId="0">
      <selection activeCell="E39" sqref="E39"/>
    </sheetView>
  </sheetViews>
  <sheetFormatPr baseColWidth="10" defaultColWidth="8.83203125" defaultRowHeight="15"/>
  <sheetData>
    <row r="1" spans="1:9">
      <c r="A1" t="s">
        <v>12</v>
      </c>
    </row>
    <row r="2" spans="1:9">
      <c r="B2" s="59" t="s">
        <v>13</v>
      </c>
      <c r="C2" s="59"/>
      <c r="D2" s="59"/>
      <c r="E2" s="59"/>
      <c r="F2" s="59"/>
      <c r="G2" s="59"/>
      <c r="H2" s="59"/>
      <c r="I2" s="59"/>
    </row>
    <row r="3" spans="1:9">
      <c r="A3" t="s">
        <v>14</v>
      </c>
      <c r="B3">
        <v>500</v>
      </c>
      <c r="C3">
        <f>B3/2</f>
        <v>250</v>
      </c>
      <c r="D3">
        <f t="shared" ref="D3:I3" si="0">C3/2</f>
        <v>125</v>
      </c>
      <c r="E3">
        <f t="shared" si="0"/>
        <v>62.5</v>
      </c>
      <c r="F3">
        <f t="shared" si="0"/>
        <v>31.25</v>
      </c>
      <c r="G3">
        <f t="shared" si="0"/>
        <v>15.625</v>
      </c>
      <c r="H3">
        <f t="shared" si="0"/>
        <v>7.8125</v>
      </c>
      <c r="I3">
        <f t="shared" si="0"/>
        <v>3.90625</v>
      </c>
    </row>
    <row r="4" spans="1:9">
      <c r="A4">
        <v>2000</v>
      </c>
      <c r="B4">
        <v>20</v>
      </c>
      <c r="C4">
        <f t="shared" ref="C4:I13" si="1">B4/2</f>
        <v>10</v>
      </c>
      <c r="D4">
        <f t="shared" si="1"/>
        <v>5</v>
      </c>
      <c r="E4">
        <f t="shared" si="1"/>
        <v>2.5</v>
      </c>
      <c r="F4">
        <f t="shared" si="1"/>
        <v>1.25</v>
      </c>
      <c r="G4">
        <f t="shared" si="1"/>
        <v>0.625</v>
      </c>
      <c r="H4">
        <f t="shared" si="1"/>
        <v>0.3125</v>
      </c>
      <c r="I4">
        <f t="shared" si="1"/>
        <v>0.15625</v>
      </c>
    </row>
    <row r="5" spans="1:9">
      <c r="A5">
        <v>1500</v>
      </c>
      <c r="B5">
        <v>70</v>
      </c>
      <c r="C5">
        <f t="shared" si="1"/>
        <v>35</v>
      </c>
      <c r="D5">
        <f t="shared" si="1"/>
        <v>17.5</v>
      </c>
      <c r="E5">
        <f t="shared" si="1"/>
        <v>8.75</v>
      </c>
      <c r="F5">
        <f t="shared" si="1"/>
        <v>4.375</v>
      </c>
      <c r="G5">
        <f t="shared" si="1"/>
        <v>2.1875</v>
      </c>
      <c r="H5">
        <f t="shared" si="1"/>
        <v>1.09375</v>
      </c>
      <c r="I5">
        <f t="shared" si="1"/>
        <v>0.546875</v>
      </c>
    </row>
    <row r="6" spans="1:9">
      <c r="A6">
        <v>1000</v>
      </c>
      <c r="B6">
        <v>30</v>
      </c>
      <c r="C6">
        <f t="shared" si="1"/>
        <v>15</v>
      </c>
      <c r="D6">
        <f t="shared" si="1"/>
        <v>7.5</v>
      </c>
      <c r="E6">
        <f t="shared" si="1"/>
        <v>3.75</v>
      </c>
      <c r="F6">
        <f t="shared" si="1"/>
        <v>1.875</v>
      </c>
      <c r="G6">
        <f t="shared" si="1"/>
        <v>0.9375</v>
      </c>
      <c r="H6">
        <f t="shared" si="1"/>
        <v>0.46875</v>
      </c>
      <c r="I6">
        <f t="shared" si="1"/>
        <v>0.234375</v>
      </c>
    </row>
    <row r="7" spans="1:9">
      <c r="A7">
        <v>850</v>
      </c>
      <c r="B7">
        <v>30</v>
      </c>
      <c r="C7">
        <f t="shared" si="1"/>
        <v>15</v>
      </c>
      <c r="D7">
        <f t="shared" si="1"/>
        <v>7.5</v>
      </c>
      <c r="E7">
        <f t="shared" si="1"/>
        <v>3.75</v>
      </c>
      <c r="F7">
        <f t="shared" si="1"/>
        <v>1.875</v>
      </c>
      <c r="G7">
        <f t="shared" si="1"/>
        <v>0.9375</v>
      </c>
      <c r="H7">
        <f t="shared" si="1"/>
        <v>0.46875</v>
      </c>
      <c r="I7">
        <f t="shared" si="1"/>
        <v>0.234375</v>
      </c>
    </row>
    <row r="8" spans="1:9">
      <c r="A8">
        <v>650</v>
      </c>
      <c r="B8">
        <v>30</v>
      </c>
      <c r="C8">
        <f t="shared" si="1"/>
        <v>15</v>
      </c>
      <c r="D8">
        <f t="shared" si="1"/>
        <v>7.5</v>
      </c>
      <c r="E8">
        <f t="shared" si="1"/>
        <v>3.75</v>
      </c>
      <c r="F8">
        <f t="shared" si="1"/>
        <v>1.875</v>
      </c>
      <c r="G8">
        <f t="shared" si="1"/>
        <v>0.9375</v>
      </c>
      <c r="H8">
        <f t="shared" si="1"/>
        <v>0.46875</v>
      </c>
      <c r="I8">
        <f t="shared" si="1"/>
        <v>0.234375</v>
      </c>
    </row>
    <row r="9" spans="1:9">
      <c r="A9">
        <v>500</v>
      </c>
      <c r="B9">
        <v>30</v>
      </c>
      <c r="C9">
        <f t="shared" si="1"/>
        <v>15</v>
      </c>
      <c r="D9">
        <f t="shared" si="1"/>
        <v>7.5</v>
      </c>
      <c r="E9">
        <f t="shared" si="1"/>
        <v>3.75</v>
      </c>
      <c r="F9">
        <f t="shared" si="1"/>
        <v>1.875</v>
      </c>
      <c r="G9">
        <f t="shared" si="1"/>
        <v>0.9375</v>
      </c>
      <c r="H9">
        <f t="shared" si="1"/>
        <v>0.46875</v>
      </c>
      <c r="I9">
        <f t="shared" si="1"/>
        <v>0.234375</v>
      </c>
    </row>
    <row r="10" spans="1:9">
      <c r="A10">
        <v>400</v>
      </c>
      <c r="B10">
        <v>30</v>
      </c>
      <c r="C10">
        <f t="shared" si="1"/>
        <v>15</v>
      </c>
      <c r="D10">
        <f t="shared" si="1"/>
        <v>7.5</v>
      </c>
      <c r="E10">
        <f t="shared" si="1"/>
        <v>3.75</v>
      </c>
      <c r="F10">
        <f t="shared" si="1"/>
        <v>1.875</v>
      </c>
      <c r="G10">
        <f t="shared" si="1"/>
        <v>0.9375</v>
      </c>
      <c r="H10">
        <f t="shared" si="1"/>
        <v>0.46875</v>
      </c>
      <c r="I10">
        <f t="shared" si="1"/>
        <v>0.234375</v>
      </c>
    </row>
    <row r="11" spans="1:9">
      <c r="A11">
        <v>300</v>
      </c>
      <c r="B11">
        <v>30</v>
      </c>
      <c r="C11">
        <f t="shared" si="1"/>
        <v>15</v>
      </c>
      <c r="D11">
        <f t="shared" si="1"/>
        <v>7.5</v>
      </c>
      <c r="E11">
        <f t="shared" si="1"/>
        <v>3.75</v>
      </c>
      <c r="F11">
        <f t="shared" si="1"/>
        <v>1.875</v>
      </c>
      <c r="G11">
        <f t="shared" si="1"/>
        <v>0.9375</v>
      </c>
      <c r="H11">
        <f t="shared" si="1"/>
        <v>0.46875</v>
      </c>
      <c r="I11">
        <f t="shared" si="1"/>
        <v>0.234375</v>
      </c>
    </row>
    <row r="12" spans="1:9">
      <c r="A12">
        <v>200</v>
      </c>
      <c r="B12">
        <v>30</v>
      </c>
      <c r="C12">
        <f t="shared" si="1"/>
        <v>15</v>
      </c>
      <c r="D12">
        <f t="shared" si="1"/>
        <v>7.5</v>
      </c>
      <c r="E12">
        <f t="shared" si="1"/>
        <v>3.75</v>
      </c>
      <c r="F12">
        <f t="shared" si="1"/>
        <v>1.875</v>
      </c>
      <c r="G12">
        <f t="shared" si="1"/>
        <v>0.9375</v>
      </c>
      <c r="H12">
        <f t="shared" si="1"/>
        <v>0.46875</v>
      </c>
      <c r="I12">
        <f t="shared" si="1"/>
        <v>0.234375</v>
      </c>
    </row>
    <row r="13" spans="1:9">
      <c r="A13">
        <v>100</v>
      </c>
      <c r="B13">
        <v>40</v>
      </c>
      <c r="C13">
        <f t="shared" si="1"/>
        <v>20</v>
      </c>
      <c r="D13">
        <f t="shared" si="1"/>
        <v>10</v>
      </c>
      <c r="E13">
        <f t="shared" si="1"/>
        <v>5</v>
      </c>
      <c r="F13">
        <f t="shared" si="1"/>
        <v>2.5</v>
      </c>
      <c r="G13">
        <f t="shared" si="1"/>
        <v>1.25</v>
      </c>
      <c r="H13">
        <f t="shared" si="1"/>
        <v>0.625</v>
      </c>
      <c r="I13">
        <f t="shared" si="1"/>
        <v>0.3125</v>
      </c>
    </row>
    <row r="15" spans="1:9">
      <c r="B15" s="59" t="s">
        <v>13</v>
      </c>
      <c r="C15" s="59"/>
      <c r="D15" s="59"/>
      <c r="E15" s="59"/>
      <c r="F15" s="59"/>
      <c r="G15" s="59"/>
      <c r="H15" s="59"/>
      <c r="I15" s="59"/>
    </row>
    <row r="16" spans="1:9">
      <c r="A16" t="s">
        <v>14</v>
      </c>
      <c r="B16">
        <v>250</v>
      </c>
      <c r="C16">
        <f>B16/5</f>
        <v>50</v>
      </c>
      <c r="D16">
        <f>C16/2</f>
        <v>25</v>
      </c>
      <c r="E16">
        <f>D16/2</f>
        <v>12.5</v>
      </c>
      <c r="G16">
        <f>C16*4/5</f>
        <v>40</v>
      </c>
      <c r="H16">
        <f>G16/2</f>
        <v>20</v>
      </c>
      <c r="I16">
        <f>H16/2</f>
        <v>10</v>
      </c>
    </row>
    <row r="17" spans="1:9">
      <c r="A17">
        <v>2000</v>
      </c>
      <c r="B17">
        <v>10</v>
      </c>
      <c r="C17">
        <f t="shared" ref="C17:C26" si="2">B17/5</f>
        <v>2</v>
      </c>
      <c r="D17">
        <f t="shared" ref="D17:E26" si="3">C17/2</f>
        <v>1</v>
      </c>
      <c r="E17">
        <f t="shared" si="3"/>
        <v>0.5</v>
      </c>
      <c r="G17">
        <f t="shared" ref="G17:G26" si="4">C17*4/5</f>
        <v>1.6</v>
      </c>
      <c r="H17">
        <f t="shared" ref="H17:I26" si="5">G17/2</f>
        <v>0.8</v>
      </c>
      <c r="I17">
        <f t="shared" si="5"/>
        <v>0.4</v>
      </c>
    </row>
    <row r="18" spans="1:9">
      <c r="A18">
        <v>1500</v>
      </c>
      <c r="B18">
        <v>35</v>
      </c>
      <c r="C18">
        <f t="shared" si="2"/>
        <v>7</v>
      </c>
      <c r="D18">
        <f t="shared" si="3"/>
        <v>3.5</v>
      </c>
      <c r="E18">
        <f t="shared" si="3"/>
        <v>1.75</v>
      </c>
      <c r="G18">
        <f t="shared" si="4"/>
        <v>5.6</v>
      </c>
      <c r="H18">
        <f t="shared" si="5"/>
        <v>2.8</v>
      </c>
      <c r="I18">
        <f t="shared" si="5"/>
        <v>1.4</v>
      </c>
    </row>
    <row r="19" spans="1:9">
      <c r="A19">
        <v>1000</v>
      </c>
      <c r="B19">
        <v>15</v>
      </c>
      <c r="C19">
        <f t="shared" si="2"/>
        <v>3</v>
      </c>
      <c r="D19">
        <f t="shared" si="3"/>
        <v>1.5</v>
      </c>
      <c r="E19">
        <f t="shared" si="3"/>
        <v>0.75</v>
      </c>
      <c r="G19">
        <f t="shared" si="4"/>
        <v>2.4</v>
      </c>
      <c r="H19">
        <f t="shared" si="5"/>
        <v>1.2</v>
      </c>
      <c r="I19">
        <f t="shared" si="5"/>
        <v>0.6</v>
      </c>
    </row>
    <row r="20" spans="1:9">
      <c r="A20">
        <v>850</v>
      </c>
      <c r="B20">
        <v>15</v>
      </c>
      <c r="C20">
        <f t="shared" si="2"/>
        <v>3</v>
      </c>
      <c r="D20">
        <f t="shared" si="3"/>
        <v>1.5</v>
      </c>
      <c r="E20">
        <f t="shared" si="3"/>
        <v>0.75</v>
      </c>
      <c r="G20">
        <f t="shared" si="4"/>
        <v>2.4</v>
      </c>
      <c r="H20">
        <f t="shared" si="5"/>
        <v>1.2</v>
      </c>
      <c r="I20">
        <f t="shared" si="5"/>
        <v>0.6</v>
      </c>
    </row>
    <row r="21" spans="1:9">
      <c r="A21">
        <v>650</v>
      </c>
      <c r="B21">
        <v>15</v>
      </c>
      <c r="C21">
        <f t="shared" si="2"/>
        <v>3</v>
      </c>
      <c r="D21">
        <f t="shared" si="3"/>
        <v>1.5</v>
      </c>
      <c r="E21">
        <f t="shared" si="3"/>
        <v>0.75</v>
      </c>
      <c r="G21">
        <f t="shared" si="4"/>
        <v>2.4</v>
      </c>
      <c r="H21">
        <f t="shared" si="5"/>
        <v>1.2</v>
      </c>
      <c r="I21">
        <f t="shared" si="5"/>
        <v>0.6</v>
      </c>
    </row>
    <row r="22" spans="1:9">
      <c r="A22">
        <v>500</v>
      </c>
      <c r="B22">
        <v>15</v>
      </c>
      <c r="C22">
        <f t="shared" si="2"/>
        <v>3</v>
      </c>
      <c r="D22">
        <f t="shared" si="3"/>
        <v>1.5</v>
      </c>
      <c r="E22">
        <f t="shared" si="3"/>
        <v>0.75</v>
      </c>
      <c r="G22">
        <f t="shared" si="4"/>
        <v>2.4</v>
      </c>
      <c r="H22">
        <f t="shared" si="5"/>
        <v>1.2</v>
      </c>
      <c r="I22">
        <f t="shared" si="5"/>
        <v>0.6</v>
      </c>
    </row>
    <row r="23" spans="1:9">
      <c r="A23">
        <v>400</v>
      </c>
      <c r="B23">
        <v>15</v>
      </c>
      <c r="C23">
        <f t="shared" si="2"/>
        <v>3</v>
      </c>
      <c r="D23">
        <f t="shared" si="3"/>
        <v>1.5</v>
      </c>
      <c r="E23">
        <f t="shared" si="3"/>
        <v>0.75</v>
      </c>
      <c r="G23">
        <f t="shared" si="4"/>
        <v>2.4</v>
      </c>
      <c r="H23">
        <f t="shared" si="5"/>
        <v>1.2</v>
      </c>
      <c r="I23">
        <f t="shared" si="5"/>
        <v>0.6</v>
      </c>
    </row>
    <row r="24" spans="1:9">
      <c r="A24">
        <v>300</v>
      </c>
      <c r="B24">
        <v>15</v>
      </c>
      <c r="C24">
        <f t="shared" si="2"/>
        <v>3</v>
      </c>
      <c r="D24">
        <f t="shared" si="3"/>
        <v>1.5</v>
      </c>
      <c r="E24">
        <f t="shared" si="3"/>
        <v>0.75</v>
      </c>
      <c r="G24">
        <f t="shared" si="4"/>
        <v>2.4</v>
      </c>
      <c r="H24">
        <f t="shared" si="5"/>
        <v>1.2</v>
      </c>
      <c r="I24">
        <f t="shared" si="5"/>
        <v>0.6</v>
      </c>
    </row>
    <row r="25" spans="1:9">
      <c r="A25">
        <v>200</v>
      </c>
      <c r="B25">
        <v>15</v>
      </c>
      <c r="C25">
        <f t="shared" si="2"/>
        <v>3</v>
      </c>
      <c r="D25">
        <f t="shared" si="3"/>
        <v>1.5</v>
      </c>
      <c r="E25">
        <f t="shared" si="3"/>
        <v>0.75</v>
      </c>
      <c r="G25">
        <f t="shared" si="4"/>
        <v>2.4</v>
      </c>
      <c r="H25">
        <f t="shared" si="5"/>
        <v>1.2</v>
      </c>
      <c r="I25">
        <f t="shared" si="5"/>
        <v>0.6</v>
      </c>
    </row>
    <row r="26" spans="1:9">
      <c r="A26">
        <v>100</v>
      </c>
      <c r="B26">
        <v>20</v>
      </c>
      <c r="C26">
        <f t="shared" si="2"/>
        <v>4</v>
      </c>
      <c r="D26">
        <f t="shared" si="3"/>
        <v>2</v>
      </c>
      <c r="E26">
        <f t="shared" si="3"/>
        <v>1</v>
      </c>
      <c r="G26">
        <f t="shared" si="4"/>
        <v>3.2</v>
      </c>
      <c r="H26">
        <f t="shared" si="5"/>
        <v>1.6</v>
      </c>
      <c r="I26">
        <f t="shared" si="5"/>
        <v>0.8</v>
      </c>
    </row>
    <row r="28" spans="1:9">
      <c r="A28" t="s">
        <v>14</v>
      </c>
      <c r="B28">
        <v>500</v>
      </c>
      <c r="C28">
        <f>B28/5</f>
        <v>100</v>
      </c>
      <c r="D28">
        <f>C28/2</f>
        <v>50</v>
      </c>
      <c r="E28">
        <f t="shared" ref="E28:H28" si="6">D28/2</f>
        <v>25</v>
      </c>
      <c r="F28">
        <f t="shared" si="6"/>
        <v>12.5</v>
      </c>
      <c r="G28">
        <f t="shared" si="6"/>
        <v>6.25</v>
      </c>
      <c r="H28">
        <f t="shared" si="6"/>
        <v>3.125</v>
      </c>
    </row>
    <row r="29" spans="1:9">
      <c r="A29">
        <v>2000</v>
      </c>
      <c r="B29">
        <v>20</v>
      </c>
      <c r="C29">
        <f t="shared" ref="C29:C38" si="7">B29/5</f>
        <v>4</v>
      </c>
      <c r="D29">
        <f t="shared" ref="D29:H38" si="8">C29/2</f>
        <v>2</v>
      </c>
      <c r="E29">
        <f t="shared" si="8"/>
        <v>1</v>
      </c>
      <c r="F29">
        <f t="shared" si="8"/>
        <v>0.5</v>
      </c>
      <c r="G29">
        <f t="shared" si="8"/>
        <v>0.25</v>
      </c>
      <c r="H29">
        <f t="shared" si="8"/>
        <v>0.125</v>
      </c>
    </row>
    <row r="30" spans="1:9">
      <c r="A30">
        <v>1500</v>
      </c>
      <c r="B30">
        <v>70</v>
      </c>
      <c r="C30">
        <f t="shared" si="7"/>
        <v>14</v>
      </c>
      <c r="D30">
        <f t="shared" si="8"/>
        <v>7</v>
      </c>
      <c r="E30">
        <f t="shared" si="8"/>
        <v>3.5</v>
      </c>
      <c r="F30">
        <f t="shared" si="8"/>
        <v>1.75</v>
      </c>
      <c r="G30">
        <f t="shared" si="8"/>
        <v>0.875</v>
      </c>
      <c r="H30">
        <f t="shared" si="8"/>
        <v>0.4375</v>
      </c>
    </row>
    <row r="31" spans="1:9">
      <c r="A31">
        <v>1000</v>
      </c>
      <c r="B31">
        <v>30</v>
      </c>
      <c r="C31">
        <f t="shared" si="7"/>
        <v>6</v>
      </c>
      <c r="D31">
        <f t="shared" si="8"/>
        <v>3</v>
      </c>
      <c r="E31">
        <f t="shared" si="8"/>
        <v>1.5</v>
      </c>
      <c r="F31">
        <f t="shared" si="8"/>
        <v>0.75</v>
      </c>
      <c r="G31">
        <f t="shared" si="8"/>
        <v>0.375</v>
      </c>
      <c r="H31">
        <f t="shared" si="8"/>
        <v>0.1875</v>
      </c>
    </row>
    <row r="32" spans="1:9">
      <c r="A32">
        <v>850</v>
      </c>
      <c r="B32">
        <v>30</v>
      </c>
      <c r="C32">
        <f t="shared" si="7"/>
        <v>6</v>
      </c>
      <c r="D32">
        <f t="shared" si="8"/>
        <v>3</v>
      </c>
      <c r="E32">
        <f t="shared" si="8"/>
        <v>1.5</v>
      </c>
      <c r="F32">
        <f t="shared" si="8"/>
        <v>0.75</v>
      </c>
      <c r="G32">
        <f t="shared" si="8"/>
        <v>0.375</v>
      </c>
      <c r="H32">
        <f t="shared" si="8"/>
        <v>0.1875</v>
      </c>
    </row>
    <row r="33" spans="1:8">
      <c r="A33">
        <v>650</v>
      </c>
      <c r="B33">
        <v>30</v>
      </c>
      <c r="C33">
        <f t="shared" si="7"/>
        <v>6</v>
      </c>
      <c r="D33">
        <f t="shared" si="8"/>
        <v>3</v>
      </c>
      <c r="E33">
        <f t="shared" si="8"/>
        <v>1.5</v>
      </c>
      <c r="F33">
        <f t="shared" si="8"/>
        <v>0.75</v>
      </c>
      <c r="G33">
        <f t="shared" si="8"/>
        <v>0.375</v>
      </c>
      <c r="H33">
        <f t="shared" si="8"/>
        <v>0.1875</v>
      </c>
    </row>
    <row r="34" spans="1:8">
      <c r="A34">
        <v>500</v>
      </c>
      <c r="B34">
        <v>30</v>
      </c>
      <c r="C34">
        <f t="shared" si="7"/>
        <v>6</v>
      </c>
      <c r="D34">
        <f t="shared" si="8"/>
        <v>3</v>
      </c>
      <c r="E34">
        <f t="shared" si="8"/>
        <v>1.5</v>
      </c>
      <c r="F34">
        <f t="shared" si="8"/>
        <v>0.75</v>
      </c>
      <c r="G34">
        <f t="shared" si="8"/>
        <v>0.375</v>
      </c>
      <c r="H34">
        <f t="shared" si="8"/>
        <v>0.1875</v>
      </c>
    </row>
    <row r="35" spans="1:8">
      <c r="A35">
        <v>400</v>
      </c>
      <c r="B35">
        <v>30</v>
      </c>
      <c r="C35">
        <f t="shared" si="7"/>
        <v>6</v>
      </c>
      <c r="D35">
        <f t="shared" si="8"/>
        <v>3</v>
      </c>
      <c r="E35">
        <f t="shared" si="8"/>
        <v>1.5</v>
      </c>
      <c r="F35">
        <f t="shared" si="8"/>
        <v>0.75</v>
      </c>
      <c r="G35">
        <f t="shared" si="8"/>
        <v>0.375</v>
      </c>
      <c r="H35">
        <f t="shared" si="8"/>
        <v>0.1875</v>
      </c>
    </row>
    <row r="36" spans="1:8">
      <c r="A36">
        <v>300</v>
      </c>
      <c r="B36">
        <v>30</v>
      </c>
      <c r="C36">
        <f t="shared" si="7"/>
        <v>6</v>
      </c>
      <c r="D36">
        <f t="shared" si="8"/>
        <v>3</v>
      </c>
      <c r="E36">
        <f t="shared" si="8"/>
        <v>1.5</v>
      </c>
      <c r="F36">
        <f t="shared" si="8"/>
        <v>0.75</v>
      </c>
      <c r="G36">
        <f t="shared" si="8"/>
        <v>0.375</v>
      </c>
      <c r="H36">
        <f t="shared" si="8"/>
        <v>0.1875</v>
      </c>
    </row>
    <row r="37" spans="1:8">
      <c r="A37">
        <v>200</v>
      </c>
      <c r="B37">
        <v>30</v>
      </c>
      <c r="C37">
        <f t="shared" si="7"/>
        <v>6</v>
      </c>
      <c r="D37">
        <f t="shared" si="8"/>
        <v>3</v>
      </c>
      <c r="E37">
        <f t="shared" si="8"/>
        <v>1.5</v>
      </c>
      <c r="F37">
        <f t="shared" si="8"/>
        <v>0.75</v>
      </c>
      <c r="G37">
        <f t="shared" si="8"/>
        <v>0.375</v>
      </c>
      <c r="H37">
        <f t="shared" si="8"/>
        <v>0.1875</v>
      </c>
    </row>
    <row r="38" spans="1:8">
      <c r="A38">
        <v>100</v>
      </c>
      <c r="B38">
        <v>40</v>
      </c>
      <c r="C38">
        <f t="shared" si="7"/>
        <v>8</v>
      </c>
      <c r="D38">
        <f t="shared" si="8"/>
        <v>4</v>
      </c>
      <c r="E38">
        <f t="shared" si="8"/>
        <v>2</v>
      </c>
      <c r="F38">
        <f t="shared" si="8"/>
        <v>1</v>
      </c>
      <c r="G38">
        <f t="shared" si="8"/>
        <v>0.5</v>
      </c>
      <c r="H38">
        <f t="shared" si="8"/>
        <v>0.25</v>
      </c>
    </row>
  </sheetData>
  <mergeCells count="2">
    <mergeCell ref="B2:I2"/>
    <mergeCell ref="B15:I15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All Pixel Densities</vt:lpstr>
      <vt:lpstr>Ladder Standards</vt:lpstr>
      <vt:lpstr>DNA Measurements</vt:lpstr>
      <vt:lpstr>DNA Ladder Dilutions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Sykrishukor</dc:creator>
  <cp:lastModifiedBy>Microsoft Office User</cp:lastModifiedBy>
  <dcterms:created xsi:type="dcterms:W3CDTF">2018-07-12T14:25:46Z</dcterms:created>
  <dcterms:modified xsi:type="dcterms:W3CDTF">2019-05-11T21:05:48Z</dcterms:modified>
</cp:coreProperties>
</file>