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9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0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1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3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4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5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6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7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8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9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0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E:\2022\6月\6.30\plants-1765697\plants-1765697-supplementary\"/>
    </mc:Choice>
  </mc:AlternateContent>
  <xr:revisionPtr revIDLastSave="0" documentId="13_ncr:1_{9664293C-44A1-4CD9-8521-3CDA2CC17F07}" xr6:coauthVersionLast="36" xr6:coauthVersionMax="36" xr10:uidLastSave="{00000000-0000-0000-0000-000000000000}"/>
  <bookViews>
    <workbookView xWindow="0" yWindow="0" windowWidth="38400" windowHeight="17040" firstSheet="29" activeTab="29" xr2:uid="{00000000-000D-0000-FFFF-FFFF00000000}"/>
  </bookViews>
  <sheets>
    <sheet name="Figure S5B" sheetId="2" r:id="rId1"/>
    <sheet name="Figure S5A" sheetId="39" r:id="rId2"/>
    <sheet name="Figure S6B" sheetId="42" r:id="rId3"/>
    <sheet name="Figure S6C" sheetId="43" r:id="rId4"/>
    <sheet name="Figure S6D" sheetId="44" r:id="rId5"/>
    <sheet name="Figure S6E" sheetId="45" r:id="rId6"/>
    <sheet name="Figure S6F" sheetId="46" r:id="rId7"/>
    <sheet name="Figure S7A" sheetId="24" r:id="rId8"/>
    <sheet name="Figure S7B" sheetId="25" r:id="rId9"/>
    <sheet name="Figure S7C" sheetId="26" r:id="rId10"/>
    <sheet name="Figure S7D" sheetId="27" r:id="rId11"/>
    <sheet name="Figure S7E" sheetId="28" r:id="rId12"/>
    <sheet name="Figure S7F" sheetId="29" r:id="rId13"/>
    <sheet name="Figure S7G" sheetId="30" r:id="rId14"/>
    <sheet name="Table S3" sheetId="23" r:id="rId15"/>
    <sheet name="Figure S8A" sheetId="18" r:id="rId16"/>
    <sheet name="Figure S8B" sheetId="19" r:id="rId17"/>
    <sheet name="Figure S8C" sheetId="20" r:id="rId18"/>
    <sheet name="Figure S8D" sheetId="21" r:id="rId19"/>
    <sheet name="Figure S8E" sheetId="22" r:id="rId20"/>
    <sheet name="Figure S9A" sheetId="31" r:id="rId21"/>
    <sheet name="Figure S9B" sheetId="34" r:id="rId22"/>
    <sheet name="Figure S9C" sheetId="35" r:id="rId23"/>
    <sheet name="Figure S9F" sheetId="36" r:id="rId24"/>
    <sheet name="Supplementary Figure S10" sheetId="47" r:id="rId25"/>
    <sheet name="Supplementary Figure S11A" sheetId="48" r:id="rId26"/>
    <sheet name="Supplementary Figure S12B" sheetId="49" r:id="rId27"/>
    <sheet name="Supplementary Figure S12C" sheetId="50" r:id="rId28"/>
    <sheet name="Supplementary Figure S12D" sheetId="51" r:id="rId29"/>
    <sheet name="Supplementary Figure S12E" sheetId="52" r:id="rId30"/>
    <sheet name="Supplementary Figure S13" sheetId="53" r:id="rId31"/>
  </sheets>
  <externalReferences>
    <externalReference r:id="rId32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3" l="1"/>
  <c r="G10" i="53" s="1"/>
  <c r="H10" i="53" s="1"/>
  <c r="C10" i="53"/>
  <c r="F9" i="53"/>
  <c r="G9" i="53" s="1"/>
  <c r="H9" i="53" s="1"/>
  <c r="C9" i="53"/>
  <c r="F8" i="53"/>
  <c r="C8" i="53"/>
  <c r="F7" i="53"/>
  <c r="C7" i="53"/>
  <c r="F6" i="53"/>
  <c r="G6" i="53" s="1"/>
  <c r="H6" i="53" s="1"/>
  <c r="C6" i="53"/>
  <c r="F5" i="53"/>
  <c r="C5" i="53"/>
  <c r="F4" i="53"/>
  <c r="G4" i="53" s="1"/>
  <c r="H4" i="53" s="1"/>
  <c r="C4" i="53"/>
  <c r="G3" i="53"/>
  <c r="H3" i="53" s="1"/>
  <c r="F3" i="53"/>
  <c r="C3" i="53"/>
  <c r="F2" i="53"/>
  <c r="G2" i="53" s="1"/>
  <c r="H2" i="53" s="1"/>
  <c r="C2" i="53"/>
  <c r="D22" i="52"/>
  <c r="D21" i="52"/>
  <c r="D20" i="52"/>
  <c r="D19" i="52"/>
  <c r="D18" i="52"/>
  <c r="D17" i="52"/>
  <c r="D16" i="52"/>
  <c r="D15" i="52"/>
  <c r="D14" i="52"/>
  <c r="D13" i="52"/>
  <c r="D12" i="52"/>
  <c r="D11" i="52"/>
  <c r="D10" i="52"/>
  <c r="D9" i="52"/>
  <c r="D8" i="52"/>
  <c r="D7" i="52"/>
  <c r="D6" i="52"/>
  <c r="E3" i="52" s="1"/>
  <c r="F4" i="52" s="1"/>
  <c r="D5" i="52"/>
  <c r="D4" i="52"/>
  <c r="D3" i="52"/>
  <c r="D22" i="51"/>
  <c r="D21" i="51"/>
  <c r="D20" i="51"/>
  <c r="D19" i="51"/>
  <c r="D18" i="51"/>
  <c r="D17" i="51"/>
  <c r="D16" i="51"/>
  <c r="D15" i="51"/>
  <c r="D14" i="51"/>
  <c r="D13" i="51"/>
  <c r="D12" i="51"/>
  <c r="D11" i="51"/>
  <c r="D10" i="51"/>
  <c r="D9" i="51"/>
  <c r="D8" i="51"/>
  <c r="D7" i="51"/>
  <c r="D6" i="51"/>
  <c r="D5" i="51"/>
  <c r="D4" i="51"/>
  <c r="D3" i="51"/>
  <c r="E21" i="50"/>
  <c r="E20" i="50"/>
  <c r="E19" i="50"/>
  <c r="E18" i="50"/>
  <c r="E17" i="50"/>
  <c r="E16" i="50"/>
  <c r="E15" i="50"/>
  <c r="E14" i="50"/>
  <c r="E13" i="50"/>
  <c r="E12" i="50"/>
  <c r="E11" i="50"/>
  <c r="E10" i="50"/>
  <c r="E9" i="50"/>
  <c r="E8" i="50"/>
  <c r="E7" i="50"/>
  <c r="E6" i="50"/>
  <c r="E5" i="50"/>
  <c r="E4" i="50"/>
  <c r="E3" i="50"/>
  <c r="E2" i="50"/>
  <c r="E21" i="49"/>
  <c r="E20" i="49"/>
  <c r="E19" i="49"/>
  <c r="E18" i="49"/>
  <c r="E17" i="49"/>
  <c r="E16" i="49"/>
  <c r="E15" i="49"/>
  <c r="E14" i="49"/>
  <c r="E13" i="49"/>
  <c r="E12" i="49"/>
  <c r="E11" i="49"/>
  <c r="E10" i="49"/>
  <c r="E9" i="49"/>
  <c r="G9" i="49" s="1"/>
  <c r="E8" i="49"/>
  <c r="E7" i="49"/>
  <c r="E6" i="49"/>
  <c r="E5" i="49"/>
  <c r="E4" i="49"/>
  <c r="E3" i="49"/>
  <c r="F2" i="49" s="1"/>
  <c r="E2" i="49"/>
  <c r="E21" i="48"/>
  <c r="E20" i="48"/>
  <c r="E19" i="48"/>
  <c r="E18" i="48"/>
  <c r="E17" i="48"/>
  <c r="E16" i="48"/>
  <c r="E15" i="48"/>
  <c r="E14" i="48"/>
  <c r="E13" i="48"/>
  <c r="E12" i="48"/>
  <c r="E11" i="48"/>
  <c r="E10" i="48"/>
  <c r="E9" i="48"/>
  <c r="E8" i="48"/>
  <c r="E7" i="48"/>
  <c r="E6" i="48"/>
  <c r="E5" i="48"/>
  <c r="E4" i="48"/>
  <c r="E3" i="48"/>
  <c r="E2" i="48"/>
  <c r="C36" i="47"/>
  <c r="C35" i="47"/>
  <c r="C34" i="47"/>
  <c r="D33" i="47" s="1"/>
  <c r="J6" i="47" s="1"/>
  <c r="E33" i="47"/>
  <c r="J12" i="47" s="1"/>
  <c r="C33" i="47"/>
  <c r="C32" i="47"/>
  <c r="C31" i="47"/>
  <c r="C30" i="47"/>
  <c r="C29" i="47"/>
  <c r="D29" i="47" s="1"/>
  <c r="I6" i="47" s="1"/>
  <c r="C27" i="47"/>
  <c r="C26" i="47"/>
  <c r="C25" i="47"/>
  <c r="C24" i="47"/>
  <c r="E24" i="47" s="1"/>
  <c r="J11" i="47" s="1"/>
  <c r="C23" i="47"/>
  <c r="D20" i="47" s="1"/>
  <c r="I5" i="47" s="1"/>
  <c r="C22" i="47"/>
  <c r="C21" i="47"/>
  <c r="C20" i="47"/>
  <c r="E20" i="47" s="1"/>
  <c r="I11" i="47" s="1"/>
  <c r="C18" i="47"/>
  <c r="C17" i="47"/>
  <c r="C16" i="47"/>
  <c r="E15" i="47"/>
  <c r="J10" i="47" s="1"/>
  <c r="C15" i="47"/>
  <c r="C14" i="47"/>
  <c r="C13" i="47"/>
  <c r="C12" i="47"/>
  <c r="C11" i="47"/>
  <c r="D11" i="47" s="1"/>
  <c r="I4" i="47" s="1"/>
  <c r="C9" i="47"/>
  <c r="C8" i="47"/>
  <c r="C7" i="47"/>
  <c r="C6" i="47"/>
  <c r="E6" i="47" s="1"/>
  <c r="J9" i="47" s="1"/>
  <c r="C5" i="47"/>
  <c r="C4" i="47"/>
  <c r="C3" i="47"/>
  <c r="C2" i="47"/>
  <c r="E2" i="47" s="1"/>
  <c r="I9" i="47" s="1"/>
  <c r="G7" i="49" l="1"/>
  <c r="G13" i="49"/>
  <c r="F7" i="52"/>
  <c r="F13" i="52"/>
  <c r="F19" i="52"/>
  <c r="G19" i="52" s="1"/>
  <c r="N3" i="52" s="1"/>
  <c r="F33" i="47"/>
  <c r="G2" i="49"/>
  <c r="G14" i="49"/>
  <c r="G20" i="49"/>
  <c r="F8" i="52"/>
  <c r="G7" i="52" s="1"/>
  <c r="K3" i="52" s="1"/>
  <c r="F14" i="52"/>
  <c r="F20" i="52"/>
  <c r="G5" i="53"/>
  <c r="H5" i="53" s="1"/>
  <c r="G8" i="53"/>
  <c r="H8" i="53" s="1"/>
  <c r="E11" i="47"/>
  <c r="I10" i="47" s="1"/>
  <c r="F6" i="47"/>
  <c r="F9" i="52"/>
  <c r="F15" i="52"/>
  <c r="H15" i="52" s="1"/>
  <c r="M4" i="52" s="1"/>
  <c r="F21" i="52"/>
  <c r="G4" i="49"/>
  <c r="G10" i="49"/>
  <c r="G16" i="49"/>
  <c r="F10" i="52"/>
  <c r="F16" i="52"/>
  <c r="F22" i="52"/>
  <c r="F24" i="47"/>
  <c r="G15" i="49"/>
  <c r="D6" i="47"/>
  <c r="J3" i="47" s="1"/>
  <c r="D15" i="47"/>
  <c r="J4" i="47" s="1"/>
  <c r="G17" i="49"/>
  <c r="H14" i="49" s="1"/>
  <c r="N3" i="49" s="1"/>
  <c r="F5" i="52"/>
  <c r="F11" i="52"/>
  <c r="F17" i="52"/>
  <c r="G7" i="53"/>
  <c r="H7" i="53" s="1"/>
  <c r="G6" i="49"/>
  <c r="I6" i="49" s="1"/>
  <c r="L4" i="49" s="1"/>
  <c r="G12" i="49"/>
  <c r="F6" i="52"/>
  <c r="F12" i="52"/>
  <c r="F18" i="52"/>
  <c r="K8" i="53"/>
  <c r="I2" i="53"/>
  <c r="N2" i="53" s="1"/>
  <c r="K5" i="53"/>
  <c r="J2" i="53"/>
  <c r="O2" i="53" s="1"/>
  <c r="J8" i="53"/>
  <c r="O4" i="53" s="1"/>
  <c r="I8" i="53"/>
  <c r="N4" i="53" s="1"/>
  <c r="J5" i="53"/>
  <c r="O3" i="53" s="1"/>
  <c r="I5" i="53"/>
  <c r="N3" i="53" s="1"/>
  <c r="H7" i="52"/>
  <c r="K4" i="52" s="1"/>
  <c r="H11" i="52"/>
  <c r="L4" i="52" s="1"/>
  <c r="G11" i="52"/>
  <c r="L3" i="52" s="1"/>
  <c r="H19" i="52"/>
  <c r="N4" i="52" s="1"/>
  <c r="F3" i="52"/>
  <c r="F5" i="51"/>
  <c r="F13" i="51"/>
  <c r="F6" i="51"/>
  <c r="F14" i="51"/>
  <c r="F7" i="51"/>
  <c r="F15" i="51"/>
  <c r="F8" i="51"/>
  <c r="F16" i="51"/>
  <c r="F17" i="51"/>
  <c r="F18" i="51"/>
  <c r="F11" i="51"/>
  <c r="F19" i="51"/>
  <c r="F12" i="51"/>
  <c r="F20" i="51"/>
  <c r="E3" i="51"/>
  <c r="F22" i="51" s="1"/>
  <c r="F2" i="50"/>
  <c r="G5" i="50" s="1"/>
  <c r="I14" i="49"/>
  <c r="N4" i="49" s="1"/>
  <c r="I2" i="49"/>
  <c r="K4" i="49" s="1"/>
  <c r="G21" i="49"/>
  <c r="G18" i="49"/>
  <c r="G11" i="49"/>
  <c r="G8" i="49"/>
  <c r="G5" i="49"/>
  <c r="G19" i="49"/>
  <c r="G3" i="49"/>
  <c r="F2" i="48"/>
  <c r="G15" i="48" s="1"/>
  <c r="F15" i="47"/>
  <c r="D2" i="47"/>
  <c r="I3" i="47" s="1"/>
  <c r="D24" i="47"/>
  <c r="J5" i="47" s="1"/>
  <c r="E29" i="47"/>
  <c r="I12" i="47" s="1"/>
  <c r="G9" i="50" l="1"/>
  <c r="G20" i="50"/>
  <c r="G8" i="50"/>
  <c r="G12" i="50"/>
  <c r="I10" i="49"/>
  <c r="M4" i="49" s="1"/>
  <c r="G7" i="50"/>
  <c r="G15" i="52"/>
  <c r="M3" i="52" s="1"/>
  <c r="G15" i="50"/>
  <c r="H10" i="49"/>
  <c r="M3" i="49" s="1"/>
  <c r="G4" i="50"/>
  <c r="H6" i="49"/>
  <c r="L3" i="49" s="1"/>
  <c r="G11" i="50"/>
  <c r="G14" i="50"/>
  <c r="H2" i="49"/>
  <c r="K3" i="49" s="1"/>
  <c r="G3" i="50"/>
  <c r="F10" i="51"/>
  <c r="H3" i="52"/>
  <c r="J4" i="52" s="1"/>
  <c r="G3" i="52"/>
  <c r="J3" i="52" s="1"/>
  <c r="H15" i="51"/>
  <c r="M4" i="51" s="1"/>
  <c r="G15" i="51"/>
  <c r="M3" i="51" s="1"/>
  <c r="H11" i="51"/>
  <c r="L4" i="51" s="1"/>
  <c r="G11" i="51"/>
  <c r="L3" i="51" s="1"/>
  <c r="H7" i="51"/>
  <c r="K4" i="51" s="1"/>
  <c r="F4" i="51"/>
  <c r="F3" i="51"/>
  <c r="F9" i="51"/>
  <c r="G7" i="51" s="1"/>
  <c r="K3" i="51" s="1"/>
  <c r="F21" i="51"/>
  <c r="G19" i="51" s="1"/>
  <c r="N3" i="51" s="1"/>
  <c r="G18" i="50"/>
  <c r="G21" i="50"/>
  <c r="G2" i="50"/>
  <c r="G19" i="50"/>
  <c r="G16" i="50"/>
  <c r="G13" i="50"/>
  <c r="G10" i="50"/>
  <c r="G17" i="50"/>
  <c r="G6" i="50"/>
  <c r="I18" i="49"/>
  <c r="O4" i="49" s="1"/>
  <c r="H18" i="49"/>
  <c r="O3" i="49" s="1"/>
  <c r="G8" i="48"/>
  <c r="G5" i="48"/>
  <c r="G19" i="48"/>
  <c r="G16" i="48"/>
  <c r="G13" i="48"/>
  <c r="G4" i="48"/>
  <c r="G10" i="48"/>
  <c r="G9" i="48"/>
  <c r="G12" i="48"/>
  <c r="G21" i="48"/>
  <c r="G3" i="48"/>
  <c r="G20" i="48"/>
  <c r="G14" i="48"/>
  <c r="G11" i="48"/>
  <c r="G18" i="48"/>
  <c r="G2" i="48"/>
  <c r="G7" i="48"/>
  <c r="G17" i="48"/>
  <c r="G6" i="48"/>
  <c r="I14" i="50" l="1"/>
  <c r="N4" i="50" s="1"/>
  <c r="H19" i="51"/>
  <c r="N4" i="51" s="1"/>
  <c r="H3" i="51"/>
  <c r="J4" i="51" s="1"/>
  <c r="G3" i="51"/>
  <c r="J3" i="51" s="1"/>
  <c r="I6" i="50"/>
  <c r="L4" i="50" s="1"/>
  <c r="H6" i="50"/>
  <c r="L3" i="50" s="1"/>
  <c r="I18" i="50"/>
  <c r="O4" i="50" s="1"/>
  <c r="H18" i="50"/>
  <c r="O3" i="50" s="1"/>
  <c r="H14" i="50"/>
  <c r="N3" i="50" s="1"/>
  <c r="I2" i="50"/>
  <c r="K4" i="50" s="1"/>
  <c r="H2" i="50"/>
  <c r="K3" i="50" s="1"/>
  <c r="I10" i="50"/>
  <c r="M4" i="50" s="1"/>
  <c r="H10" i="50"/>
  <c r="M3" i="50" s="1"/>
  <c r="I14" i="48"/>
  <c r="N4" i="48" s="1"/>
  <c r="H14" i="48"/>
  <c r="N3" i="48" s="1"/>
  <c r="I10" i="48"/>
  <c r="M4" i="48" s="1"/>
  <c r="H10" i="48"/>
  <c r="M3" i="48" s="1"/>
  <c r="I2" i="48"/>
  <c r="K4" i="48" s="1"/>
  <c r="H2" i="48"/>
  <c r="K3" i="48" s="1"/>
  <c r="I18" i="48"/>
  <c r="O4" i="48" s="1"/>
  <c r="H18" i="48"/>
  <c r="O3" i="48" s="1"/>
  <c r="I6" i="48"/>
  <c r="L4" i="48" s="1"/>
  <c r="H6" i="48"/>
  <c r="L3" i="48" s="1"/>
  <c r="D3" i="43" l="1"/>
  <c r="E9" i="36" l="1"/>
  <c r="E8" i="46" l="1"/>
  <c r="D8" i="46"/>
  <c r="G4" i="46" s="1"/>
  <c r="C8" i="46"/>
  <c r="G3" i="46" s="1"/>
  <c r="D2" i="46"/>
  <c r="F4" i="46" s="1"/>
  <c r="C2" i="46"/>
  <c r="F3" i="46" s="1"/>
  <c r="L15" i="45" l="1"/>
  <c r="D19" i="45"/>
  <c r="E19" i="45" s="1"/>
  <c r="G19" i="45" s="1"/>
  <c r="H19" i="45" s="1"/>
  <c r="D18" i="45"/>
  <c r="E18" i="45" s="1"/>
  <c r="G18" i="45" s="1"/>
  <c r="H18" i="45" s="1"/>
  <c r="D17" i="45"/>
  <c r="E17" i="45" s="1"/>
  <c r="G17" i="45" s="1"/>
  <c r="H17" i="45" s="1"/>
  <c r="D16" i="45"/>
  <c r="E16" i="45" s="1"/>
  <c r="G16" i="45" s="1"/>
  <c r="H16" i="45" s="1"/>
  <c r="J16" i="45" l="1"/>
  <c r="M16" i="45" s="1"/>
  <c r="I16" i="45"/>
  <c r="M15" i="45" s="1"/>
  <c r="D22" i="44" l="1"/>
  <c r="D21" i="44"/>
  <c r="D20" i="44"/>
  <c r="D19" i="44"/>
  <c r="D18" i="44"/>
  <c r="D17" i="44"/>
  <c r="D16" i="44"/>
  <c r="D15" i="44"/>
  <c r="D14" i="44"/>
  <c r="D13" i="44"/>
  <c r="D12" i="44"/>
  <c r="D11" i="44"/>
  <c r="D10" i="44"/>
  <c r="D9" i="44"/>
  <c r="D8" i="44"/>
  <c r="D7" i="44"/>
  <c r="D6" i="44"/>
  <c r="D5" i="44"/>
  <c r="D4" i="44"/>
  <c r="D3" i="44"/>
  <c r="D22" i="43"/>
  <c r="D21" i="43"/>
  <c r="D20" i="43"/>
  <c r="D19" i="43"/>
  <c r="D18" i="43"/>
  <c r="D17" i="43"/>
  <c r="D16" i="43"/>
  <c r="D15" i="43"/>
  <c r="D14" i="43"/>
  <c r="D13" i="43"/>
  <c r="D12" i="43"/>
  <c r="D11" i="43"/>
  <c r="D10" i="43"/>
  <c r="D9" i="43"/>
  <c r="D8" i="43"/>
  <c r="D7" i="43"/>
  <c r="D6" i="43"/>
  <c r="D5" i="43"/>
  <c r="D4" i="43"/>
  <c r="D22" i="42"/>
  <c r="D21" i="42"/>
  <c r="D20" i="42"/>
  <c r="D19" i="42"/>
  <c r="D18" i="42"/>
  <c r="D17" i="42"/>
  <c r="D16" i="42"/>
  <c r="D15" i="42"/>
  <c r="D14" i="42"/>
  <c r="D13" i="42"/>
  <c r="D12" i="42"/>
  <c r="D11" i="42"/>
  <c r="D10" i="42"/>
  <c r="D9" i="42"/>
  <c r="D8" i="42"/>
  <c r="D7" i="42"/>
  <c r="D6" i="42"/>
  <c r="D5" i="42"/>
  <c r="D4" i="42"/>
  <c r="D3" i="42"/>
  <c r="E3" i="42" s="1"/>
  <c r="F3" i="42" s="1"/>
  <c r="E3" i="43" l="1"/>
  <c r="F3" i="43" s="1"/>
  <c r="E3" i="44"/>
  <c r="F9" i="44" s="1"/>
  <c r="F4" i="43"/>
  <c r="F11" i="42"/>
  <c r="F15" i="42"/>
  <c r="F4" i="42"/>
  <c r="H3" i="42" s="1"/>
  <c r="J4" i="42" s="1"/>
  <c r="F16" i="42"/>
  <c r="F5" i="42"/>
  <c r="F17" i="42"/>
  <c r="F6" i="42"/>
  <c r="F18" i="42"/>
  <c r="F7" i="42"/>
  <c r="F19" i="42"/>
  <c r="F8" i="42"/>
  <c r="F20" i="42"/>
  <c r="F12" i="42"/>
  <c r="F14" i="42"/>
  <c r="F9" i="42"/>
  <c r="F21" i="42"/>
  <c r="F13" i="42"/>
  <c r="F10" i="42"/>
  <c r="F22" i="42"/>
  <c r="G11" i="42" l="1"/>
  <c r="L3" i="42" s="1"/>
  <c r="G19" i="42"/>
  <c r="N3" i="42" s="1"/>
  <c r="G15" i="42"/>
  <c r="M3" i="42" s="1"/>
  <c r="H7" i="42"/>
  <c r="K4" i="42" s="1"/>
  <c r="G3" i="42"/>
  <c r="J3" i="42" s="1"/>
  <c r="F21" i="44"/>
  <c r="F4" i="44"/>
  <c r="F16" i="44"/>
  <c r="F14" i="44"/>
  <c r="F3" i="44"/>
  <c r="F6" i="44"/>
  <c r="F17" i="44"/>
  <c r="F19" i="44"/>
  <c r="F11" i="44"/>
  <c r="F15" i="44"/>
  <c r="F12" i="44"/>
  <c r="F18" i="44"/>
  <c r="F20" i="44"/>
  <c r="F22" i="44"/>
  <c r="G19" i="44" s="1"/>
  <c r="N3" i="44" s="1"/>
  <c r="F7" i="44"/>
  <c r="F5" i="44"/>
  <c r="F8" i="44"/>
  <c r="F10" i="44"/>
  <c r="F13" i="44"/>
  <c r="F9" i="43"/>
  <c r="F15" i="43"/>
  <c r="F14" i="43"/>
  <c r="F12" i="43"/>
  <c r="F21" i="43"/>
  <c r="F20" i="43"/>
  <c r="F6" i="43"/>
  <c r="F7" i="43"/>
  <c r="F19" i="43"/>
  <c r="F8" i="43"/>
  <c r="F11" i="43"/>
  <c r="F18" i="43"/>
  <c r="F5" i="43"/>
  <c r="H3" i="43" s="1"/>
  <c r="J4" i="43" s="1"/>
  <c r="F13" i="43"/>
  <c r="F17" i="43"/>
  <c r="F22" i="43"/>
  <c r="F16" i="43"/>
  <c r="F10" i="43"/>
  <c r="H19" i="42"/>
  <c r="N4" i="42" s="1"/>
  <c r="H15" i="42"/>
  <c r="M4" i="42" s="1"/>
  <c r="H11" i="42"/>
  <c r="L4" i="42" s="1"/>
  <c r="G7" i="42"/>
  <c r="K3" i="42" s="1"/>
  <c r="G11" i="44" l="1"/>
  <c r="L3" i="44" s="1"/>
  <c r="G3" i="43"/>
  <c r="H19" i="44"/>
  <c r="N4" i="44" s="1"/>
  <c r="H15" i="44"/>
  <c r="M4" i="44" s="1"/>
  <c r="H11" i="44"/>
  <c r="L4" i="44" s="1"/>
  <c r="G3" i="44"/>
  <c r="J3" i="44" s="1"/>
  <c r="H11" i="43"/>
  <c r="L4" i="43" s="1"/>
  <c r="H7" i="44"/>
  <c r="K4" i="44" s="1"/>
  <c r="H3" i="44"/>
  <c r="J4" i="44" s="1"/>
  <c r="G15" i="44"/>
  <c r="M3" i="44" s="1"/>
  <c r="G7" i="44"/>
  <c r="K3" i="44" s="1"/>
  <c r="H7" i="43"/>
  <c r="K4" i="43" s="1"/>
  <c r="G19" i="43"/>
  <c r="N3" i="43" s="1"/>
  <c r="H15" i="43"/>
  <c r="M4" i="43" s="1"/>
  <c r="G11" i="43"/>
  <c r="L3" i="43" s="1"/>
  <c r="H19" i="43"/>
  <c r="N4" i="43" s="1"/>
  <c r="J3" i="43"/>
  <c r="G15" i="43"/>
  <c r="M3" i="43" s="1"/>
  <c r="G7" i="43"/>
  <c r="K3" i="43" s="1"/>
  <c r="D22" i="39" l="1"/>
  <c r="D21" i="39"/>
  <c r="D20" i="39"/>
  <c r="D19" i="39"/>
  <c r="D18" i="39"/>
  <c r="D17" i="39"/>
  <c r="D16" i="39"/>
  <c r="D15" i="39"/>
  <c r="D14" i="39"/>
  <c r="D13" i="39"/>
  <c r="D12" i="39"/>
  <c r="D11" i="39"/>
  <c r="D10" i="39"/>
  <c r="D9" i="39"/>
  <c r="D8" i="39"/>
  <c r="D7" i="39"/>
  <c r="D6" i="39"/>
  <c r="D5" i="39"/>
  <c r="D4" i="39"/>
  <c r="D3" i="39"/>
  <c r="E3" i="39" l="1"/>
  <c r="F22" i="39" s="1"/>
  <c r="F6" i="39" l="1"/>
  <c r="F13" i="39"/>
  <c r="H11" i="39" s="1"/>
  <c r="L4" i="39" s="1"/>
  <c r="F3" i="39"/>
  <c r="F11" i="39"/>
  <c r="F10" i="39"/>
  <c r="F8" i="39"/>
  <c r="H7" i="39" s="1"/>
  <c r="K4" i="39" s="1"/>
  <c r="F21" i="39"/>
  <c r="F17" i="39"/>
  <c r="F9" i="39"/>
  <c r="F5" i="39"/>
  <c r="F16" i="39"/>
  <c r="F4" i="39"/>
  <c r="H3" i="39" s="1"/>
  <c r="J4" i="39" s="1"/>
  <c r="F15" i="39"/>
  <c r="F19" i="39"/>
  <c r="G19" i="39" s="1"/>
  <c r="N3" i="39" s="1"/>
  <c r="F12" i="39"/>
  <c r="F7" i="39"/>
  <c r="F20" i="39"/>
  <c r="F18" i="39"/>
  <c r="F14" i="39"/>
  <c r="H15" i="39"/>
  <c r="M4" i="39" s="1"/>
  <c r="G3" i="39"/>
  <c r="J3" i="39" s="1"/>
  <c r="G11" i="39"/>
  <c r="L3" i="39" s="1"/>
  <c r="G15" i="39" l="1"/>
  <c r="M3" i="39" s="1"/>
  <c r="G7" i="39"/>
  <c r="K3" i="39" s="1"/>
  <c r="H19" i="39"/>
  <c r="N4" i="39" s="1"/>
  <c r="E21" i="36"/>
  <c r="E20" i="36"/>
  <c r="E19" i="36"/>
  <c r="E18" i="36"/>
  <c r="E17" i="36"/>
  <c r="E16" i="36"/>
  <c r="E15" i="36"/>
  <c r="E14" i="36"/>
  <c r="E13" i="36"/>
  <c r="E12" i="36"/>
  <c r="E11" i="36"/>
  <c r="E10" i="36"/>
  <c r="E8" i="36"/>
  <c r="E7" i="36"/>
  <c r="E6" i="36"/>
  <c r="E5" i="36"/>
  <c r="E4" i="36"/>
  <c r="E3" i="36"/>
  <c r="E2" i="36"/>
  <c r="E21" i="35"/>
  <c r="E20" i="35"/>
  <c r="E19" i="35"/>
  <c r="E18" i="35"/>
  <c r="E17" i="35"/>
  <c r="E16" i="35"/>
  <c r="E15" i="35"/>
  <c r="E14" i="35"/>
  <c r="F14" i="35" s="1"/>
  <c r="E13" i="35"/>
  <c r="E12" i="35"/>
  <c r="E11" i="35"/>
  <c r="E10" i="35"/>
  <c r="E9" i="35"/>
  <c r="E8" i="35"/>
  <c r="E7" i="35"/>
  <c r="E6" i="35"/>
  <c r="E5" i="35"/>
  <c r="E4" i="35"/>
  <c r="E3" i="35"/>
  <c r="E2" i="35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6" i="34"/>
  <c r="E5" i="34"/>
  <c r="E4" i="34"/>
  <c r="E3" i="34"/>
  <c r="E2" i="34"/>
  <c r="F21" i="31"/>
  <c r="F20" i="31"/>
  <c r="F19" i="31"/>
  <c r="F18" i="31"/>
  <c r="F17" i="31"/>
  <c r="F16" i="31"/>
  <c r="F15" i="31"/>
  <c r="F14" i="31"/>
  <c r="F13" i="31"/>
  <c r="F12" i="31"/>
  <c r="F11" i="31"/>
  <c r="F10" i="31"/>
  <c r="F9" i="31"/>
  <c r="F8" i="31"/>
  <c r="F7" i="31"/>
  <c r="I6" i="31"/>
  <c r="F6" i="31"/>
  <c r="F5" i="31"/>
  <c r="F4" i="31"/>
  <c r="F3" i="31"/>
  <c r="F2" i="31"/>
  <c r="G11" i="20"/>
  <c r="H11" i="20" s="1"/>
  <c r="F11" i="20"/>
  <c r="F12" i="20"/>
  <c r="G12" i="20" s="1"/>
  <c r="H12" i="20" s="1"/>
  <c r="F13" i="20"/>
  <c r="G13" i="20" s="1"/>
  <c r="H13" i="20" s="1"/>
  <c r="G5" i="20"/>
  <c r="H5" i="20" s="1"/>
  <c r="G6" i="20"/>
  <c r="H6" i="20" s="1"/>
  <c r="G7" i="20"/>
  <c r="H7" i="20" s="1"/>
  <c r="F3" i="20"/>
  <c r="G3" i="20" s="1"/>
  <c r="H3" i="20" s="1"/>
  <c r="F4" i="20"/>
  <c r="G4" i="20" s="1"/>
  <c r="H4" i="20" s="1"/>
  <c r="F5" i="20"/>
  <c r="F6" i="20"/>
  <c r="F7" i="20"/>
  <c r="G8" i="21"/>
  <c r="H8" i="21" s="1"/>
  <c r="F3" i="21"/>
  <c r="G3" i="21" s="1"/>
  <c r="H3" i="21" s="1"/>
  <c r="F4" i="21"/>
  <c r="G4" i="21" s="1"/>
  <c r="H4" i="21" s="1"/>
  <c r="F5" i="21"/>
  <c r="G5" i="21" s="1"/>
  <c r="H5" i="21" s="1"/>
  <c r="F6" i="21"/>
  <c r="G6" i="21" s="1"/>
  <c r="H6" i="21" s="1"/>
  <c r="F7" i="21"/>
  <c r="G7" i="21" s="1"/>
  <c r="H7" i="21" s="1"/>
  <c r="F8" i="21"/>
  <c r="F2" i="21"/>
  <c r="G2" i="21" s="1"/>
  <c r="H2" i="21" s="1"/>
  <c r="G15" i="21"/>
  <c r="H15" i="21" s="1"/>
  <c r="G17" i="21"/>
  <c r="H17" i="21" s="1"/>
  <c r="I17" i="21" s="1"/>
  <c r="N4" i="21" s="1"/>
  <c r="F17" i="21"/>
  <c r="F12" i="21"/>
  <c r="G12" i="21" s="1"/>
  <c r="H12" i="21" s="1"/>
  <c r="F13" i="21"/>
  <c r="G13" i="21" s="1"/>
  <c r="H13" i="21" s="1"/>
  <c r="F14" i="21"/>
  <c r="G14" i="21" s="1"/>
  <c r="H14" i="21" s="1"/>
  <c r="F15" i="21"/>
  <c r="F16" i="21"/>
  <c r="G16" i="21" s="1"/>
  <c r="H16" i="21" s="1"/>
  <c r="J5" i="21" l="1"/>
  <c r="N8" i="21" s="1"/>
  <c r="I5" i="21"/>
  <c r="N3" i="21" s="1"/>
  <c r="K5" i="21"/>
  <c r="I2" i="21"/>
  <c r="M3" i="21" s="1"/>
  <c r="J2" i="21"/>
  <c r="M8" i="21" s="1"/>
  <c r="I2" i="31"/>
  <c r="H18" i="36"/>
  <c r="G10" i="31"/>
  <c r="G2" i="31"/>
  <c r="H2" i="31" s="1"/>
  <c r="M2" i="31" s="1"/>
  <c r="H18" i="35"/>
  <c r="F10" i="35"/>
  <c r="F2" i="36"/>
  <c r="G2" i="36" s="1"/>
  <c r="L2" i="36" s="1"/>
  <c r="H6" i="36"/>
  <c r="F6" i="36"/>
  <c r="H6" i="35"/>
  <c r="F2" i="34"/>
  <c r="G2" i="34" s="1"/>
  <c r="L2" i="34" s="1"/>
  <c r="F14" i="34"/>
  <c r="G14" i="34" s="1"/>
  <c r="L5" i="34" s="1"/>
  <c r="H18" i="34"/>
  <c r="H10" i="35"/>
  <c r="H2" i="35"/>
  <c r="F6" i="35"/>
  <c r="H14" i="35"/>
  <c r="F18" i="35"/>
  <c r="H14" i="34"/>
  <c r="I14" i="34" s="1"/>
  <c r="M5" i="34" s="1"/>
  <c r="F6" i="34"/>
  <c r="G6" i="34" s="1"/>
  <c r="L3" i="34" s="1"/>
  <c r="H6" i="34"/>
  <c r="I6" i="34" s="1"/>
  <c r="M3" i="34" s="1"/>
  <c r="H10" i="34"/>
  <c r="I10" i="34" s="1"/>
  <c r="M4" i="34" s="1"/>
  <c r="I10" i="31"/>
  <c r="G14" i="31"/>
  <c r="H10" i="36"/>
  <c r="F14" i="36"/>
  <c r="H14" i="36"/>
  <c r="F18" i="36"/>
  <c r="F10" i="36"/>
  <c r="H2" i="36"/>
  <c r="F2" i="35"/>
  <c r="G2" i="35" s="1"/>
  <c r="L2" i="35" s="1"/>
  <c r="H2" i="34"/>
  <c r="F18" i="34"/>
  <c r="F10" i="34"/>
  <c r="G10" i="34" s="1"/>
  <c r="L4" i="34" s="1"/>
  <c r="G6" i="31"/>
  <c r="I14" i="31"/>
  <c r="I18" i="31"/>
  <c r="G18" i="31"/>
  <c r="H3" i="18"/>
  <c r="H9" i="18"/>
  <c r="G3" i="18"/>
  <c r="G6" i="18"/>
  <c r="H6" i="18" s="1"/>
  <c r="G8" i="18"/>
  <c r="H8" i="18" s="1"/>
  <c r="G9" i="18"/>
  <c r="F3" i="18"/>
  <c r="F4" i="18"/>
  <c r="G4" i="18" s="1"/>
  <c r="H4" i="18" s="1"/>
  <c r="J2" i="18" s="1"/>
  <c r="M8" i="18" s="1"/>
  <c r="F5" i="18"/>
  <c r="G5" i="18" s="1"/>
  <c r="H5" i="18" s="1"/>
  <c r="F6" i="18"/>
  <c r="F7" i="18"/>
  <c r="G7" i="18" s="1"/>
  <c r="H7" i="18" s="1"/>
  <c r="F8" i="18"/>
  <c r="F9" i="18"/>
  <c r="F2" i="18"/>
  <c r="G2" i="18" s="1"/>
  <c r="H2" i="18" s="1"/>
  <c r="I2" i="18" s="1"/>
  <c r="M3" i="18" s="1"/>
  <c r="F11" i="18"/>
  <c r="G11" i="18" s="1"/>
  <c r="H11" i="18" s="1"/>
  <c r="F12" i="18"/>
  <c r="G12" i="18" s="1"/>
  <c r="H12" i="18" s="1"/>
  <c r="F13" i="18"/>
  <c r="G13" i="18" s="1"/>
  <c r="H13" i="18" s="1"/>
  <c r="F10" i="20"/>
  <c r="G10" i="20" s="1"/>
  <c r="H10" i="20" s="1"/>
  <c r="F9" i="20"/>
  <c r="G9" i="20" s="1"/>
  <c r="H9" i="20" s="1"/>
  <c r="F8" i="20"/>
  <c r="G8" i="20" s="1"/>
  <c r="F2" i="20"/>
  <c r="G2" i="20" s="1"/>
  <c r="H2" i="20" s="1"/>
  <c r="G8" i="19"/>
  <c r="H8" i="19" s="1"/>
  <c r="G9" i="19"/>
  <c r="H9" i="19" s="1"/>
  <c r="F7" i="19"/>
  <c r="G7" i="19" s="1"/>
  <c r="H7" i="19" s="1"/>
  <c r="F8" i="19"/>
  <c r="F9" i="19"/>
  <c r="G6" i="19"/>
  <c r="H6" i="19" s="1"/>
  <c r="J6" i="19" s="1"/>
  <c r="N8" i="19" s="1"/>
  <c r="F6" i="19"/>
  <c r="F5" i="19"/>
  <c r="G5" i="19" s="1"/>
  <c r="H5" i="19" s="1"/>
  <c r="F4" i="19"/>
  <c r="G4" i="19" s="1"/>
  <c r="H4" i="19" s="1"/>
  <c r="I2" i="19" s="1"/>
  <c r="M3" i="19" s="1"/>
  <c r="F3" i="19"/>
  <c r="G3" i="19" s="1"/>
  <c r="H3" i="19" s="1"/>
  <c r="F2" i="19"/>
  <c r="G2" i="19" s="1"/>
  <c r="H2" i="19" s="1"/>
  <c r="J2" i="19" s="1"/>
  <c r="M8" i="19" s="1"/>
  <c r="F44" i="2"/>
  <c r="G44" i="2" s="1"/>
  <c r="H44" i="2" s="1"/>
  <c r="F45" i="2"/>
  <c r="G45" i="2" s="1"/>
  <c r="H45" i="2" s="1"/>
  <c r="F43" i="2"/>
  <c r="G43" i="2" s="1"/>
  <c r="H43" i="2" s="1"/>
  <c r="F30" i="2"/>
  <c r="G30" i="2" s="1"/>
  <c r="H30" i="2" s="1"/>
  <c r="F31" i="2"/>
  <c r="G31" i="2" s="1"/>
  <c r="H31" i="2" s="1"/>
  <c r="F32" i="2"/>
  <c r="G32" i="2" s="1"/>
  <c r="H32" i="2" s="1"/>
  <c r="F33" i="2"/>
  <c r="G33" i="2" s="1"/>
  <c r="H33" i="2" s="1"/>
  <c r="F34" i="2"/>
  <c r="G34" i="2" s="1"/>
  <c r="H34" i="2" s="1"/>
  <c r="F35" i="2"/>
  <c r="G35" i="2" s="1"/>
  <c r="H35" i="2" s="1"/>
  <c r="F36" i="2"/>
  <c r="G36" i="2" s="1"/>
  <c r="H36" i="2" s="1"/>
  <c r="D17" i="30"/>
  <c r="C17" i="30"/>
  <c r="B17" i="30"/>
  <c r="D10" i="30"/>
  <c r="C10" i="30"/>
  <c r="B10" i="30"/>
  <c r="D11" i="30" s="1"/>
  <c r="H4" i="30"/>
  <c r="D4" i="30"/>
  <c r="C4" i="30"/>
  <c r="B4" i="30"/>
  <c r="H4" i="29"/>
  <c r="D17" i="29"/>
  <c r="C17" i="29"/>
  <c r="B17" i="29"/>
  <c r="D10" i="29"/>
  <c r="C10" i="29"/>
  <c r="B10" i="29"/>
  <c r="D4" i="29"/>
  <c r="C4" i="29"/>
  <c r="B4" i="29"/>
  <c r="D24" i="28"/>
  <c r="C24" i="28"/>
  <c r="B24" i="28"/>
  <c r="D17" i="28"/>
  <c r="C17" i="28"/>
  <c r="B17" i="28"/>
  <c r="D10" i="28"/>
  <c r="C10" i="28"/>
  <c r="B10" i="28"/>
  <c r="D4" i="28"/>
  <c r="C4" i="28"/>
  <c r="B4" i="28"/>
  <c r="D24" i="27"/>
  <c r="D25" i="27" s="1"/>
  <c r="C24" i="27"/>
  <c r="C25" i="27" s="1"/>
  <c r="B24" i="27"/>
  <c r="B25" i="27" s="1"/>
  <c r="D17" i="27"/>
  <c r="C17" i="27"/>
  <c r="B17" i="27"/>
  <c r="D10" i="27"/>
  <c r="D11" i="27" s="1"/>
  <c r="C10" i="27"/>
  <c r="B10" i="27"/>
  <c r="D4" i="27"/>
  <c r="C4" i="27"/>
  <c r="B4" i="27"/>
  <c r="D6" i="27" s="1"/>
  <c r="F25" i="26"/>
  <c r="J24" i="26"/>
  <c r="I24" i="26"/>
  <c r="H24" i="26"/>
  <c r="D24" i="26"/>
  <c r="C24" i="26"/>
  <c r="B24" i="26"/>
  <c r="G18" i="26"/>
  <c r="F18" i="26"/>
  <c r="J17" i="26"/>
  <c r="I17" i="26"/>
  <c r="H17" i="26"/>
  <c r="D17" i="26"/>
  <c r="C17" i="26"/>
  <c r="B17" i="26"/>
  <c r="G12" i="26"/>
  <c r="G11" i="26"/>
  <c r="G25" i="26" s="1"/>
  <c r="J10" i="26"/>
  <c r="I10" i="26"/>
  <c r="J12" i="26" s="1"/>
  <c r="H10" i="26"/>
  <c r="D10" i="26"/>
  <c r="C10" i="26"/>
  <c r="B10" i="26"/>
  <c r="J6" i="26"/>
  <c r="G6" i="26"/>
  <c r="G5" i="26"/>
  <c r="E18" i="26" s="1"/>
  <c r="J4" i="26"/>
  <c r="I4" i="26"/>
  <c r="H4" i="26"/>
  <c r="D4" i="26"/>
  <c r="C4" i="26"/>
  <c r="B4" i="26"/>
  <c r="D25" i="25"/>
  <c r="C25" i="25"/>
  <c r="B25" i="25"/>
  <c r="D18" i="25"/>
  <c r="C18" i="25"/>
  <c r="B18" i="25"/>
  <c r="G12" i="25"/>
  <c r="G11" i="25"/>
  <c r="E26" i="25" s="1"/>
  <c r="D10" i="25"/>
  <c r="C10" i="25"/>
  <c r="B10" i="25"/>
  <c r="D12" i="25" s="1"/>
  <c r="G6" i="25"/>
  <c r="G5" i="25"/>
  <c r="G19" i="25" s="1"/>
  <c r="D4" i="25"/>
  <c r="C4" i="25"/>
  <c r="B4" i="25"/>
  <c r="D6" i="25" s="1"/>
  <c r="D24" i="24"/>
  <c r="C24" i="24"/>
  <c r="D17" i="24"/>
  <c r="C17" i="24"/>
  <c r="D10" i="24"/>
  <c r="C10" i="24"/>
  <c r="B10" i="24"/>
  <c r="D4" i="24"/>
  <c r="D6" i="24" s="1"/>
  <c r="C4" i="24"/>
  <c r="B4" i="24"/>
  <c r="I6" i="18" l="1"/>
  <c r="N3" i="18" s="1"/>
  <c r="J6" i="18"/>
  <c r="N8" i="18" s="1"/>
  <c r="B18" i="28"/>
  <c r="I6" i="19"/>
  <c r="N3" i="19" s="1"/>
  <c r="I2" i="36"/>
  <c r="M2" i="36" s="1"/>
  <c r="J5" i="26"/>
  <c r="I18" i="26" s="1"/>
  <c r="D11" i="26"/>
  <c r="B25" i="26" s="1"/>
  <c r="D5" i="28"/>
  <c r="C18" i="28" s="1"/>
  <c r="D6" i="29"/>
  <c r="I14" i="35"/>
  <c r="M5" i="35" s="1"/>
  <c r="D12" i="27"/>
  <c r="E25" i="26"/>
  <c r="D6" i="30"/>
  <c r="I2" i="20"/>
  <c r="J2" i="20"/>
  <c r="K6" i="18"/>
  <c r="G18" i="36"/>
  <c r="L6" i="36" s="1"/>
  <c r="D5" i="24"/>
  <c r="D12" i="30"/>
  <c r="K6" i="19"/>
  <c r="H8" i="20"/>
  <c r="K8" i="20" s="1"/>
  <c r="I14" i="36"/>
  <c r="M5" i="36" s="1"/>
  <c r="H10" i="31"/>
  <c r="M4" i="31" s="1"/>
  <c r="D25" i="26"/>
  <c r="C18" i="24"/>
  <c r="D20" i="24" s="1"/>
  <c r="G5" i="24" s="1"/>
  <c r="D5" i="26"/>
  <c r="J11" i="26"/>
  <c r="J25" i="26" s="1"/>
  <c r="D12" i="29"/>
  <c r="H14" i="31"/>
  <c r="M5" i="31" s="1"/>
  <c r="H18" i="31"/>
  <c r="M6" i="31" s="1"/>
  <c r="J18" i="31"/>
  <c r="N6" i="31" s="1"/>
  <c r="J10" i="31"/>
  <c r="N4" i="31" s="1"/>
  <c r="J14" i="31"/>
  <c r="N5" i="31" s="1"/>
  <c r="H6" i="31"/>
  <c r="M3" i="31" s="1"/>
  <c r="J2" i="31"/>
  <c r="N2" i="31" s="1"/>
  <c r="J6" i="31"/>
  <c r="N3" i="31" s="1"/>
  <c r="G6" i="35"/>
  <c r="L3" i="35" s="1"/>
  <c r="I18" i="36"/>
  <c r="M6" i="36" s="1"/>
  <c r="G14" i="36"/>
  <c r="L5" i="36" s="1"/>
  <c r="I10" i="36"/>
  <c r="M4" i="36" s="1"/>
  <c r="G6" i="36"/>
  <c r="L3" i="36" s="1"/>
  <c r="G10" i="36"/>
  <c r="L4" i="36" s="1"/>
  <c r="I6" i="36"/>
  <c r="M3" i="36" s="1"/>
  <c r="G10" i="35"/>
  <c r="L4" i="35" s="1"/>
  <c r="G14" i="35"/>
  <c r="L5" i="35" s="1"/>
  <c r="I2" i="35"/>
  <c r="M2" i="35" s="1"/>
  <c r="I10" i="35"/>
  <c r="M4" i="35" s="1"/>
  <c r="G18" i="34"/>
  <c r="L6" i="34" s="1"/>
  <c r="I2" i="34"/>
  <c r="M2" i="34" s="1"/>
  <c r="I18" i="34"/>
  <c r="M6" i="34" s="1"/>
  <c r="I18" i="35"/>
  <c r="M6" i="35" s="1"/>
  <c r="G18" i="35"/>
  <c r="L6" i="35" s="1"/>
  <c r="I6" i="35"/>
  <c r="M3" i="35" s="1"/>
  <c r="N3" i="20"/>
  <c r="N8" i="20"/>
  <c r="D5" i="30"/>
  <c r="B18" i="30" s="1"/>
  <c r="D5" i="29"/>
  <c r="D11" i="29"/>
  <c r="D11" i="28"/>
  <c r="C25" i="28" s="1"/>
  <c r="D12" i="28"/>
  <c r="D6" i="28"/>
  <c r="D26" i="27"/>
  <c r="H4" i="27" s="1"/>
  <c r="D27" i="27"/>
  <c r="H5" i="27" s="1"/>
  <c r="D5" i="27"/>
  <c r="B18" i="27" s="1"/>
  <c r="D18" i="26"/>
  <c r="B18" i="26"/>
  <c r="C18" i="26"/>
  <c r="J18" i="26"/>
  <c r="D6" i="26"/>
  <c r="D12" i="26"/>
  <c r="E19" i="25"/>
  <c r="F19" i="25"/>
  <c r="F26" i="25"/>
  <c r="G26" i="25"/>
  <c r="D11" i="25"/>
  <c r="B26" i="25" s="1"/>
  <c r="D5" i="25"/>
  <c r="C19" i="25" s="1"/>
  <c r="D18" i="24"/>
  <c r="D11" i="24"/>
  <c r="D12" i="24"/>
  <c r="D28" i="27" l="1"/>
  <c r="D18" i="30"/>
  <c r="H18" i="26"/>
  <c r="D18" i="28"/>
  <c r="D19" i="28" s="1"/>
  <c r="G4" i="28" s="1"/>
  <c r="D18" i="27"/>
  <c r="D19" i="27" s="1"/>
  <c r="G4" i="27" s="1"/>
  <c r="D19" i="24"/>
  <c r="G4" i="24" s="1"/>
  <c r="I25" i="26"/>
  <c r="J27" i="26" s="1"/>
  <c r="N5" i="26" s="1"/>
  <c r="C18" i="27"/>
  <c r="D20" i="27" s="1"/>
  <c r="G5" i="27" s="1"/>
  <c r="B25" i="28"/>
  <c r="J28" i="26"/>
  <c r="B18" i="29"/>
  <c r="C18" i="29"/>
  <c r="C18" i="30"/>
  <c r="H25" i="26"/>
  <c r="D25" i="28"/>
  <c r="J8" i="20"/>
  <c r="O8" i="20" s="1"/>
  <c r="I8" i="20"/>
  <c r="O3" i="20" s="1"/>
  <c r="C25" i="26"/>
  <c r="J26" i="26" s="1"/>
  <c r="N4" i="26" s="1"/>
  <c r="D18" i="29"/>
  <c r="J20" i="26"/>
  <c r="M5" i="26" s="1"/>
  <c r="J19" i="26"/>
  <c r="M4" i="26" s="1"/>
  <c r="C26" i="25"/>
  <c r="D26" i="25"/>
  <c r="G28" i="25" s="1"/>
  <c r="K5" i="25" s="1"/>
  <c r="D19" i="25"/>
  <c r="B19" i="25"/>
  <c r="C25" i="24"/>
  <c r="D28" i="24" s="1"/>
  <c r="D25" i="24"/>
  <c r="G21" i="25" l="1"/>
  <c r="J5" i="25" s="1"/>
  <c r="G29" i="25"/>
  <c r="D19" i="29"/>
  <c r="G4" i="29" s="1"/>
  <c r="D20" i="29"/>
  <c r="G5" i="29" s="1"/>
  <c r="D20" i="28"/>
  <c r="G5" i="28" s="1"/>
  <c r="D26" i="28"/>
  <c r="H4" i="28" s="1"/>
  <c r="D28" i="28"/>
  <c r="D27" i="28"/>
  <c r="H5" i="28" s="1"/>
  <c r="D20" i="30"/>
  <c r="G5" i="30" s="1"/>
  <c r="D19" i="30"/>
  <c r="G4" i="30" s="1"/>
  <c r="G20" i="25"/>
  <c r="J4" i="25" s="1"/>
  <c r="G27" i="25"/>
  <c r="K4" i="25" s="1"/>
  <c r="D26" i="24"/>
  <c r="H4" i="24" s="1"/>
  <c r="D27" i="24"/>
  <c r="H5" i="24" s="1"/>
  <c r="F3" i="2" l="1"/>
  <c r="G3" i="2" s="1"/>
  <c r="H3" i="2" s="1"/>
  <c r="F4" i="2"/>
  <c r="G4" i="2" s="1"/>
  <c r="H4" i="2" s="1"/>
  <c r="F5" i="2"/>
  <c r="G5" i="2" s="1"/>
  <c r="H5" i="2" s="1"/>
  <c r="F6" i="2"/>
  <c r="G6" i="2" s="1"/>
  <c r="H6" i="2" s="1"/>
  <c r="F7" i="2"/>
  <c r="G7" i="2" s="1"/>
  <c r="H7" i="2" s="1"/>
  <c r="F8" i="2"/>
  <c r="G8" i="2" s="1"/>
  <c r="H8" i="2" s="1"/>
  <c r="F9" i="2"/>
  <c r="G9" i="2" s="1"/>
  <c r="H9" i="2" s="1"/>
  <c r="F26" i="2"/>
  <c r="G26" i="2" s="1"/>
  <c r="H26" i="2" s="1"/>
  <c r="F27" i="2"/>
  <c r="G27" i="2" s="1"/>
  <c r="H27" i="2" s="1"/>
  <c r="F17" i="2"/>
  <c r="G17" i="2" s="1"/>
  <c r="H17" i="2" s="1"/>
  <c r="F18" i="2"/>
  <c r="G18" i="2" s="1"/>
  <c r="H18" i="2" s="1"/>
  <c r="F19" i="2"/>
  <c r="G19" i="2" s="1"/>
  <c r="H19" i="2" s="1"/>
  <c r="F20" i="2"/>
  <c r="G20" i="2" s="1"/>
  <c r="H20" i="2" s="1"/>
  <c r="F21" i="2"/>
  <c r="G21" i="2" s="1"/>
  <c r="H21" i="2" s="1"/>
  <c r="F22" i="2"/>
  <c r="G22" i="2" s="1"/>
  <c r="H22" i="2" s="1"/>
  <c r="F23" i="2"/>
  <c r="G23" i="2" s="1"/>
  <c r="H23" i="2" s="1"/>
  <c r="F24" i="2"/>
  <c r="G24" i="2" s="1"/>
  <c r="H24" i="2" s="1"/>
  <c r="F25" i="2"/>
  <c r="G25" i="2" s="1"/>
  <c r="H25" i="2" s="1"/>
  <c r="F2" i="2"/>
  <c r="G2" i="2" s="1"/>
  <c r="H2" i="2" s="1"/>
  <c r="G3" i="22"/>
  <c r="H3" i="22" s="1"/>
  <c r="G5" i="22"/>
  <c r="H5" i="22" s="1"/>
  <c r="G7" i="22"/>
  <c r="H7" i="22" s="1"/>
  <c r="G9" i="22"/>
  <c r="H9" i="22" s="1"/>
  <c r="F3" i="22"/>
  <c r="F4" i="22"/>
  <c r="G4" i="22" s="1"/>
  <c r="H4" i="22" s="1"/>
  <c r="F5" i="22"/>
  <c r="F6" i="22"/>
  <c r="G6" i="22" s="1"/>
  <c r="H6" i="22" s="1"/>
  <c r="F7" i="22"/>
  <c r="F8" i="22"/>
  <c r="G8" i="22" s="1"/>
  <c r="H8" i="22" s="1"/>
  <c r="F9" i="22"/>
  <c r="F2" i="22"/>
  <c r="G2" i="22" s="1"/>
  <c r="H2" i="22" s="1"/>
  <c r="J2" i="22" s="1"/>
  <c r="M8" i="22" s="1"/>
  <c r="N9" i="21"/>
  <c r="F11" i="22"/>
  <c r="G11" i="22" s="1"/>
  <c r="H11" i="22" s="1"/>
  <c r="K20" i="22" s="1"/>
  <c r="F12" i="22"/>
  <c r="G12" i="22" s="1"/>
  <c r="H12" i="22" s="1"/>
  <c r="F13" i="22"/>
  <c r="G13" i="22" s="1"/>
  <c r="H13" i="22" s="1"/>
  <c r="F14" i="22"/>
  <c r="G14" i="22" s="1"/>
  <c r="H14" i="22" s="1"/>
  <c r="F15" i="22"/>
  <c r="G15" i="22" s="1"/>
  <c r="H15" i="22" s="1"/>
  <c r="F16" i="22"/>
  <c r="G16" i="22" s="1"/>
  <c r="H16" i="22" s="1"/>
  <c r="F17" i="22"/>
  <c r="G17" i="22" s="1"/>
  <c r="H17" i="22" s="1"/>
  <c r="F18" i="22"/>
  <c r="G18" i="22" s="1"/>
  <c r="H18" i="22" s="1"/>
  <c r="F19" i="22"/>
  <c r="G19" i="22" s="1"/>
  <c r="H19" i="22" s="1"/>
  <c r="F20" i="22"/>
  <c r="G20" i="22" s="1"/>
  <c r="H20" i="22" s="1"/>
  <c r="F21" i="22"/>
  <c r="G21" i="22" s="1"/>
  <c r="H21" i="22" s="1"/>
  <c r="F22" i="22"/>
  <c r="G22" i="22" s="1"/>
  <c r="H22" i="22" s="1"/>
  <c r="F23" i="22"/>
  <c r="G23" i="22" s="1"/>
  <c r="H23" i="22" s="1"/>
  <c r="F24" i="22"/>
  <c r="G24" i="22" s="1"/>
  <c r="H24" i="22" s="1"/>
  <c r="F25" i="22"/>
  <c r="G25" i="22" s="1"/>
  <c r="H25" i="22" s="1"/>
  <c r="F26" i="22"/>
  <c r="G26" i="22" s="1"/>
  <c r="H26" i="22" s="1"/>
  <c r="F27" i="22"/>
  <c r="G27" i="22" s="1"/>
  <c r="H27" i="22" s="1"/>
  <c r="F28" i="22"/>
  <c r="G28" i="22" s="1"/>
  <c r="H28" i="22" s="1"/>
  <c r="F30" i="22"/>
  <c r="G30" i="22" s="1"/>
  <c r="H30" i="22" s="1"/>
  <c r="F31" i="22"/>
  <c r="G31" i="22" s="1"/>
  <c r="H31" i="22" s="1"/>
  <c r="F32" i="22"/>
  <c r="G32" i="22" s="1"/>
  <c r="H32" i="22" s="1"/>
  <c r="F33" i="22"/>
  <c r="G33" i="22" s="1"/>
  <c r="H33" i="22" s="1"/>
  <c r="F34" i="22"/>
  <c r="G34" i="22" s="1"/>
  <c r="H34" i="22" s="1"/>
  <c r="F35" i="22"/>
  <c r="G35" i="22" s="1"/>
  <c r="H35" i="22" s="1"/>
  <c r="F36" i="22"/>
  <c r="G36" i="22" s="1"/>
  <c r="H36" i="22" s="1"/>
  <c r="F37" i="22"/>
  <c r="G37" i="22" s="1"/>
  <c r="H37" i="22" s="1"/>
  <c r="F38" i="22"/>
  <c r="G38" i="22" s="1"/>
  <c r="H38" i="22" s="1"/>
  <c r="F39" i="22"/>
  <c r="G39" i="22" s="1"/>
  <c r="H39" i="22" s="1"/>
  <c r="F40" i="22"/>
  <c r="G40" i="22" s="1"/>
  <c r="H40" i="22" s="1"/>
  <c r="F41" i="22"/>
  <c r="G41" i="22" s="1"/>
  <c r="H41" i="22" s="1"/>
  <c r="F42" i="22"/>
  <c r="G42" i="22" s="1"/>
  <c r="H42" i="22" s="1"/>
  <c r="F43" i="22"/>
  <c r="G43" i="22" s="1"/>
  <c r="H43" i="22" s="1"/>
  <c r="F44" i="22"/>
  <c r="G44" i="22" s="1"/>
  <c r="H44" i="22" s="1"/>
  <c r="F45" i="22"/>
  <c r="G45" i="22" s="1"/>
  <c r="H45" i="22" s="1"/>
  <c r="F46" i="22"/>
  <c r="G46" i="22" s="1"/>
  <c r="H46" i="22" s="1"/>
  <c r="J6" i="22" l="1"/>
  <c r="N8" i="22" s="1"/>
  <c r="I6" i="22"/>
  <c r="N3" i="22" s="1"/>
  <c r="I2" i="22"/>
  <c r="M3" i="22" s="1"/>
  <c r="K38" i="22"/>
  <c r="K6" i="22"/>
  <c r="K6" i="2"/>
  <c r="I2" i="2"/>
  <c r="N3" i="2" s="1"/>
  <c r="J2" i="2"/>
  <c r="N8" i="2" s="1"/>
  <c r="I19" i="2"/>
  <c r="J19" i="2"/>
  <c r="J6" i="2"/>
  <c r="O8" i="2" s="1"/>
  <c r="I6" i="2"/>
  <c r="O3" i="2" s="1"/>
  <c r="I30" i="22"/>
  <c r="M5" i="22" s="1"/>
  <c r="J30" i="22"/>
  <c r="M10" i="22" s="1"/>
  <c r="I38" i="22"/>
  <c r="N5" i="22" s="1"/>
  <c r="J20" i="22"/>
  <c r="N9" i="22" s="1"/>
  <c r="I20" i="22"/>
  <c r="N4" i="22" s="1"/>
  <c r="I11" i="22"/>
  <c r="M4" i="22" s="1"/>
  <c r="J11" i="22"/>
  <c r="M9" i="22" s="1"/>
  <c r="J38" i="22"/>
  <c r="N10" i="22" s="1"/>
  <c r="F11" i="21" l="1"/>
  <c r="G11" i="21" s="1"/>
  <c r="H11" i="21" s="1"/>
  <c r="F19" i="21"/>
  <c r="G19" i="21" s="1"/>
  <c r="H19" i="21" s="1"/>
  <c r="F20" i="21"/>
  <c r="G20" i="21" s="1"/>
  <c r="H20" i="21" s="1"/>
  <c r="F21" i="21"/>
  <c r="G21" i="21" s="1"/>
  <c r="H21" i="21" s="1"/>
  <c r="F22" i="21"/>
  <c r="G22" i="21" s="1"/>
  <c r="H22" i="21" s="1"/>
  <c r="F23" i="21"/>
  <c r="G23" i="21" s="1"/>
  <c r="H23" i="21" s="1"/>
  <c r="F24" i="21"/>
  <c r="G24" i="21" s="1"/>
  <c r="H24" i="21" s="1"/>
  <c r="F25" i="21"/>
  <c r="G25" i="21" s="1"/>
  <c r="H25" i="21" s="1"/>
  <c r="F26" i="21"/>
  <c r="G26" i="21" s="1"/>
  <c r="H26" i="21" s="1"/>
  <c r="F27" i="21"/>
  <c r="G27" i="21" s="1"/>
  <c r="H27" i="21" s="1"/>
  <c r="F28" i="21"/>
  <c r="G28" i="21" s="1"/>
  <c r="H28" i="21" s="1"/>
  <c r="F29" i="21"/>
  <c r="G29" i="21" s="1"/>
  <c r="H29" i="21" s="1"/>
  <c r="F30" i="21"/>
  <c r="G30" i="21" s="1"/>
  <c r="H30" i="21" s="1"/>
  <c r="F31" i="21"/>
  <c r="G31" i="21" s="1"/>
  <c r="H31" i="21" s="1"/>
  <c r="F15" i="20"/>
  <c r="G15" i="20" s="1"/>
  <c r="H15" i="20" s="1"/>
  <c r="F16" i="20"/>
  <c r="G16" i="20" s="1"/>
  <c r="H16" i="20" s="1"/>
  <c r="F17" i="20"/>
  <c r="G17" i="20" s="1"/>
  <c r="H17" i="20" s="1"/>
  <c r="F18" i="20"/>
  <c r="G18" i="20" s="1"/>
  <c r="H18" i="20" s="1"/>
  <c r="F19" i="20"/>
  <c r="G19" i="20" s="1"/>
  <c r="H19" i="20" s="1"/>
  <c r="F20" i="20"/>
  <c r="G20" i="20" s="1"/>
  <c r="H20" i="20" s="1"/>
  <c r="F21" i="20"/>
  <c r="G21" i="20" s="1"/>
  <c r="H21" i="20" s="1"/>
  <c r="F22" i="20"/>
  <c r="G22" i="20" s="1"/>
  <c r="H22" i="20" s="1"/>
  <c r="F23" i="20"/>
  <c r="G23" i="20" s="1"/>
  <c r="H23" i="20" s="1"/>
  <c r="F24" i="20"/>
  <c r="G24" i="20" s="1"/>
  <c r="H24" i="20" s="1"/>
  <c r="F25" i="20"/>
  <c r="G25" i="20" s="1"/>
  <c r="H25" i="20" s="1"/>
  <c r="F26" i="20"/>
  <c r="G26" i="20" s="1"/>
  <c r="H26" i="20" s="1"/>
  <c r="F28" i="20"/>
  <c r="G28" i="20" s="1"/>
  <c r="H28" i="20" s="1"/>
  <c r="F29" i="20"/>
  <c r="G29" i="20" s="1"/>
  <c r="H29" i="20" s="1"/>
  <c r="F30" i="20"/>
  <c r="G30" i="20" s="1"/>
  <c r="H30" i="20" s="1"/>
  <c r="F31" i="20"/>
  <c r="G31" i="20" s="1"/>
  <c r="H31" i="20" s="1"/>
  <c r="F32" i="20"/>
  <c r="G32" i="20" s="1"/>
  <c r="H32" i="20" s="1"/>
  <c r="F33" i="20"/>
  <c r="G33" i="20" s="1"/>
  <c r="H33" i="20" s="1"/>
  <c r="F34" i="20"/>
  <c r="G34" i="20" s="1"/>
  <c r="H34" i="20" s="1"/>
  <c r="F35" i="20"/>
  <c r="G35" i="20" s="1"/>
  <c r="H35" i="20" s="1"/>
  <c r="F36" i="20"/>
  <c r="G36" i="20" s="1"/>
  <c r="H36" i="20" s="1"/>
  <c r="F37" i="20"/>
  <c r="G37" i="20" s="1"/>
  <c r="H37" i="20" s="1"/>
  <c r="F38" i="20"/>
  <c r="G38" i="20" s="1"/>
  <c r="H38" i="20" s="1"/>
  <c r="F39" i="20"/>
  <c r="G39" i="20" s="1"/>
  <c r="H39" i="20" s="1"/>
  <c r="F11" i="19"/>
  <c r="G11" i="19" s="1"/>
  <c r="H11" i="19" s="1"/>
  <c r="F12" i="19"/>
  <c r="G12" i="19" s="1"/>
  <c r="H12" i="19" s="1"/>
  <c r="F13" i="19"/>
  <c r="G13" i="19" s="1"/>
  <c r="H13" i="19" s="1"/>
  <c r="F14" i="19"/>
  <c r="G14" i="19" s="1"/>
  <c r="H14" i="19" s="1"/>
  <c r="F15" i="19"/>
  <c r="G15" i="19" s="1"/>
  <c r="H15" i="19" s="1"/>
  <c r="F16" i="19"/>
  <c r="G16" i="19" s="1"/>
  <c r="H16" i="19" s="1"/>
  <c r="F17" i="19"/>
  <c r="G17" i="19" s="1"/>
  <c r="H17" i="19" s="1"/>
  <c r="F18" i="19"/>
  <c r="G18" i="19" s="1"/>
  <c r="H18" i="19" s="1"/>
  <c r="F19" i="19"/>
  <c r="G19" i="19" s="1"/>
  <c r="H19" i="19" s="1"/>
  <c r="F20" i="19"/>
  <c r="G20" i="19" s="1"/>
  <c r="H20" i="19" s="1"/>
  <c r="F21" i="19"/>
  <c r="G21" i="19" s="1"/>
  <c r="H21" i="19" s="1"/>
  <c r="F22" i="19"/>
  <c r="G22" i="19" s="1"/>
  <c r="H22" i="19" s="1"/>
  <c r="F24" i="19"/>
  <c r="G24" i="19" s="1"/>
  <c r="H24" i="19" s="1"/>
  <c r="F25" i="19"/>
  <c r="G25" i="19"/>
  <c r="H25" i="19" s="1"/>
  <c r="F26" i="19"/>
  <c r="G26" i="19" s="1"/>
  <c r="H26" i="19" s="1"/>
  <c r="F27" i="19"/>
  <c r="G27" i="19" s="1"/>
  <c r="H27" i="19" s="1"/>
  <c r="F28" i="19"/>
  <c r="G28" i="19" s="1"/>
  <c r="H28" i="19" s="1"/>
  <c r="F29" i="19"/>
  <c r="G29" i="19" s="1"/>
  <c r="H29" i="19" s="1"/>
  <c r="F30" i="19"/>
  <c r="G30" i="19" s="1"/>
  <c r="H30" i="19" s="1"/>
  <c r="F31" i="19"/>
  <c r="G31" i="19" s="1"/>
  <c r="H31" i="19" s="1"/>
  <c r="F32" i="19"/>
  <c r="G32" i="19" s="1"/>
  <c r="H32" i="19" s="1"/>
  <c r="F33" i="19"/>
  <c r="G33" i="19" s="1"/>
  <c r="H33" i="19" s="1"/>
  <c r="F34" i="19"/>
  <c r="G34" i="19" s="1"/>
  <c r="H34" i="19" s="1"/>
  <c r="F35" i="19"/>
  <c r="G35" i="19" s="1"/>
  <c r="H35" i="19" s="1"/>
  <c r="F35" i="18"/>
  <c r="G35" i="18" s="1"/>
  <c r="H35" i="18" s="1"/>
  <c r="F34" i="18"/>
  <c r="G34" i="18" s="1"/>
  <c r="H34" i="18" s="1"/>
  <c r="F33" i="18"/>
  <c r="G33" i="18" s="1"/>
  <c r="H33" i="18" s="1"/>
  <c r="F32" i="18"/>
  <c r="G32" i="18" s="1"/>
  <c r="H32" i="18" s="1"/>
  <c r="F31" i="18"/>
  <c r="G31" i="18" s="1"/>
  <c r="H31" i="18" s="1"/>
  <c r="F30" i="18"/>
  <c r="G30" i="18" s="1"/>
  <c r="H30" i="18" s="1"/>
  <c r="F29" i="18"/>
  <c r="G29" i="18" s="1"/>
  <c r="H29" i="18" s="1"/>
  <c r="F28" i="18"/>
  <c r="G28" i="18" s="1"/>
  <c r="H28" i="18" s="1"/>
  <c r="F27" i="18"/>
  <c r="G27" i="18" s="1"/>
  <c r="H27" i="18" s="1"/>
  <c r="F26" i="18"/>
  <c r="G26" i="18" s="1"/>
  <c r="H26" i="18" s="1"/>
  <c r="F25" i="18"/>
  <c r="G25" i="18" s="1"/>
  <c r="H25" i="18" s="1"/>
  <c r="F24" i="18"/>
  <c r="G24" i="18" s="1"/>
  <c r="H24" i="18" s="1"/>
  <c r="F22" i="18"/>
  <c r="G22" i="18" s="1"/>
  <c r="H22" i="18" s="1"/>
  <c r="F21" i="18"/>
  <c r="G21" i="18" s="1"/>
  <c r="H21" i="18" s="1"/>
  <c r="F20" i="18"/>
  <c r="G20" i="18" s="1"/>
  <c r="H20" i="18" s="1"/>
  <c r="F19" i="18"/>
  <c r="G19" i="18" s="1"/>
  <c r="H19" i="18" s="1"/>
  <c r="F18" i="18"/>
  <c r="G18" i="18" s="1"/>
  <c r="H18" i="18" s="1"/>
  <c r="F17" i="18"/>
  <c r="G17" i="18" s="1"/>
  <c r="H17" i="18" s="1"/>
  <c r="F16" i="18"/>
  <c r="G16" i="18" s="1"/>
  <c r="H16" i="18" s="1"/>
  <c r="F15" i="18"/>
  <c r="G15" i="18" s="1"/>
  <c r="H15" i="18" s="1"/>
  <c r="F14" i="18"/>
  <c r="G14" i="18" s="1"/>
  <c r="H14" i="18" s="1"/>
  <c r="K26" i="21" l="1"/>
  <c r="I11" i="18"/>
  <c r="M4" i="18" s="1"/>
  <c r="J11" i="18"/>
  <c r="M9" i="18" s="1"/>
  <c r="J11" i="21"/>
  <c r="I11" i="21"/>
  <c r="K17" i="21"/>
  <c r="J26" i="21"/>
  <c r="N10" i="21" s="1"/>
  <c r="I19" i="21"/>
  <c r="M5" i="21" s="1"/>
  <c r="J19" i="21"/>
  <c r="M10" i="21" s="1"/>
  <c r="M9" i="21"/>
  <c r="M4" i="21"/>
  <c r="I26" i="21"/>
  <c r="N5" i="21" s="1"/>
  <c r="I21" i="20"/>
  <c r="O4" i="20" s="1"/>
  <c r="J21" i="20"/>
  <c r="N10" i="20" s="1"/>
  <c r="K34" i="20"/>
  <c r="I28" i="20"/>
  <c r="N5" i="20" s="1"/>
  <c r="J28" i="20"/>
  <c r="O9" i="20" s="1"/>
  <c r="I15" i="20"/>
  <c r="N4" i="20" s="1"/>
  <c r="J15" i="20"/>
  <c r="N9" i="20" s="1"/>
  <c r="K21" i="20"/>
  <c r="J34" i="20"/>
  <c r="O10" i="20" s="1"/>
  <c r="I34" i="20"/>
  <c r="O5" i="20" s="1"/>
  <c r="K30" i="19"/>
  <c r="I24" i="19"/>
  <c r="M5" i="19" s="1"/>
  <c r="I30" i="19"/>
  <c r="N5" i="19" s="1"/>
  <c r="J30" i="19"/>
  <c r="N10" i="19" s="1"/>
  <c r="J24" i="19"/>
  <c r="N9" i="19" s="1"/>
  <c r="I17" i="19"/>
  <c r="N4" i="19" s="1"/>
  <c r="J17" i="19"/>
  <c r="M10" i="19" s="1"/>
  <c r="K17" i="19"/>
  <c r="J11" i="19"/>
  <c r="M9" i="19" s="1"/>
  <c r="I11" i="19"/>
  <c r="M4" i="19" s="1"/>
  <c r="J17" i="18"/>
  <c r="M10" i="18" s="1"/>
  <c r="I17" i="18"/>
  <c r="N4" i="18" s="1"/>
  <c r="J30" i="18"/>
  <c r="N10" i="18" s="1"/>
  <c r="I30" i="18"/>
  <c r="N5" i="18" s="1"/>
  <c r="K17" i="18"/>
  <c r="K30" i="18"/>
  <c r="J24" i="18"/>
  <c r="N9" i="18" s="1"/>
  <c r="I24" i="18"/>
  <c r="M5" i="18" s="1"/>
  <c r="F42" i="2" l="1"/>
  <c r="G42" i="2" s="1"/>
  <c r="H42" i="2" s="1"/>
  <c r="F41" i="2"/>
  <c r="G41" i="2" s="1"/>
  <c r="H41" i="2" s="1"/>
  <c r="F40" i="2"/>
  <c r="G40" i="2" s="1"/>
  <c r="H40" i="2" s="1"/>
  <c r="F39" i="2"/>
  <c r="G39" i="2" s="1"/>
  <c r="H39" i="2" s="1"/>
  <c r="F38" i="2"/>
  <c r="G38" i="2" s="1"/>
  <c r="H38" i="2" s="1"/>
  <c r="F37" i="2"/>
  <c r="G37" i="2" s="1"/>
  <c r="H37" i="2" s="1"/>
  <c r="F29" i="2"/>
  <c r="G29" i="2" s="1"/>
  <c r="H29" i="2" s="1"/>
  <c r="F16" i="2"/>
  <c r="G16" i="2" s="1"/>
  <c r="H16" i="2" s="1"/>
  <c r="F15" i="2"/>
  <c r="G15" i="2" s="1"/>
  <c r="H15" i="2" s="1"/>
  <c r="F14" i="2"/>
  <c r="G14" i="2" s="1"/>
  <c r="H14" i="2" s="1"/>
  <c r="F13" i="2"/>
  <c r="G13" i="2" s="1"/>
  <c r="H13" i="2" s="1"/>
  <c r="F12" i="2"/>
  <c r="G12" i="2" s="1"/>
  <c r="H12" i="2" s="1"/>
  <c r="F11" i="2"/>
  <c r="G11" i="2" s="1"/>
  <c r="H11" i="2" s="1"/>
  <c r="K19" i="2" s="1"/>
  <c r="K37" i="2" l="1"/>
  <c r="J11" i="2"/>
  <c r="N9" i="2" s="1"/>
  <c r="I11" i="2"/>
  <c r="N4" i="2" s="1"/>
  <c r="J37" i="2"/>
  <c r="O10" i="2" s="1"/>
  <c r="I37" i="2"/>
  <c r="O5" i="2" s="1"/>
  <c r="I29" i="2"/>
  <c r="J29" i="2"/>
  <c r="N10" i="2" s="1"/>
  <c r="N5" i="2"/>
  <c r="O4" i="2"/>
  <c r="O9" i="2"/>
</calcChain>
</file>

<file path=xl/sharedStrings.xml><?xml version="1.0" encoding="utf-8"?>
<sst xmlns="http://schemas.openxmlformats.org/spreadsheetml/2006/main" count="837" uniqueCount="157">
  <si>
    <t>weight(g)</t>
    <phoneticPr fontId="9"/>
  </si>
  <si>
    <t>Colony number</t>
    <phoneticPr fontId="9"/>
  </si>
  <si>
    <t>Dilution</t>
    <phoneticPr fontId="9"/>
  </si>
  <si>
    <t>CFU</t>
    <phoneticPr fontId="9"/>
  </si>
  <si>
    <t>CFU/cm2</t>
    <phoneticPr fontId="9"/>
  </si>
  <si>
    <t>Log(CFU/cm2)</t>
    <phoneticPr fontId="9"/>
  </si>
  <si>
    <t>Ave</t>
    <phoneticPr fontId="9"/>
  </si>
  <si>
    <t>SE</t>
    <phoneticPr fontId="9"/>
  </si>
  <si>
    <t>TTEST</t>
    <phoneticPr fontId="9"/>
  </si>
  <si>
    <t>0dpi</t>
    <phoneticPr fontId="9"/>
  </si>
  <si>
    <t>WT</t>
    <phoneticPr fontId="9"/>
  </si>
  <si>
    <t>RND</t>
    <phoneticPr fontId="9"/>
  </si>
  <si>
    <t>3dpi</t>
    <phoneticPr fontId="9"/>
  </si>
  <si>
    <t>5dpi</t>
    <phoneticPr fontId="9"/>
  </si>
  <si>
    <t>MIC(µg/ml) in KB medium</t>
  </si>
  <si>
    <t>Nal</t>
  </si>
  <si>
    <t>Tet</t>
  </si>
  <si>
    <t>Amp</t>
  </si>
  <si>
    <t>WT</t>
  </si>
  <si>
    <t>&gt;1000</t>
  </si>
  <si>
    <t>NU19</t>
  </si>
  <si>
    <t>Ct(SDM)</t>
    <phoneticPr fontId="12"/>
  </si>
  <si>
    <t>BABG.a</t>
    <phoneticPr fontId="12"/>
  </si>
  <si>
    <t>0time</t>
    <phoneticPr fontId="9"/>
  </si>
  <si>
    <t>C24</t>
    <phoneticPr fontId="9"/>
  </si>
  <si>
    <t>WT24</t>
    <phoneticPr fontId="9"/>
  </si>
  <si>
    <t>C48</t>
    <phoneticPr fontId="9"/>
  </si>
  <si>
    <t>WT48</t>
    <phoneticPr fontId="9"/>
  </si>
  <si>
    <t>BABG.b</t>
    <phoneticPr fontId="12"/>
  </si>
  <si>
    <t>DTCMT</t>
    <phoneticPr fontId="12"/>
  </si>
  <si>
    <t>BoCYP83B1</t>
    <phoneticPr fontId="12"/>
  </si>
  <si>
    <t>24h</t>
    <phoneticPr fontId="9"/>
  </si>
  <si>
    <t>Ave.</t>
    <phoneticPr fontId="9"/>
  </si>
  <si>
    <t>inhibition rate</t>
    <phoneticPr fontId="9"/>
  </si>
  <si>
    <t>Brassinin</t>
    <phoneticPr fontId="9"/>
  </si>
  <si>
    <t>RND</t>
  </si>
  <si>
    <t>DMSO</t>
    <phoneticPr fontId="9"/>
  </si>
  <si>
    <t>inhibiton rate(%)</t>
    <phoneticPr fontId="9"/>
  </si>
  <si>
    <t>Sulforaphane</t>
    <phoneticPr fontId="9"/>
  </si>
  <si>
    <t>EtOH</t>
    <phoneticPr fontId="9"/>
  </si>
  <si>
    <t>Sulforaphan</t>
    <phoneticPr fontId="9"/>
  </si>
  <si>
    <t>camalexin</t>
  </si>
  <si>
    <t>camalexin</t>
    <phoneticPr fontId="9"/>
  </si>
  <si>
    <t>Daidzein</t>
    <phoneticPr fontId="9"/>
  </si>
  <si>
    <t>Geinstein</t>
    <phoneticPr fontId="9"/>
  </si>
  <si>
    <t>Indole</t>
    <phoneticPr fontId="9"/>
  </si>
  <si>
    <t>Phroletin</t>
    <phoneticPr fontId="9"/>
  </si>
  <si>
    <t>NU19</t>
    <phoneticPr fontId="9"/>
  </si>
  <si>
    <t>Tukey's HSD test</t>
    <phoneticPr fontId="9"/>
  </si>
  <si>
    <t>SampleA-SampleB</t>
    <phoneticPr fontId="9"/>
  </si>
  <si>
    <t>p-value</t>
    <phoneticPr fontId="9"/>
  </si>
  <si>
    <t>NU19-5-NU19-3</t>
  </si>
  <si>
    <t>WT-3-NU19-3</t>
  </si>
  <si>
    <t>WT-5-NU19-3</t>
  </si>
  <si>
    <t>WT-3-NU19-5</t>
  </si>
  <si>
    <t>WT-5-NU19-5</t>
  </si>
  <si>
    <t>WT-5-WT-3</t>
  </si>
  <si>
    <t>BoUBQ</t>
    <phoneticPr fontId="9"/>
  </si>
  <si>
    <t>CYP83B</t>
    <phoneticPr fontId="12"/>
  </si>
  <si>
    <t>Cont.</t>
    <phoneticPr fontId="9"/>
  </si>
  <si>
    <t>cmaA</t>
    <phoneticPr fontId="9"/>
  </si>
  <si>
    <t>cont.</t>
    <phoneticPr fontId="9"/>
  </si>
  <si>
    <t>NB35</t>
    <phoneticPr fontId="9"/>
  </si>
  <si>
    <t>BoBABG.a</t>
    <phoneticPr fontId="12"/>
  </si>
  <si>
    <t>BoUBQ1</t>
    <phoneticPr fontId="9"/>
  </si>
  <si>
    <t>Ct values</t>
    <phoneticPr fontId="9"/>
  </si>
  <si>
    <t>Realtive expression</t>
    <phoneticPr fontId="9"/>
  </si>
  <si>
    <t>Average(control)</t>
    <phoneticPr fontId="9"/>
  </si>
  <si>
    <t>Fold change</t>
    <phoneticPr fontId="9"/>
  </si>
  <si>
    <t>Average</t>
  </si>
  <si>
    <t>Standard error</t>
  </si>
  <si>
    <t>Cont.24h</t>
    <phoneticPr fontId="9"/>
  </si>
  <si>
    <t>WT.24h</t>
    <phoneticPr fontId="9"/>
  </si>
  <si>
    <t>Cont.48h</t>
    <phoneticPr fontId="9"/>
  </si>
  <si>
    <t>WT.48h</t>
    <phoneticPr fontId="9"/>
  </si>
  <si>
    <t>brassinin</t>
  </si>
  <si>
    <t>high</t>
    <phoneticPr fontId="9"/>
  </si>
  <si>
    <t>conc. (nM)</t>
    <phoneticPr fontId="9"/>
  </si>
  <si>
    <t>nmol</t>
    <phoneticPr fontId="9"/>
  </si>
  <si>
    <t>g</t>
    <phoneticPr fontId="9"/>
  </si>
  <si>
    <t>nmol/g</t>
    <phoneticPr fontId="9"/>
  </si>
  <si>
    <t>ng/g</t>
    <phoneticPr fontId="9"/>
  </si>
  <si>
    <t>average (ng/g)</t>
    <phoneticPr fontId="9"/>
  </si>
  <si>
    <t>retention time</t>
    <phoneticPr fontId="9"/>
  </si>
  <si>
    <t>N.D.</t>
    <phoneticPr fontId="9"/>
  </si>
  <si>
    <t>48hpi</t>
    <phoneticPr fontId="9"/>
  </si>
  <si>
    <t>KB+DMSO</t>
    <phoneticPr fontId="9"/>
  </si>
  <si>
    <t>OD600</t>
    <phoneticPr fontId="9"/>
  </si>
  <si>
    <t>KB+Brassinin</t>
    <phoneticPr fontId="9"/>
  </si>
  <si>
    <t>C24-0time</t>
  </si>
  <si>
    <t>C48-0time</t>
  </si>
  <si>
    <t>WT24-0time</t>
  </si>
  <si>
    <t>WT48-0time</t>
  </si>
  <si>
    <t>C48-C24</t>
  </si>
  <si>
    <t>WT24-C24</t>
  </si>
  <si>
    <t>WT48-C24</t>
  </si>
  <si>
    <t>WT24-C48</t>
  </si>
  <si>
    <t>WT48-C48</t>
  </si>
  <si>
    <t>WT48-WT24</t>
  </si>
  <si>
    <t>cmaA-0time</t>
  </si>
  <si>
    <t>cont.-0time</t>
  </si>
  <si>
    <t>NB35-0time</t>
  </si>
  <si>
    <t>WT-0time</t>
  </si>
  <si>
    <t>cont.-cmaA</t>
  </si>
  <si>
    <t>NB35-cmaA</t>
  </si>
  <si>
    <t>WT-cmaA</t>
  </si>
  <si>
    <t>NB35-cont.</t>
  </si>
  <si>
    <t>WT-cont.</t>
  </si>
  <si>
    <t>WT-NB35</t>
  </si>
  <si>
    <t>BoBABG.b</t>
    <phoneticPr fontId="12"/>
  </si>
  <si>
    <t>Spe</t>
    <phoneticPr fontId="9"/>
  </si>
  <si>
    <t>Str</t>
    <phoneticPr fontId="9"/>
  </si>
  <si>
    <t>Cef</t>
    <phoneticPr fontId="9"/>
  </si>
  <si>
    <t>Car</t>
    <phoneticPr fontId="9"/>
  </si>
  <si>
    <t>CYP83B1</t>
    <phoneticPr fontId="9"/>
  </si>
  <si>
    <t>OD value</t>
    <phoneticPr fontId="9"/>
  </si>
  <si>
    <t>AVE.</t>
    <phoneticPr fontId="9"/>
  </si>
  <si>
    <t>6h</t>
    <phoneticPr fontId="9"/>
  </si>
  <si>
    <t>9h</t>
    <phoneticPr fontId="9"/>
  </si>
  <si>
    <t>12h</t>
    <phoneticPr fontId="9"/>
  </si>
  <si>
    <t>24h</t>
    <phoneticPr fontId="9"/>
  </si>
  <si>
    <t>WT</t>
    <phoneticPr fontId="9"/>
  </si>
  <si>
    <t>BoUBQ1</t>
    <phoneticPr fontId="9"/>
  </si>
  <si>
    <t>BoCYP81F2</t>
    <phoneticPr fontId="12"/>
  </si>
  <si>
    <t>BoCYP83A1</t>
    <phoneticPr fontId="12"/>
  </si>
  <si>
    <t>0time</t>
    <phoneticPr fontId="9"/>
  </si>
  <si>
    <t>C24</t>
    <phoneticPr fontId="9"/>
  </si>
  <si>
    <t>C48</t>
    <phoneticPr fontId="9"/>
  </si>
  <si>
    <t>BoUBQ1</t>
    <phoneticPr fontId="9"/>
  </si>
  <si>
    <t>BoFMOGS-OX2</t>
    <phoneticPr fontId="12"/>
  </si>
  <si>
    <t>BoFMOGS-OX2</t>
    <phoneticPr fontId="12"/>
  </si>
  <si>
    <t>0time</t>
    <phoneticPr fontId="9"/>
  </si>
  <si>
    <t>Cont.24h</t>
    <phoneticPr fontId="9"/>
  </si>
  <si>
    <t>WT.24h</t>
    <phoneticPr fontId="9"/>
  </si>
  <si>
    <t>Cont.48h</t>
    <phoneticPr fontId="9"/>
  </si>
  <si>
    <t>WT.48h</t>
    <phoneticPr fontId="9"/>
  </si>
  <si>
    <t>p-value</t>
    <phoneticPr fontId="9"/>
  </si>
  <si>
    <t>WT24</t>
    <phoneticPr fontId="9"/>
  </si>
  <si>
    <t>C48</t>
    <phoneticPr fontId="9"/>
  </si>
  <si>
    <t>WT48</t>
    <phoneticPr fontId="9"/>
  </si>
  <si>
    <t>BoFMOGS-OX5</t>
    <phoneticPr fontId="12"/>
  </si>
  <si>
    <t>C48</t>
    <phoneticPr fontId="9"/>
  </si>
  <si>
    <t>Ct values</t>
    <phoneticPr fontId="9"/>
  </si>
  <si>
    <t>Tukey's HSD test</t>
    <phoneticPr fontId="9"/>
  </si>
  <si>
    <t>C48</t>
    <phoneticPr fontId="9"/>
  </si>
  <si>
    <t>Ct values</t>
    <phoneticPr fontId="9"/>
  </si>
  <si>
    <t>BoCYP81F4</t>
    <phoneticPr fontId="12"/>
  </si>
  <si>
    <t>Fold change</t>
    <phoneticPr fontId="9"/>
  </si>
  <si>
    <t>C24</t>
    <phoneticPr fontId="9"/>
  </si>
  <si>
    <t>WT24</t>
    <phoneticPr fontId="9"/>
  </si>
  <si>
    <t>C48</t>
    <phoneticPr fontId="9"/>
  </si>
  <si>
    <t>WT48</t>
    <phoneticPr fontId="9"/>
  </si>
  <si>
    <t>Area (cm2)</t>
    <phoneticPr fontId="9"/>
  </si>
  <si>
    <t>SE</t>
    <phoneticPr fontId="9"/>
  </si>
  <si>
    <t>6hpi</t>
    <phoneticPr fontId="9"/>
  </si>
  <si>
    <t>TTSS</t>
    <phoneticPr fontId="9"/>
  </si>
  <si>
    <t>TTSS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</si>
</sst>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3"/>
      <charset val="128"/>
      <scheme val="minor"/>
    </font>
    <font>
      <b/>
      <sz val="12"/>
      <color theme="1"/>
      <name val="Calibri"/>
      <family val="3"/>
      <charset val="128"/>
      <scheme val="minor"/>
    </font>
    <font>
      <sz val="10"/>
      <color theme="1"/>
      <name val="Arial"/>
      <family val="2"/>
    </font>
    <font>
      <sz val="11"/>
      <name val="Arial"/>
      <family val="2"/>
    </font>
    <font>
      <sz val="12"/>
      <color theme="1"/>
      <name val="Calibri"/>
      <family val="3"/>
      <charset val="128"/>
      <scheme val="minor"/>
    </font>
    <font>
      <sz val="12"/>
      <color theme="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36">
    <xf numFmtId="0" fontId="0" fillId="0" borderId="0" xfId="0">
      <alignment vertical="center"/>
    </xf>
    <xf numFmtId="0" fontId="10" fillId="0" borderId="0" xfId="1">
      <alignment vertical="center"/>
    </xf>
    <xf numFmtId="0" fontId="8" fillId="0" borderId="0" xfId="2">
      <alignment vertical="center"/>
    </xf>
    <xf numFmtId="0" fontId="8" fillId="0" borderId="0" xfId="2" applyAlignment="1">
      <alignment horizontal="center" vertical="center"/>
    </xf>
    <xf numFmtId="0" fontId="7" fillId="0" borderId="0" xfId="2" applyFont="1">
      <alignment vertical="center"/>
    </xf>
    <xf numFmtId="0" fontId="7" fillId="0" borderId="0" xfId="1" applyFont="1">
      <alignment vertical="center"/>
    </xf>
    <xf numFmtId="0" fontId="11" fillId="0" borderId="0" xfId="1" applyFont="1">
      <alignment vertical="center"/>
    </xf>
    <xf numFmtId="0" fontId="8" fillId="0" borderId="0" xfId="2" applyAlignme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6" fillId="0" borderId="0" xfId="1" applyFont="1">
      <alignment vertical="center"/>
    </xf>
    <xf numFmtId="0" fontId="5" fillId="0" borderId="0" xfId="1" applyFont="1">
      <alignment vertical="center"/>
    </xf>
    <xf numFmtId="0" fontId="4" fillId="0" borderId="0" xfId="2" applyFont="1">
      <alignment vertical="center"/>
    </xf>
    <xf numFmtId="0" fontId="11" fillId="0" borderId="0" xfId="1" applyFont="1" applyFill="1">
      <alignment vertical="center"/>
    </xf>
    <xf numFmtId="0" fontId="0" fillId="0" borderId="0" xfId="0" applyFill="1">
      <alignment vertical="center"/>
    </xf>
    <xf numFmtId="0" fontId="15" fillId="0" borderId="0" xfId="0" applyFont="1">
      <alignment vertical="center"/>
    </xf>
    <xf numFmtId="0" fontId="16" fillId="0" borderId="0" xfId="1" applyFont="1">
      <alignment vertical="center"/>
    </xf>
    <xf numFmtId="0" fontId="16" fillId="0" borderId="0" xfId="1" applyFont="1" applyFill="1">
      <alignment vertical="center"/>
    </xf>
    <xf numFmtId="0" fontId="17" fillId="0" borderId="0" xfId="3" applyFont="1">
      <alignment vertical="center"/>
    </xf>
    <xf numFmtId="0" fontId="2" fillId="0" borderId="0" xfId="2" applyFont="1">
      <alignment vertical="center"/>
    </xf>
    <xf numFmtId="0" fontId="1" fillId="0" borderId="0" xfId="4">
      <alignment vertical="center"/>
    </xf>
    <xf numFmtId="0" fontId="15" fillId="0" borderId="0" xfId="5" applyFont="1">
      <alignment vertical="center"/>
    </xf>
    <xf numFmtId="0" fontId="11" fillId="0" borderId="0" xfId="6" applyFont="1">
      <alignment vertical="center"/>
    </xf>
    <xf numFmtId="0" fontId="16" fillId="0" borderId="0" xfId="6" applyFont="1">
      <alignment vertical="center"/>
    </xf>
    <xf numFmtId="0" fontId="18" fillId="0" borderId="0" xfId="5" applyAlignment="1">
      <alignment horizontal="center" vertical="center"/>
    </xf>
    <xf numFmtId="0" fontId="11" fillId="0" borderId="0" xfId="5" applyFont="1" applyFill="1">
      <alignment vertical="center"/>
    </xf>
    <xf numFmtId="0" fontId="16" fillId="0" borderId="0" xfId="7" applyFont="1">
      <alignment vertical="center"/>
    </xf>
    <xf numFmtId="0" fontId="18" fillId="0" borderId="0" xfId="5">
      <alignment vertical="center"/>
    </xf>
    <xf numFmtId="0" fontId="18" fillId="0" borderId="0" xfId="8">
      <alignment vertical="center"/>
    </xf>
    <xf numFmtId="0" fontId="1" fillId="0" borderId="0" xfId="6">
      <alignment vertical="center"/>
    </xf>
    <xf numFmtId="0" fontId="11" fillId="0" borderId="0" xfId="5" applyFont="1">
      <alignment vertical="center"/>
    </xf>
    <xf numFmtId="0" fontId="15" fillId="0" borderId="0" xfId="8" applyFont="1">
      <alignment vertical="center"/>
    </xf>
    <xf numFmtId="0" fontId="11" fillId="0" borderId="0" xfId="7" applyFont="1">
      <alignment vertical="center"/>
    </xf>
    <xf numFmtId="0" fontId="0" fillId="0" borderId="0" xfId="0" applyAlignment="1">
      <alignment horizontal="center" vertical="center"/>
    </xf>
    <xf numFmtId="0" fontId="18" fillId="0" borderId="0" xfId="5" applyAlignment="1">
      <alignment horizontal="center" vertical="center"/>
    </xf>
    <xf numFmtId="0" fontId="18" fillId="0" borderId="0" xfId="8" applyAlignment="1">
      <alignment horizontal="center" vertical="center"/>
    </xf>
  </cellXfs>
  <cellStyles count="9">
    <cellStyle name="Normal" xfId="0" builtinId="0"/>
    <cellStyle name="標準 2" xfId="1" xr:uid="{00000000-0005-0000-0000-000001000000}"/>
    <cellStyle name="標準 2 2" xfId="5" xr:uid="{00000000-0005-0000-0000-000002000000}"/>
    <cellStyle name="標準 2 2 2" xfId="6" xr:uid="{00000000-0005-0000-0000-000003000000}"/>
    <cellStyle name="標準 2 2 2 2" xfId="7" xr:uid="{00000000-0005-0000-0000-000004000000}"/>
    <cellStyle name="標準 2 2 2 3" xfId="8" xr:uid="{00000000-0005-0000-0000-000005000000}"/>
    <cellStyle name="標準 3" xfId="2" xr:uid="{00000000-0005-0000-0000-000006000000}"/>
    <cellStyle name="標準 4" xfId="3" xr:uid="{00000000-0005-0000-0000-000007000000}"/>
    <cellStyle name="標準 5" xfId="4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S5B'!$N$2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S5B'!$N$8:$N$10</c:f>
                <c:numCache>
                  <c:formatCode>General</c:formatCode>
                  <c:ptCount val="3"/>
                  <c:pt idx="0">
                    <c:v>0.33369882726332506</c:v>
                  </c:pt>
                  <c:pt idx="1">
                    <c:v>0.22599755322447243</c:v>
                  </c:pt>
                  <c:pt idx="2">
                    <c:v>0.15961850083464196</c:v>
                  </c:pt>
                </c:numCache>
              </c:numRef>
            </c:plus>
            <c:minus>
              <c:numRef>
                <c:f>'Figure S5B'!$N$8:$N$10</c:f>
                <c:numCache>
                  <c:formatCode>General</c:formatCode>
                  <c:ptCount val="3"/>
                  <c:pt idx="0">
                    <c:v>0.33369882726332506</c:v>
                  </c:pt>
                  <c:pt idx="1">
                    <c:v>0.22599755322447243</c:v>
                  </c:pt>
                  <c:pt idx="2">
                    <c:v>0.15961850083464196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S5B'!$M$3:$M$5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S5B'!$N$3:$N$5</c:f>
              <c:numCache>
                <c:formatCode>General</c:formatCode>
                <c:ptCount val="3"/>
                <c:pt idx="0">
                  <c:v>6.368149062817694</c:v>
                </c:pt>
                <c:pt idx="1">
                  <c:v>8.5805500079044474</c:v>
                </c:pt>
                <c:pt idx="2">
                  <c:v>8.2013918150131015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77-7147-8D59-FA99271BB030}"/>
            </c:ext>
          </c:extLst>
        </c:ser>
        <c:ser>
          <c:idx val="1"/>
          <c:order val="1"/>
          <c:tx>
            <c:strRef>
              <c:f>'Figure S5B'!$O$2</c:f>
              <c:strCache>
                <c:ptCount val="1"/>
                <c:pt idx="0">
                  <c:v>NU19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S5B'!$O$8:$O$10</c:f>
                <c:numCache>
                  <c:formatCode>General</c:formatCode>
                  <c:ptCount val="3"/>
                  <c:pt idx="0">
                    <c:v>3.6677432295831633E-2</c:v>
                  </c:pt>
                  <c:pt idx="1">
                    <c:v>0.43974058566985846</c:v>
                  </c:pt>
                  <c:pt idx="2">
                    <c:v>0.2800168418135523</c:v>
                  </c:pt>
                </c:numCache>
              </c:numRef>
            </c:plus>
            <c:minus>
              <c:numRef>
                <c:f>'Figure S5B'!$O$8:$O$10</c:f>
                <c:numCache>
                  <c:formatCode>General</c:formatCode>
                  <c:ptCount val="3"/>
                  <c:pt idx="0">
                    <c:v>3.6677432295831633E-2</c:v>
                  </c:pt>
                  <c:pt idx="1">
                    <c:v>0.43974058566985846</c:v>
                  </c:pt>
                  <c:pt idx="2">
                    <c:v>0.2800168418135523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S5B'!$M$3:$M$5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S5B'!$O$3:$O$5</c:f>
              <c:numCache>
                <c:formatCode>General</c:formatCode>
                <c:ptCount val="3"/>
                <c:pt idx="0">
                  <c:v>6.4800469365182174</c:v>
                </c:pt>
                <c:pt idx="1">
                  <c:v>6.5389568662628461</c:v>
                </c:pt>
                <c:pt idx="2">
                  <c:v>7.04464068910384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77-7147-8D59-FA99271BB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224456"/>
        <c:axId val="392227200"/>
      </c:barChart>
      <c:catAx>
        <c:axId val="392224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27200"/>
        <c:crosses val="autoZero"/>
        <c:auto val="1"/>
        <c:lblAlgn val="ctr"/>
        <c:lblOffset val="100"/>
        <c:noMultiLvlLbl val="0"/>
      </c:catAx>
      <c:valAx>
        <c:axId val="3922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24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S7B'!$J$5:$K$5</c:f>
                <c:numCache>
                  <c:formatCode>General</c:formatCode>
                  <c:ptCount val="2"/>
                  <c:pt idx="0">
                    <c:v>4.876546572423366E-2</c:v>
                  </c:pt>
                  <c:pt idx="1">
                    <c:v>3.0260086942576824E-2</c:v>
                  </c:pt>
                </c:numCache>
              </c:numRef>
            </c:plus>
            <c:minus>
              <c:numRef>
                <c:f>'Figure S7B'!$J$5:$K$5</c:f>
                <c:numCache>
                  <c:formatCode>General</c:formatCode>
                  <c:ptCount val="2"/>
                  <c:pt idx="0">
                    <c:v>4.876546572423366E-2</c:v>
                  </c:pt>
                  <c:pt idx="1">
                    <c:v>3.0260086942576824E-2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S7B'!$J$3:$K$3</c:f>
              <c:strCache>
                <c:ptCount val="2"/>
                <c:pt idx="0">
                  <c:v>WT</c:v>
                </c:pt>
                <c:pt idx="1">
                  <c:v>RND</c:v>
                </c:pt>
              </c:strCache>
            </c:strRef>
          </c:cat>
          <c:val>
            <c:numRef>
              <c:f>'Figure S7B'!$J$4:$K$4</c:f>
              <c:numCache>
                <c:formatCode>General</c:formatCode>
                <c:ptCount val="2"/>
                <c:pt idx="0">
                  <c:v>1.0367132867132867</c:v>
                </c:pt>
                <c:pt idx="1">
                  <c:v>0.70225155279503104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A-4987-96B9-6E5950555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190816"/>
        <c:axId val="394350040"/>
      </c:barChart>
      <c:catAx>
        <c:axId val="39419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040"/>
        <c:crosses val="autoZero"/>
        <c:auto val="1"/>
        <c:lblAlgn val="ctr"/>
        <c:lblOffset val="100"/>
        <c:noMultiLvlLbl val="0"/>
      </c:catAx>
      <c:valAx>
        <c:axId val="39435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9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S7C'!$M$5:$N$5</c:f>
                <c:numCache>
                  <c:formatCode>General</c:formatCode>
                  <c:ptCount val="2"/>
                  <c:pt idx="0">
                    <c:v>7.8121092669496059</c:v>
                  </c:pt>
                  <c:pt idx="1">
                    <c:v>3.2370048358266872</c:v>
                  </c:pt>
                </c:numCache>
              </c:numRef>
            </c:plus>
            <c:minus>
              <c:numRef>
                <c:f>'Figure S7C'!$M$5:$N$5</c:f>
                <c:numCache>
                  <c:formatCode>General</c:formatCode>
                  <c:ptCount val="2"/>
                  <c:pt idx="0">
                    <c:v>7.8121092669496059</c:v>
                  </c:pt>
                  <c:pt idx="1">
                    <c:v>3.2370048358266872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S7C'!$M$3:$N$3</c:f>
              <c:strCache>
                <c:ptCount val="2"/>
                <c:pt idx="0">
                  <c:v>WT</c:v>
                </c:pt>
                <c:pt idx="1">
                  <c:v>RND</c:v>
                </c:pt>
              </c:strCache>
            </c:strRef>
          </c:cat>
          <c:val>
            <c:numRef>
              <c:f>'Figure S7C'!$M$4:$N$4</c:f>
              <c:numCache>
                <c:formatCode>General</c:formatCode>
                <c:ptCount val="2"/>
                <c:pt idx="0">
                  <c:v>88.330453571283002</c:v>
                </c:pt>
                <c:pt idx="1">
                  <c:v>82.349296921168289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E-4242-B7FE-182A679D7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216"/>
        <c:axId val="394350824"/>
      </c:barChart>
      <c:catAx>
        <c:axId val="39435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824"/>
        <c:crosses val="autoZero"/>
        <c:auto val="1"/>
        <c:lblAlgn val="ctr"/>
        <c:lblOffset val="100"/>
        <c:noMultiLvlLbl val="0"/>
      </c:catAx>
      <c:valAx>
        <c:axId val="39435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S7D'!$G$5:$H$5</c:f>
                <c:numCache>
                  <c:formatCode>General</c:formatCode>
                  <c:ptCount val="2"/>
                  <c:pt idx="0">
                    <c:v>20.082943784230075</c:v>
                  </c:pt>
                  <c:pt idx="1">
                    <c:v>0.84269662921348154</c:v>
                  </c:pt>
                </c:numCache>
              </c:numRef>
            </c:plus>
            <c:minus>
              <c:numRef>
                <c:f>'Figure S7D'!$G$5:$H$5</c:f>
                <c:numCache>
                  <c:formatCode>General</c:formatCode>
                  <c:ptCount val="2"/>
                  <c:pt idx="0">
                    <c:v>20.082943784230075</c:v>
                  </c:pt>
                  <c:pt idx="1">
                    <c:v>0.84269662921348154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S7D'!$G$3:$H$3</c:f>
              <c:strCache>
                <c:ptCount val="2"/>
                <c:pt idx="0">
                  <c:v>WT</c:v>
                </c:pt>
                <c:pt idx="1">
                  <c:v>RND</c:v>
                </c:pt>
              </c:strCache>
            </c:strRef>
          </c:cat>
          <c:val>
            <c:numRef>
              <c:f>'Figure S7D'!$G$4:$H$4</c:f>
              <c:numCache>
                <c:formatCode>General</c:formatCode>
                <c:ptCount val="2"/>
                <c:pt idx="0">
                  <c:v>108.02919708029195</c:v>
                </c:pt>
                <c:pt idx="1">
                  <c:v>91.011235955056165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91-4CE9-AC12-2CBD33D6D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48080"/>
        <c:axId val="394347296"/>
      </c:barChart>
      <c:catAx>
        <c:axId val="39434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7296"/>
        <c:crosses val="autoZero"/>
        <c:auto val="1"/>
        <c:lblAlgn val="ctr"/>
        <c:lblOffset val="100"/>
        <c:noMultiLvlLbl val="0"/>
      </c:catAx>
      <c:valAx>
        <c:axId val="39434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S7E'!$G$5:$H$5</c:f>
                <c:numCache>
                  <c:formatCode>General</c:formatCode>
                  <c:ptCount val="2"/>
                  <c:pt idx="0">
                    <c:v>7.8953677564904874</c:v>
                  </c:pt>
                  <c:pt idx="1">
                    <c:v>1.9662921348314588</c:v>
                  </c:pt>
                </c:numCache>
              </c:numRef>
            </c:plus>
            <c:minus>
              <c:numRef>
                <c:f>'Figure S7E'!$G$5:$H$5</c:f>
                <c:numCache>
                  <c:formatCode>General</c:formatCode>
                  <c:ptCount val="2"/>
                  <c:pt idx="0">
                    <c:v>7.8953677564904874</c:v>
                  </c:pt>
                  <c:pt idx="1">
                    <c:v>1.9662921348314588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S7E'!$G$3:$H$3</c:f>
              <c:strCache>
                <c:ptCount val="2"/>
                <c:pt idx="0">
                  <c:v>WT</c:v>
                </c:pt>
                <c:pt idx="1">
                  <c:v>RND</c:v>
                </c:pt>
              </c:strCache>
            </c:strRef>
          </c:cat>
          <c:val>
            <c:numRef>
              <c:f>'Figure S7E'!$G$4:$H$4</c:f>
              <c:numCache>
                <c:formatCode>General</c:formatCode>
                <c:ptCount val="2"/>
                <c:pt idx="0">
                  <c:v>113.86861313868613</c:v>
                </c:pt>
                <c:pt idx="1">
                  <c:v>57.584269662921351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3-4460-9C59-9FDA66165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47688"/>
        <c:axId val="394352000"/>
      </c:barChart>
      <c:catAx>
        <c:axId val="39434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2000"/>
        <c:crosses val="autoZero"/>
        <c:auto val="1"/>
        <c:lblAlgn val="ctr"/>
        <c:lblOffset val="100"/>
        <c:noMultiLvlLbl val="0"/>
      </c:catAx>
      <c:valAx>
        <c:axId val="39435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7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S7F'!$G$5:$H$5</c:f>
                <c:numCache>
                  <c:formatCode>General</c:formatCode>
                  <c:ptCount val="2"/>
                  <c:pt idx="0">
                    <c:v>0.54687499999999978</c:v>
                  </c:pt>
                </c:numCache>
              </c:numRef>
            </c:plus>
            <c:minus>
              <c:numRef>
                <c:f>'Figure S7F'!$G$5:$H$5</c:f>
                <c:numCache>
                  <c:formatCode>General</c:formatCode>
                  <c:ptCount val="2"/>
                  <c:pt idx="0">
                    <c:v>0.54687499999999978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S7F'!$G$3:$H$3</c:f>
              <c:strCache>
                <c:ptCount val="2"/>
                <c:pt idx="0">
                  <c:v>WT</c:v>
                </c:pt>
                <c:pt idx="1">
                  <c:v>RND</c:v>
                </c:pt>
              </c:strCache>
            </c:strRef>
          </c:cat>
          <c:val>
            <c:numRef>
              <c:f>'Figure S7F'!$G$4:$H$4</c:f>
              <c:numCache>
                <c:formatCode>General</c:formatCode>
                <c:ptCount val="2"/>
                <c:pt idx="0">
                  <c:v>12.734375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43-4242-A161-64F0EAB08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2784"/>
        <c:axId val="394353176"/>
      </c:barChart>
      <c:catAx>
        <c:axId val="39435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3176"/>
        <c:crosses val="autoZero"/>
        <c:auto val="1"/>
        <c:lblAlgn val="ctr"/>
        <c:lblOffset val="100"/>
        <c:noMultiLvlLbl val="0"/>
      </c:catAx>
      <c:valAx>
        <c:axId val="39435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2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S7G'!$G$5:$H$5</c:f>
                <c:numCache>
                  <c:formatCode>General</c:formatCode>
                  <c:ptCount val="2"/>
                  <c:pt idx="0">
                    <c:v>0.34053897996411481</c:v>
                  </c:pt>
                </c:numCache>
              </c:numRef>
            </c:plus>
            <c:minus>
              <c:numRef>
                <c:f>'Figure S7G'!$G$5:$H$5</c:f>
                <c:numCache>
                  <c:formatCode>General</c:formatCode>
                  <c:ptCount val="2"/>
                  <c:pt idx="0">
                    <c:v>0.34053897996411481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S7G'!$G$3:$H$3</c:f>
              <c:strCache>
                <c:ptCount val="2"/>
                <c:pt idx="0">
                  <c:v>WT</c:v>
                </c:pt>
                <c:pt idx="1">
                  <c:v>RND</c:v>
                </c:pt>
              </c:strCache>
            </c:strRef>
          </c:cat>
          <c:val>
            <c:numRef>
              <c:f>'Figure S7G'!$G$4:$H$4</c:f>
              <c:numCache>
                <c:formatCode>General</c:formatCode>
                <c:ptCount val="2"/>
                <c:pt idx="0">
                  <c:v>10.234375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05-4312-BC40-CD252EDF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48472"/>
        <c:axId val="394353960"/>
      </c:barChart>
      <c:catAx>
        <c:axId val="394348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3960"/>
        <c:crosses val="autoZero"/>
        <c:auto val="1"/>
        <c:lblAlgn val="ctr"/>
        <c:lblOffset val="100"/>
        <c:noMultiLvlLbl val="0"/>
      </c:catAx>
      <c:valAx>
        <c:axId val="39435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8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S8A'!$M$2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S8A'!$M$8:$M$10</c:f>
                <c:numCache>
                  <c:formatCode>General</c:formatCode>
                  <c:ptCount val="3"/>
                  <c:pt idx="0">
                    <c:v>0.17566554637900009</c:v>
                  </c:pt>
                  <c:pt idx="1">
                    <c:v>0.28394368032168216</c:v>
                  </c:pt>
                  <c:pt idx="2">
                    <c:v>0.29870207450324959</c:v>
                  </c:pt>
                </c:numCache>
              </c:numRef>
            </c:plus>
            <c:minus>
              <c:numRef>
                <c:f>'Figure S8A'!$M$8:$M$10</c:f>
                <c:numCache>
                  <c:formatCode>General</c:formatCode>
                  <c:ptCount val="3"/>
                  <c:pt idx="0">
                    <c:v>0.17566554637900009</c:v>
                  </c:pt>
                  <c:pt idx="1">
                    <c:v>0.28394368032168216</c:v>
                  </c:pt>
                  <c:pt idx="2">
                    <c:v>0.29870207450324959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S8A'!$L$3:$L$5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S8A'!$M$3:$M$5</c:f>
              <c:numCache>
                <c:formatCode>General</c:formatCode>
                <c:ptCount val="3"/>
                <c:pt idx="0">
                  <c:v>6.6283592972618735</c:v>
                </c:pt>
                <c:pt idx="1">
                  <c:v>7.9216983074447826</c:v>
                </c:pt>
                <c:pt idx="2">
                  <c:v>8.8733093289018239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0-4691-A2DD-7B932644CD07}"/>
            </c:ext>
          </c:extLst>
        </c:ser>
        <c:ser>
          <c:idx val="1"/>
          <c:order val="1"/>
          <c:tx>
            <c:strRef>
              <c:f>'Figure S8A'!$N$2</c:f>
              <c:strCache>
                <c:ptCount val="1"/>
                <c:pt idx="0">
                  <c:v>RND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S8A'!$N$8:$N$10</c:f>
                <c:numCache>
                  <c:formatCode>General</c:formatCode>
                  <c:ptCount val="3"/>
                  <c:pt idx="0">
                    <c:v>0.13715576603410706</c:v>
                  </c:pt>
                  <c:pt idx="1">
                    <c:v>0.24782715400621141</c:v>
                  </c:pt>
                  <c:pt idx="2">
                    <c:v>0.35668404614811805</c:v>
                  </c:pt>
                </c:numCache>
              </c:numRef>
            </c:plus>
            <c:minus>
              <c:numRef>
                <c:f>'Figure S8A'!$N$8:$N$10</c:f>
                <c:numCache>
                  <c:formatCode>General</c:formatCode>
                  <c:ptCount val="3"/>
                  <c:pt idx="0">
                    <c:v>0.13715576603410706</c:v>
                  </c:pt>
                  <c:pt idx="1">
                    <c:v>0.24782715400621141</c:v>
                  </c:pt>
                  <c:pt idx="2">
                    <c:v>0.35668404614811805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S8A'!$L$3:$L$5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S8A'!$N$3:$N$5</c:f>
              <c:numCache>
                <c:formatCode>General</c:formatCode>
                <c:ptCount val="3"/>
                <c:pt idx="0">
                  <c:v>6.5983191806448547</c:v>
                </c:pt>
                <c:pt idx="1">
                  <c:v>6.3627936450998037</c:v>
                </c:pt>
                <c:pt idx="2">
                  <c:v>7.9726657309621407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0-4691-A2DD-7B932644C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49256"/>
        <c:axId val="394349648"/>
      </c:barChart>
      <c:catAx>
        <c:axId val="39434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9648"/>
        <c:crosses val="autoZero"/>
        <c:auto val="1"/>
        <c:lblAlgn val="ctr"/>
        <c:lblOffset val="100"/>
        <c:noMultiLvlLbl val="0"/>
      </c:catAx>
      <c:valAx>
        <c:axId val="39434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9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S8B'!$M$2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S8B'!$M$8:$M$10</c:f>
                <c:numCache>
                  <c:formatCode>General</c:formatCode>
                  <c:ptCount val="3"/>
                  <c:pt idx="0">
                    <c:v>6.5914786591840205E-2</c:v>
                  </c:pt>
                  <c:pt idx="1">
                    <c:v>0.40629896153148015</c:v>
                  </c:pt>
                  <c:pt idx="2">
                    <c:v>0.19989046366293439</c:v>
                  </c:pt>
                </c:numCache>
              </c:numRef>
            </c:plus>
            <c:minus>
              <c:numRef>
                <c:f>'Figure S8B'!$M$8:$M$10</c:f>
                <c:numCache>
                  <c:formatCode>General</c:formatCode>
                  <c:ptCount val="3"/>
                  <c:pt idx="0">
                    <c:v>6.5914786591840205E-2</c:v>
                  </c:pt>
                  <c:pt idx="1">
                    <c:v>0.40629896153148015</c:v>
                  </c:pt>
                  <c:pt idx="2">
                    <c:v>0.19989046366293439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S8B'!$L$3:$L$5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S8B'!$M$3:$M$5</c:f>
              <c:numCache>
                <c:formatCode>General</c:formatCode>
                <c:ptCount val="3"/>
                <c:pt idx="0">
                  <c:v>7.3800442487056754</c:v>
                </c:pt>
                <c:pt idx="1">
                  <c:v>7.2931054399789348</c:v>
                </c:pt>
                <c:pt idx="2">
                  <c:v>8.2563612822670809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1-4486-B48C-8E00CA382507}"/>
            </c:ext>
          </c:extLst>
        </c:ser>
        <c:ser>
          <c:idx val="1"/>
          <c:order val="1"/>
          <c:tx>
            <c:strRef>
              <c:f>'Figure S8B'!$N$2</c:f>
              <c:strCache>
                <c:ptCount val="1"/>
                <c:pt idx="0">
                  <c:v>RND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S8B'!$N$8:$N$10</c:f>
                <c:numCache>
                  <c:formatCode>General</c:formatCode>
                  <c:ptCount val="3"/>
                  <c:pt idx="0">
                    <c:v>2.6416671867397837E-2</c:v>
                  </c:pt>
                  <c:pt idx="1">
                    <c:v>0.21050845283877037</c:v>
                  </c:pt>
                  <c:pt idx="2">
                    <c:v>0.31905370626049034</c:v>
                  </c:pt>
                </c:numCache>
              </c:numRef>
            </c:plus>
            <c:minus>
              <c:numRef>
                <c:f>'Figure S8B'!$N$8:$N$10</c:f>
                <c:numCache>
                  <c:formatCode>General</c:formatCode>
                  <c:ptCount val="3"/>
                  <c:pt idx="0">
                    <c:v>2.6416671867397837E-2</c:v>
                  </c:pt>
                  <c:pt idx="1">
                    <c:v>0.21050845283877037</c:v>
                  </c:pt>
                  <c:pt idx="2">
                    <c:v>0.31905370626049034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S8B'!$L$3:$L$5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S8B'!$N$3:$N$5</c:f>
              <c:numCache>
                <c:formatCode>General</c:formatCode>
                <c:ptCount val="3"/>
                <c:pt idx="0">
                  <c:v>7.2960702202199323</c:v>
                </c:pt>
                <c:pt idx="1">
                  <c:v>5.7389063046142583</c:v>
                </c:pt>
                <c:pt idx="2">
                  <c:v>6.8821972205417445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1-4486-B48C-8E00CA382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28984"/>
        <c:axId val="438622712"/>
      </c:barChart>
      <c:catAx>
        <c:axId val="43862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2712"/>
        <c:crosses val="autoZero"/>
        <c:auto val="1"/>
        <c:lblAlgn val="ctr"/>
        <c:lblOffset val="100"/>
        <c:noMultiLvlLbl val="0"/>
      </c:catAx>
      <c:valAx>
        <c:axId val="43862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8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S8C'!$N$2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S8C'!$N$8:$N$10</c:f>
                <c:numCache>
                  <c:formatCode>General</c:formatCode>
                  <c:ptCount val="3"/>
                  <c:pt idx="0">
                    <c:v>0.48205343155682123</c:v>
                  </c:pt>
                  <c:pt idx="1">
                    <c:v>0.27488991447910527</c:v>
                  </c:pt>
                  <c:pt idx="2">
                    <c:v>0.29786172608191186</c:v>
                  </c:pt>
                </c:numCache>
              </c:numRef>
            </c:plus>
            <c:minus>
              <c:numRef>
                <c:f>'Figure S8C'!$N$8:$N$10</c:f>
                <c:numCache>
                  <c:formatCode>General</c:formatCode>
                  <c:ptCount val="3"/>
                  <c:pt idx="0">
                    <c:v>0.48205343155682123</c:v>
                  </c:pt>
                  <c:pt idx="1">
                    <c:v>0.27488991447910527</c:v>
                  </c:pt>
                  <c:pt idx="2">
                    <c:v>0.29786172608191186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S8C'!$M$3:$M$5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S8C'!$N$3:$N$5</c:f>
              <c:numCache>
                <c:formatCode>General</c:formatCode>
                <c:ptCount val="3"/>
                <c:pt idx="0">
                  <c:v>6.1162983013571788</c:v>
                </c:pt>
                <c:pt idx="1">
                  <c:v>7.869349403454545</c:v>
                </c:pt>
                <c:pt idx="2">
                  <c:v>8.4261787986511845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41-4E55-BF5C-6162CD895AFE}"/>
            </c:ext>
          </c:extLst>
        </c:ser>
        <c:ser>
          <c:idx val="1"/>
          <c:order val="1"/>
          <c:tx>
            <c:strRef>
              <c:f>'Figure S8C'!$O$2</c:f>
              <c:strCache>
                <c:ptCount val="1"/>
                <c:pt idx="0">
                  <c:v>RND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S8C'!$O$8:$O$10</c:f>
                <c:numCache>
                  <c:formatCode>General</c:formatCode>
                  <c:ptCount val="3"/>
                  <c:pt idx="0">
                    <c:v>0.17254227598119154</c:v>
                  </c:pt>
                  <c:pt idx="1">
                    <c:v>9.7690378455228183E-2</c:v>
                  </c:pt>
                  <c:pt idx="2">
                    <c:v>0.24673994672538258</c:v>
                  </c:pt>
                </c:numCache>
              </c:numRef>
            </c:plus>
            <c:minus>
              <c:numRef>
                <c:f>'Figure S8C'!$O$8:$O$10</c:f>
                <c:numCache>
                  <c:formatCode>General</c:formatCode>
                  <c:ptCount val="3"/>
                  <c:pt idx="0">
                    <c:v>0.17254227598119154</c:v>
                  </c:pt>
                  <c:pt idx="1">
                    <c:v>9.7690378455228183E-2</c:v>
                  </c:pt>
                  <c:pt idx="2">
                    <c:v>0.24673994672538258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S8C'!$M$3:$M$5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S8C'!$O$3:$O$5</c:f>
              <c:numCache>
                <c:formatCode>General</c:formatCode>
                <c:ptCount val="3"/>
                <c:pt idx="0">
                  <c:v>6.2969622975315902</c:v>
                </c:pt>
                <c:pt idx="1">
                  <c:v>6.6194962542488502</c:v>
                </c:pt>
                <c:pt idx="2">
                  <c:v>7.7118627107117987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41-4E55-BF5C-6162CD895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28200"/>
        <c:axId val="438623104"/>
      </c:barChart>
      <c:catAx>
        <c:axId val="43862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3104"/>
        <c:crosses val="autoZero"/>
        <c:auto val="1"/>
        <c:lblAlgn val="ctr"/>
        <c:lblOffset val="100"/>
        <c:noMultiLvlLbl val="0"/>
      </c:catAx>
      <c:valAx>
        <c:axId val="43862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8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S8D'!$M$2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S8D'!$M$8:$M$10</c:f>
                <c:numCache>
                  <c:formatCode>General</c:formatCode>
                  <c:ptCount val="3"/>
                  <c:pt idx="0">
                    <c:v>5.3211905956221162E-2</c:v>
                  </c:pt>
                  <c:pt idx="1">
                    <c:v>0.12699019916841417</c:v>
                  </c:pt>
                  <c:pt idx="2">
                    <c:v>0.20894387510728318</c:v>
                  </c:pt>
                </c:numCache>
              </c:numRef>
            </c:plus>
            <c:minus>
              <c:numRef>
                <c:f>'Figure S8D'!$M$8:$M$10</c:f>
                <c:numCache>
                  <c:formatCode>General</c:formatCode>
                  <c:ptCount val="3"/>
                  <c:pt idx="0">
                    <c:v>5.3211905956221162E-2</c:v>
                  </c:pt>
                  <c:pt idx="1">
                    <c:v>0.12699019916841417</c:v>
                  </c:pt>
                  <c:pt idx="2">
                    <c:v>0.20894387510728318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S8D'!$L$3:$L$5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S8D'!$M$3:$M$5</c:f>
              <c:numCache>
                <c:formatCode>General</c:formatCode>
                <c:ptCount val="3"/>
                <c:pt idx="0">
                  <c:v>6.3473382858153942</c:v>
                </c:pt>
                <c:pt idx="1">
                  <c:v>6.1215147560040757</c:v>
                </c:pt>
                <c:pt idx="2">
                  <c:v>6.6571199815291369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67-4DAE-96D9-6964EECB73FB}"/>
            </c:ext>
          </c:extLst>
        </c:ser>
        <c:ser>
          <c:idx val="1"/>
          <c:order val="1"/>
          <c:tx>
            <c:strRef>
              <c:f>'Figure S8D'!$N$2</c:f>
              <c:strCache>
                <c:ptCount val="1"/>
                <c:pt idx="0">
                  <c:v>RND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S8D'!$N$8:$N$10</c:f>
                <c:numCache>
                  <c:formatCode>General</c:formatCode>
                  <c:ptCount val="3"/>
                  <c:pt idx="0">
                    <c:v>8.0737982929472846E-2</c:v>
                  </c:pt>
                  <c:pt idx="1">
                    <c:v>0</c:v>
                  </c:pt>
                  <c:pt idx="2">
                    <c:v>0.2379860027254162</c:v>
                  </c:pt>
                </c:numCache>
              </c:numRef>
            </c:plus>
            <c:minus>
              <c:numRef>
                <c:f>'Figure S8D'!$N$8:$N$10</c:f>
                <c:numCache>
                  <c:formatCode>General</c:formatCode>
                  <c:ptCount val="3"/>
                  <c:pt idx="0">
                    <c:v>8.0737982929472846E-2</c:v>
                  </c:pt>
                  <c:pt idx="1">
                    <c:v>0</c:v>
                  </c:pt>
                  <c:pt idx="2">
                    <c:v>0.2379860027254162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S8D'!$L$3:$L$5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S8D'!$N$3:$N$5</c:f>
              <c:numCache>
                <c:formatCode>General</c:formatCode>
                <c:ptCount val="3"/>
                <c:pt idx="0">
                  <c:v>6.4048132043594226</c:v>
                </c:pt>
                <c:pt idx="1">
                  <c:v>4.0087739243075049</c:v>
                </c:pt>
                <c:pt idx="2">
                  <c:v>5.9111232763985235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67-4DAE-96D9-6964EECB7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27808"/>
        <c:axId val="438629376"/>
      </c:barChart>
      <c:catAx>
        <c:axId val="43862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9376"/>
        <c:crosses val="autoZero"/>
        <c:auto val="1"/>
        <c:lblAlgn val="ctr"/>
        <c:lblOffset val="100"/>
        <c:noMultiLvlLbl val="0"/>
      </c:catAx>
      <c:valAx>
        <c:axId val="43862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CYP83B1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S5A'!$J$4:$N$4</c:f>
                <c:numCache>
                  <c:formatCode>General</c:formatCode>
                  <c:ptCount val="5"/>
                  <c:pt idx="0">
                    <c:v>7.6841932953107997E-2</c:v>
                  </c:pt>
                  <c:pt idx="1">
                    <c:v>0.17227236657828104</c:v>
                  </c:pt>
                  <c:pt idx="2">
                    <c:v>0.93013390068915769</c:v>
                  </c:pt>
                  <c:pt idx="3">
                    <c:v>0.15242072536183338</c:v>
                  </c:pt>
                  <c:pt idx="4">
                    <c:v>0.67742408937400955</c:v>
                  </c:pt>
                </c:numCache>
              </c:numRef>
            </c:plus>
            <c:minus>
              <c:numRef>
                <c:f>'Figure S5A'!$J$4:$N$4</c:f>
                <c:numCache>
                  <c:formatCode>General</c:formatCode>
                  <c:ptCount val="5"/>
                  <c:pt idx="0">
                    <c:v>7.6841932953107997E-2</c:v>
                  </c:pt>
                  <c:pt idx="1">
                    <c:v>0.17227236657828104</c:v>
                  </c:pt>
                  <c:pt idx="2">
                    <c:v>0.93013390068915769</c:v>
                  </c:pt>
                  <c:pt idx="3">
                    <c:v>0.15242072536183338</c:v>
                  </c:pt>
                  <c:pt idx="4">
                    <c:v>0.67742408937400955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S5A'!$J$2:$N$2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'Figure S5A'!$J$3:$N$3</c:f>
              <c:numCache>
                <c:formatCode>General</c:formatCode>
                <c:ptCount val="5"/>
                <c:pt idx="0">
                  <c:v>1</c:v>
                </c:pt>
                <c:pt idx="1">
                  <c:v>1.0496945011043479</c:v>
                </c:pt>
                <c:pt idx="2">
                  <c:v>12.471575800381972</c:v>
                </c:pt>
                <c:pt idx="3">
                  <c:v>1.0814107243576403</c:v>
                </c:pt>
                <c:pt idx="4">
                  <c:v>7.3832316876398076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9E-431F-BFE9-D9E5863BD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224064"/>
        <c:axId val="392225632"/>
      </c:barChart>
      <c:catAx>
        <c:axId val="39222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25632"/>
        <c:crosses val="autoZero"/>
        <c:auto val="1"/>
        <c:lblAlgn val="ctr"/>
        <c:lblOffset val="100"/>
        <c:noMultiLvlLbl val="0"/>
      </c:catAx>
      <c:valAx>
        <c:axId val="39222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24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S8E'!$M$2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S8E'!$M$8:$M$10</c:f>
                <c:numCache>
                  <c:formatCode>General</c:formatCode>
                  <c:ptCount val="3"/>
                  <c:pt idx="0">
                    <c:v>0.15823913878730841</c:v>
                  </c:pt>
                  <c:pt idx="1">
                    <c:v>0.17048520932146449</c:v>
                  </c:pt>
                  <c:pt idx="2">
                    <c:v>0.25072707486759355</c:v>
                  </c:pt>
                </c:numCache>
              </c:numRef>
            </c:plus>
            <c:minus>
              <c:numRef>
                <c:f>'Figure S8E'!$M$8:$M$10</c:f>
                <c:numCache>
                  <c:formatCode>General</c:formatCode>
                  <c:ptCount val="3"/>
                  <c:pt idx="0">
                    <c:v>0.15823913878730841</c:v>
                  </c:pt>
                  <c:pt idx="1">
                    <c:v>0.17048520932146449</c:v>
                  </c:pt>
                  <c:pt idx="2">
                    <c:v>0.25072707486759355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S8E'!$L$3:$L$5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S8E'!$M$3:$M$5</c:f>
              <c:numCache>
                <c:formatCode>General</c:formatCode>
                <c:ptCount val="3"/>
                <c:pt idx="0">
                  <c:v>6.6021303988656417</c:v>
                </c:pt>
                <c:pt idx="1">
                  <c:v>8.3885268867119969</c:v>
                </c:pt>
                <c:pt idx="2">
                  <c:v>8.8963718665153628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3B-425B-8646-3DB9A5DFEC6D}"/>
            </c:ext>
          </c:extLst>
        </c:ser>
        <c:ser>
          <c:idx val="1"/>
          <c:order val="1"/>
          <c:tx>
            <c:strRef>
              <c:f>'Figure S8E'!$N$2</c:f>
              <c:strCache>
                <c:ptCount val="1"/>
                <c:pt idx="0">
                  <c:v>RND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S8E'!$N$8:$N$10</c:f>
                <c:numCache>
                  <c:formatCode>General</c:formatCode>
                  <c:ptCount val="3"/>
                  <c:pt idx="0">
                    <c:v>0.17716702248625535</c:v>
                  </c:pt>
                  <c:pt idx="1">
                    <c:v>0.21858816575584403</c:v>
                  </c:pt>
                  <c:pt idx="2">
                    <c:v>0.18525780971462033</c:v>
                  </c:pt>
                </c:numCache>
              </c:numRef>
            </c:plus>
            <c:minus>
              <c:numRef>
                <c:f>'Figure S8E'!$N$8:$N$10</c:f>
                <c:numCache>
                  <c:formatCode>General</c:formatCode>
                  <c:ptCount val="3"/>
                  <c:pt idx="0">
                    <c:v>0.17716702248625535</c:v>
                  </c:pt>
                  <c:pt idx="1">
                    <c:v>0.21858816575584403</c:v>
                  </c:pt>
                  <c:pt idx="2">
                    <c:v>0.18525780971462033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S8E'!$L$3:$L$5</c:f>
              <c:strCache>
                <c:ptCount val="3"/>
                <c:pt idx="0">
                  <c:v>0dpi</c:v>
                </c:pt>
                <c:pt idx="1">
                  <c:v>3dpi</c:v>
                </c:pt>
                <c:pt idx="2">
                  <c:v>5dpi</c:v>
                </c:pt>
              </c:strCache>
            </c:strRef>
          </c:cat>
          <c:val>
            <c:numRef>
              <c:f>'Figure S8E'!$N$3:$N$5</c:f>
              <c:numCache>
                <c:formatCode>General</c:formatCode>
                <c:ptCount val="3"/>
                <c:pt idx="0">
                  <c:v>6.4680381416961312</c:v>
                </c:pt>
                <c:pt idx="1">
                  <c:v>8.3233295795171571</c:v>
                </c:pt>
                <c:pt idx="2">
                  <c:v>8.85065406937189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3B-425B-8646-3DB9A5DFE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26632"/>
        <c:axId val="438622320"/>
      </c:barChart>
      <c:catAx>
        <c:axId val="43862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2320"/>
        <c:crosses val="autoZero"/>
        <c:auto val="1"/>
        <c:lblAlgn val="ctr"/>
        <c:lblOffset val="100"/>
        <c:noMultiLvlLbl val="0"/>
      </c:catAx>
      <c:valAx>
        <c:axId val="438622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S9A'!$N$2:$N$6</c:f>
                <c:numCache>
                  <c:formatCode>General</c:formatCode>
                  <c:ptCount val="5"/>
                  <c:pt idx="0">
                    <c:v>9.6433497930446727E-2</c:v>
                  </c:pt>
                  <c:pt idx="1">
                    <c:v>6.2647495783001161E-2</c:v>
                  </c:pt>
                  <c:pt idx="2">
                    <c:v>0.11812323029846458</c:v>
                  </c:pt>
                  <c:pt idx="3">
                    <c:v>4.9083496085192795E-2</c:v>
                  </c:pt>
                  <c:pt idx="4">
                    <c:v>0.13145420654794815</c:v>
                  </c:pt>
                </c:numCache>
              </c:numRef>
            </c:plus>
            <c:minus>
              <c:numRef>
                <c:f>'Figure S9A'!$N$2:$N$6</c:f>
                <c:numCache>
                  <c:formatCode>General</c:formatCode>
                  <c:ptCount val="5"/>
                  <c:pt idx="0">
                    <c:v>9.6433497930446727E-2</c:v>
                  </c:pt>
                  <c:pt idx="1">
                    <c:v>6.2647495783001161E-2</c:v>
                  </c:pt>
                  <c:pt idx="2">
                    <c:v>0.11812323029846458</c:v>
                  </c:pt>
                  <c:pt idx="3">
                    <c:v>4.9083496085192795E-2</c:v>
                  </c:pt>
                  <c:pt idx="4">
                    <c:v>0.13145420654794815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S9A'!$L$2:$L$6</c:f>
              <c:strCache>
                <c:ptCount val="5"/>
                <c:pt idx="0">
                  <c:v>0time</c:v>
                </c:pt>
                <c:pt idx="1">
                  <c:v>Cont.</c:v>
                </c:pt>
                <c:pt idx="2">
                  <c:v>WT</c:v>
                </c:pt>
                <c:pt idx="3">
                  <c:v>cmaA</c:v>
                </c:pt>
                <c:pt idx="4">
                  <c:v>NB35</c:v>
                </c:pt>
              </c:strCache>
            </c:strRef>
          </c:cat>
          <c:val>
            <c:numRef>
              <c:f>'Figure S9A'!$M$2:$M$6</c:f>
              <c:numCache>
                <c:formatCode>General</c:formatCode>
                <c:ptCount val="5"/>
                <c:pt idx="0">
                  <c:v>1</c:v>
                </c:pt>
                <c:pt idx="1">
                  <c:v>0.46392819403697372</c:v>
                </c:pt>
                <c:pt idx="2">
                  <c:v>1.8325676499597796</c:v>
                </c:pt>
                <c:pt idx="3">
                  <c:v>0.90121949365169196</c:v>
                </c:pt>
                <c:pt idx="4">
                  <c:v>2.7243175258196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2-44AB-A9AD-8C6C317D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23888"/>
        <c:axId val="438624280"/>
      </c:barChart>
      <c:catAx>
        <c:axId val="43862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4280"/>
        <c:crosses val="autoZero"/>
        <c:auto val="1"/>
        <c:lblAlgn val="ctr"/>
        <c:lblOffset val="100"/>
        <c:noMultiLvlLbl val="0"/>
      </c:catAx>
      <c:valAx>
        <c:axId val="43862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S9B'!$M$2:$M$6</c:f>
                <c:numCache>
                  <c:formatCode>General</c:formatCode>
                  <c:ptCount val="5"/>
                  <c:pt idx="0">
                    <c:v>6.1853048037675135E-2</c:v>
                  </c:pt>
                  <c:pt idx="1">
                    <c:v>5.2482841679059811E-2</c:v>
                  </c:pt>
                  <c:pt idx="2">
                    <c:v>3.1894236741569125E-2</c:v>
                  </c:pt>
                  <c:pt idx="3">
                    <c:v>3.1924704429700024E-2</c:v>
                  </c:pt>
                  <c:pt idx="4">
                    <c:v>3.625855115896142E-2</c:v>
                  </c:pt>
                </c:numCache>
              </c:numRef>
            </c:plus>
            <c:minus>
              <c:numRef>
                <c:f>'Figure S9B'!$M$2:$M$6</c:f>
                <c:numCache>
                  <c:formatCode>General</c:formatCode>
                  <c:ptCount val="5"/>
                  <c:pt idx="0">
                    <c:v>6.1853048037675135E-2</c:v>
                  </c:pt>
                  <c:pt idx="1">
                    <c:v>5.2482841679059811E-2</c:v>
                  </c:pt>
                  <c:pt idx="2">
                    <c:v>3.1894236741569125E-2</c:v>
                  </c:pt>
                  <c:pt idx="3">
                    <c:v>3.1924704429700024E-2</c:v>
                  </c:pt>
                  <c:pt idx="4">
                    <c:v>3.625855115896142E-2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S9B'!$K$2:$K$6</c:f>
              <c:strCache>
                <c:ptCount val="5"/>
                <c:pt idx="0">
                  <c:v>0time</c:v>
                </c:pt>
                <c:pt idx="1">
                  <c:v>Cont.</c:v>
                </c:pt>
                <c:pt idx="2">
                  <c:v>WT</c:v>
                </c:pt>
                <c:pt idx="3">
                  <c:v>cmaA</c:v>
                </c:pt>
                <c:pt idx="4">
                  <c:v>NB35</c:v>
                </c:pt>
              </c:strCache>
            </c:strRef>
          </c:cat>
          <c:val>
            <c:numRef>
              <c:f>'Figure S9B'!$L$2:$L$6</c:f>
              <c:numCache>
                <c:formatCode>General</c:formatCode>
                <c:ptCount val="5"/>
                <c:pt idx="0">
                  <c:v>1</c:v>
                </c:pt>
                <c:pt idx="1">
                  <c:v>1.3732470523604829</c:v>
                </c:pt>
                <c:pt idx="2">
                  <c:v>1.3519804485317664</c:v>
                </c:pt>
                <c:pt idx="3">
                  <c:v>1.9086996406295538</c:v>
                </c:pt>
                <c:pt idx="4">
                  <c:v>1.4546544858838195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E-40B9-9B23-9D9CF7C7F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27024"/>
        <c:axId val="438625456"/>
      </c:barChart>
      <c:catAx>
        <c:axId val="43862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5456"/>
        <c:crosses val="autoZero"/>
        <c:auto val="1"/>
        <c:lblAlgn val="ctr"/>
        <c:lblOffset val="100"/>
        <c:noMultiLvlLbl val="0"/>
      </c:catAx>
      <c:valAx>
        <c:axId val="43862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S9C'!$M$2:$M$6</c:f>
                <c:numCache>
                  <c:formatCode>General</c:formatCode>
                  <c:ptCount val="5"/>
                  <c:pt idx="0">
                    <c:v>0.19116409166516204</c:v>
                  </c:pt>
                  <c:pt idx="1">
                    <c:v>0.74218064981138643</c:v>
                  </c:pt>
                  <c:pt idx="2">
                    <c:v>32.884742082732124</c:v>
                  </c:pt>
                  <c:pt idx="3">
                    <c:v>32.182985073846886</c:v>
                  </c:pt>
                  <c:pt idx="4">
                    <c:v>128.2759081666411</c:v>
                  </c:pt>
                </c:numCache>
              </c:numRef>
            </c:plus>
            <c:minus>
              <c:numRef>
                <c:f>'Figure S9C'!$M$2:$M$6</c:f>
                <c:numCache>
                  <c:formatCode>General</c:formatCode>
                  <c:ptCount val="5"/>
                  <c:pt idx="0">
                    <c:v>0.19116409166516204</c:v>
                  </c:pt>
                  <c:pt idx="1">
                    <c:v>0.74218064981138643</c:v>
                  </c:pt>
                  <c:pt idx="2">
                    <c:v>32.884742082732124</c:v>
                  </c:pt>
                  <c:pt idx="3">
                    <c:v>32.182985073846886</c:v>
                  </c:pt>
                  <c:pt idx="4">
                    <c:v>128.2759081666411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S9C'!$K$2:$K$6</c:f>
              <c:strCache>
                <c:ptCount val="5"/>
                <c:pt idx="0">
                  <c:v>0time</c:v>
                </c:pt>
                <c:pt idx="1">
                  <c:v>Cont.</c:v>
                </c:pt>
                <c:pt idx="2">
                  <c:v>WT</c:v>
                </c:pt>
                <c:pt idx="3">
                  <c:v>cmaA</c:v>
                </c:pt>
                <c:pt idx="4">
                  <c:v>NB35</c:v>
                </c:pt>
              </c:strCache>
            </c:strRef>
          </c:cat>
          <c:val>
            <c:numRef>
              <c:f>'Figure S9C'!$L$2:$L$6</c:f>
              <c:numCache>
                <c:formatCode>General</c:formatCode>
                <c:ptCount val="5"/>
                <c:pt idx="0">
                  <c:v>1</c:v>
                </c:pt>
                <c:pt idx="1">
                  <c:v>11.197370930897689</c:v>
                </c:pt>
                <c:pt idx="2">
                  <c:v>152.68304633029572</c:v>
                </c:pt>
                <c:pt idx="3">
                  <c:v>108.05548583565947</c:v>
                </c:pt>
                <c:pt idx="4">
                  <c:v>871.32705501843839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69-40B3-AD26-D26706A4C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626240"/>
        <c:axId val="438627416"/>
      </c:barChart>
      <c:catAx>
        <c:axId val="43862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7416"/>
        <c:crosses val="autoZero"/>
        <c:auto val="1"/>
        <c:lblAlgn val="ctr"/>
        <c:lblOffset val="100"/>
        <c:noMultiLvlLbl val="0"/>
      </c:catAx>
      <c:valAx>
        <c:axId val="438627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S9F'!$M$2:$M$6</c:f>
                <c:numCache>
                  <c:formatCode>General</c:formatCode>
                  <c:ptCount val="5"/>
                  <c:pt idx="0">
                    <c:v>3.6879987732345888E-2</c:v>
                  </c:pt>
                  <c:pt idx="1">
                    <c:v>7.2047372071703366</c:v>
                  </c:pt>
                  <c:pt idx="2">
                    <c:v>85.012972313251353</c:v>
                  </c:pt>
                  <c:pt idx="3">
                    <c:v>21.545411920487389</c:v>
                  </c:pt>
                  <c:pt idx="4">
                    <c:v>131.47930232206042</c:v>
                  </c:pt>
                </c:numCache>
              </c:numRef>
            </c:plus>
            <c:minus>
              <c:numRef>
                <c:f>'Figure S9F'!$M$2:$M$6</c:f>
                <c:numCache>
                  <c:formatCode>General</c:formatCode>
                  <c:ptCount val="5"/>
                  <c:pt idx="0">
                    <c:v>3.6879987732345888E-2</c:v>
                  </c:pt>
                  <c:pt idx="1">
                    <c:v>7.2047372071703366</c:v>
                  </c:pt>
                  <c:pt idx="2">
                    <c:v>85.012972313251353</c:v>
                  </c:pt>
                  <c:pt idx="3">
                    <c:v>21.545411920487389</c:v>
                  </c:pt>
                  <c:pt idx="4">
                    <c:v>131.47930232206042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S9F'!$K$2:$K$6</c:f>
              <c:strCache>
                <c:ptCount val="5"/>
                <c:pt idx="0">
                  <c:v>0time</c:v>
                </c:pt>
                <c:pt idx="1">
                  <c:v>Cont.</c:v>
                </c:pt>
                <c:pt idx="2">
                  <c:v>WT</c:v>
                </c:pt>
                <c:pt idx="3">
                  <c:v>cmaA</c:v>
                </c:pt>
                <c:pt idx="4">
                  <c:v>NB35</c:v>
                </c:pt>
              </c:strCache>
            </c:strRef>
          </c:cat>
          <c:val>
            <c:numRef>
              <c:f>'Figure S9F'!$L$2:$L$6</c:f>
              <c:numCache>
                <c:formatCode>General</c:formatCode>
                <c:ptCount val="5"/>
                <c:pt idx="0">
                  <c:v>1</c:v>
                </c:pt>
                <c:pt idx="1">
                  <c:v>55.718772581907778</c:v>
                </c:pt>
                <c:pt idx="2">
                  <c:v>839.87900493324446</c:v>
                </c:pt>
                <c:pt idx="3">
                  <c:v>210.41672470628129</c:v>
                </c:pt>
                <c:pt idx="4">
                  <c:v>1588.9087435596721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4B-436A-80A1-7144EEB4C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65976"/>
        <c:axId val="438964800"/>
      </c:barChart>
      <c:catAx>
        <c:axId val="43896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4800"/>
        <c:crosses val="autoZero"/>
        <c:auto val="1"/>
        <c:lblAlgn val="ctr"/>
        <c:lblOffset val="100"/>
        <c:noMultiLvlLbl val="0"/>
      </c:catAx>
      <c:valAx>
        <c:axId val="43896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5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'Supplementary Figure S10'!$I$2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S10'!$I$9:$I$12</c:f>
                <c:numCache>
                  <c:formatCode>General</c:formatCode>
                  <c:ptCount val="4"/>
                  <c:pt idx="0">
                    <c:v>2.239559108396114E-2</c:v>
                  </c:pt>
                  <c:pt idx="1">
                    <c:v>2.2500000000000062E-2</c:v>
                  </c:pt>
                  <c:pt idx="2">
                    <c:v>8.7034475927646071E-2</c:v>
                  </c:pt>
                  <c:pt idx="3">
                    <c:v>0.20716338157760028</c:v>
                  </c:pt>
                </c:numCache>
              </c:numRef>
            </c:plus>
            <c:minus>
              <c:numRef>
                <c:f>'Supplementary Figure S10'!$I$9:$I$12</c:f>
                <c:numCache>
                  <c:formatCode>General</c:formatCode>
                  <c:ptCount val="4"/>
                  <c:pt idx="0">
                    <c:v>2.239559108396114E-2</c:v>
                  </c:pt>
                  <c:pt idx="1">
                    <c:v>2.2500000000000062E-2</c:v>
                  </c:pt>
                  <c:pt idx="2">
                    <c:v>8.7034475927646071E-2</c:v>
                  </c:pt>
                  <c:pt idx="3">
                    <c:v>0.20716338157760028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S10'!$H$3:$H$6</c:f>
              <c:strCache>
                <c:ptCount val="4"/>
                <c:pt idx="0">
                  <c:v>6h</c:v>
                </c:pt>
                <c:pt idx="1">
                  <c:v>9h</c:v>
                </c:pt>
                <c:pt idx="2">
                  <c:v>12h</c:v>
                </c:pt>
                <c:pt idx="3">
                  <c:v>24h</c:v>
                </c:pt>
              </c:strCache>
            </c:strRef>
          </c:cat>
          <c:val>
            <c:numRef>
              <c:f>'Supplementary Figure S10'!$I$3:$I$6</c:f>
              <c:numCache>
                <c:formatCode>General</c:formatCode>
                <c:ptCount val="4"/>
                <c:pt idx="0">
                  <c:v>0.75875000000000004</c:v>
                </c:pt>
                <c:pt idx="1">
                  <c:v>1.0874999999999999</c:v>
                </c:pt>
                <c:pt idx="2">
                  <c:v>1.635</c:v>
                </c:pt>
                <c:pt idx="3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9A-42DB-BE0F-691C4AEE886D}"/>
            </c:ext>
          </c:extLst>
        </c:ser>
        <c:ser>
          <c:idx val="1"/>
          <c:order val="1"/>
          <c:tx>
            <c:strRef>
              <c:f>'Supplementary Figure S10'!$J$2</c:f>
              <c:strCache>
                <c:ptCount val="1"/>
                <c:pt idx="0">
                  <c:v>RND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S10'!$J$9:$J$12</c:f>
                <c:numCache>
                  <c:formatCode>General</c:formatCode>
                  <c:ptCount val="4"/>
                  <c:pt idx="0">
                    <c:v>1.4630874888399523E-2</c:v>
                  </c:pt>
                  <c:pt idx="1">
                    <c:v>2.2499999999999964E-2</c:v>
                  </c:pt>
                  <c:pt idx="2">
                    <c:v>7.9372539331937733E-2</c:v>
                  </c:pt>
                  <c:pt idx="3">
                    <c:v>0.27566208178371798</c:v>
                  </c:pt>
                </c:numCache>
              </c:numRef>
            </c:plus>
            <c:minus>
              <c:numRef>
                <c:f>'Supplementary Figure S10'!$J$9:$J$12</c:f>
                <c:numCache>
                  <c:formatCode>General</c:formatCode>
                  <c:ptCount val="4"/>
                  <c:pt idx="0">
                    <c:v>1.4630874888399523E-2</c:v>
                  </c:pt>
                  <c:pt idx="1">
                    <c:v>2.2499999999999964E-2</c:v>
                  </c:pt>
                  <c:pt idx="2">
                    <c:v>7.9372539331937733E-2</c:v>
                  </c:pt>
                  <c:pt idx="3">
                    <c:v>0.27566208178371798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S10'!$H$3:$H$6</c:f>
              <c:strCache>
                <c:ptCount val="4"/>
                <c:pt idx="0">
                  <c:v>6h</c:v>
                </c:pt>
                <c:pt idx="1">
                  <c:v>9h</c:v>
                </c:pt>
                <c:pt idx="2">
                  <c:v>12h</c:v>
                </c:pt>
                <c:pt idx="3">
                  <c:v>24h</c:v>
                </c:pt>
              </c:strCache>
            </c:strRef>
          </c:cat>
          <c:val>
            <c:numRef>
              <c:f>'Supplementary Figure S10'!$J$3:$J$6</c:f>
              <c:numCache>
                <c:formatCode>General</c:formatCode>
                <c:ptCount val="4"/>
                <c:pt idx="0">
                  <c:v>0.51124999999999998</c:v>
                </c:pt>
                <c:pt idx="1">
                  <c:v>0.90749999999999997</c:v>
                </c:pt>
                <c:pt idx="2">
                  <c:v>1.4400000000000002</c:v>
                </c:pt>
                <c:pt idx="3">
                  <c:v>2.3125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9A-42DB-BE0F-691C4AEE8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59704"/>
        <c:axId val="438965192"/>
      </c:barChart>
      <c:catAx>
        <c:axId val="438959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5192"/>
        <c:crosses val="autoZero"/>
        <c:auto val="1"/>
        <c:lblAlgn val="ctr"/>
        <c:lblOffset val="100"/>
        <c:noMultiLvlLbl val="0"/>
      </c:catAx>
      <c:valAx>
        <c:axId val="43896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59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S11A'!$K$4:$O$4</c:f>
                <c:numCache>
                  <c:formatCode>General</c:formatCode>
                  <c:ptCount val="5"/>
                  <c:pt idx="0">
                    <c:v>0.12006673948004089</c:v>
                  </c:pt>
                  <c:pt idx="1">
                    <c:v>0.11054175530564342</c:v>
                  </c:pt>
                  <c:pt idx="2">
                    <c:v>7.323029185206378E-3</c:v>
                  </c:pt>
                  <c:pt idx="3">
                    <c:v>3.2914668509501623E-2</c:v>
                  </c:pt>
                  <c:pt idx="4">
                    <c:v>4.9666726730278714E-3</c:v>
                  </c:pt>
                </c:numCache>
              </c:numRef>
            </c:plus>
            <c:minus>
              <c:numRef>
                <c:f>'Supplementary Figure S11A'!$K$4:$O$4</c:f>
                <c:numCache>
                  <c:formatCode>General</c:formatCode>
                  <c:ptCount val="5"/>
                  <c:pt idx="0">
                    <c:v>0.12006673948004089</c:v>
                  </c:pt>
                  <c:pt idx="1">
                    <c:v>0.11054175530564342</c:v>
                  </c:pt>
                  <c:pt idx="2">
                    <c:v>7.323029185206378E-3</c:v>
                  </c:pt>
                  <c:pt idx="3">
                    <c:v>3.2914668509501623E-2</c:v>
                  </c:pt>
                  <c:pt idx="4">
                    <c:v>4.9666726730278714E-3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S11A'!$K$2:$O$2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'Supplementary Figure S11A'!$K$3:$O$3</c:f>
              <c:numCache>
                <c:formatCode>General</c:formatCode>
                <c:ptCount val="5"/>
                <c:pt idx="0">
                  <c:v>1</c:v>
                </c:pt>
                <c:pt idx="1">
                  <c:v>0.89931769521811133</c:v>
                </c:pt>
                <c:pt idx="2">
                  <c:v>0.10239933769597204</c:v>
                </c:pt>
                <c:pt idx="3">
                  <c:v>0.9530500094535963</c:v>
                </c:pt>
                <c:pt idx="4">
                  <c:v>1.2730099442069638E-2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65-46BC-B285-4E6074B98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66760"/>
        <c:axId val="438960096"/>
      </c:barChart>
      <c:catAx>
        <c:axId val="43896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0096"/>
        <c:crosses val="autoZero"/>
        <c:auto val="1"/>
        <c:lblAlgn val="ctr"/>
        <c:lblOffset val="100"/>
        <c:noMultiLvlLbl val="0"/>
      </c:catAx>
      <c:valAx>
        <c:axId val="4389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6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S12B'!$K$4:$O$4</c:f>
                <c:numCache>
                  <c:formatCode>General</c:formatCode>
                  <c:ptCount val="5"/>
                  <c:pt idx="0">
                    <c:v>0.16368492888084099</c:v>
                  </c:pt>
                  <c:pt idx="1">
                    <c:v>0.13608328225437769</c:v>
                  </c:pt>
                  <c:pt idx="2">
                    <c:v>6.1915790467535689E-2</c:v>
                  </c:pt>
                  <c:pt idx="3">
                    <c:v>8.7323734721672652E-2</c:v>
                  </c:pt>
                  <c:pt idx="4">
                    <c:v>3.443077031638176E-2</c:v>
                  </c:pt>
                </c:numCache>
              </c:numRef>
            </c:plus>
            <c:minus>
              <c:numRef>
                <c:f>'Supplementary Figure S12B'!$K$4:$O$4</c:f>
                <c:numCache>
                  <c:formatCode>General</c:formatCode>
                  <c:ptCount val="5"/>
                  <c:pt idx="0">
                    <c:v>0.16368492888084099</c:v>
                  </c:pt>
                  <c:pt idx="1">
                    <c:v>0.13608328225437769</c:v>
                  </c:pt>
                  <c:pt idx="2">
                    <c:v>6.1915790467535689E-2</c:v>
                  </c:pt>
                  <c:pt idx="3">
                    <c:v>8.7323734721672652E-2</c:v>
                  </c:pt>
                  <c:pt idx="4">
                    <c:v>3.443077031638176E-2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S12B'!$K$2:$O$2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'Supplementary Figure S12B'!$K$3:$O$3</c:f>
              <c:numCache>
                <c:formatCode>General</c:formatCode>
                <c:ptCount val="5"/>
                <c:pt idx="0">
                  <c:v>1.0000000000000002</c:v>
                </c:pt>
                <c:pt idx="1">
                  <c:v>1.0112628465414726</c:v>
                </c:pt>
                <c:pt idx="2">
                  <c:v>0.64020055802557452</c:v>
                </c:pt>
                <c:pt idx="3">
                  <c:v>0.93670520120021261</c:v>
                </c:pt>
                <c:pt idx="4">
                  <c:v>0.21921605103937422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2A-4DBC-B665-8CD54243E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60488"/>
        <c:axId val="438960880"/>
      </c:barChart>
      <c:catAx>
        <c:axId val="438960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0880"/>
        <c:crosses val="autoZero"/>
        <c:auto val="1"/>
        <c:lblAlgn val="ctr"/>
        <c:lblOffset val="100"/>
        <c:noMultiLvlLbl val="0"/>
      </c:catAx>
      <c:valAx>
        <c:axId val="43896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0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S12C'!$K$4:$O$4</c:f>
                <c:numCache>
                  <c:formatCode>General</c:formatCode>
                  <c:ptCount val="5"/>
                  <c:pt idx="0">
                    <c:v>0.19668494381102039</c:v>
                  </c:pt>
                  <c:pt idx="1">
                    <c:v>0.12432455192470329</c:v>
                  </c:pt>
                  <c:pt idx="2">
                    <c:v>2.4043616519311473E-2</c:v>
                  </c:pt>
                  <c:pt idx="3">
                    <c:v>9.3077653285694756E-2</c:v>
                  </c:pt>
                  <c:pt idx="4">
                    <c:v>5.1063796473412616E-2</c:v>
                  </c:pt>
                </c:numCache>
              </c:numRef>
            </c:plus>
            <c:minus>
              <c:numRef>
                <c:f>'Supplementary Figure S12C'!$K$4:$O$4</c:f>
                <c:numCache>
                  <c:formatCode>General</c:formatCode>
                  <c:ptCount val="5"/>
                  <c:pt idx="0">
                    <c:v>0.19668494381102039</c:v>
                  </c:pt>
                  <c:pt idx="1">
                    <c:v>0.12432455192470329</c:v>
                  </c:pt>
                  <c:pt idx="2">
                    <c:v>2.4043616519311473E-2</c:v>
                  </c:pt>
                  <c:pt idx="3">
                    <c:v>9.3077653285694756E-2</c:v>
                  </c:pt>
                  <c:pt idx="4">
                    <c:v>5.1063796473412616E-2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S12C'!$K$2:$O$2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'Supplementary Figure S12C'!$K$3:$O$3</c:f>
              <c:numCache>
                <c:formatCode>General</c:formatCode>
                <c:ptCount val="5"/>
                <c:pt idx="0">
                  <c:v>1</c:v>
                </c:pt>
                <c:pt idx="1">
                  <c:v>0.9214253945208174</c:v>
                </c:pt>
                <c:pt idx="2">
                  <c:v>0.8363468110631751</c:v>
                </c:pt>
                <c:pt idx="3">
                  <c:v>1.289541657812211</c:v>
                </c:pt>
                <c:pt idx="4">
                  <c:v>0.57743529122621562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73-48C9-91F0-30F8D8692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61664"/>
        <c:axId val="438964016"/>
      </c:barChart>
      <c:catAx>
        <c:axId val="43896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4016"/>
        <c:crosses val="autoZero"/>
        <c:auto val="1"/>
        <c:lblAlgn val="ctr"/>
        <c:lblOffset val="100"/>
        <c:noMultiLvlLbl val="0"/>
      </c:catAx>
      <c:valAx>
        <c:axId val="43896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CYP81F2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S12D'!$J$4:$N$4</c:f>
                <c:numCache>
                  <c:formatCode>General</c:formatCode>
                  <c:ptCount val="5"/>
                  <c:pt idx="0">
                    <c:v>0.1922065206479448</c:v>
                  </c:pt>
                  <c:pt idx="1">
                    <c:v>9.6653384849816573E-2</c:v>
                  </c:pt>
                  <c:pt idx="2">
                    <c:v>8.2686750648074661</c:v>
                  </c:pt>
                  <c:pt idx="3">
                    <c:v>0.33190493888917599</c:v>
                  </c:pt>
                  <c:pt idx="4">
                    <c:v>116.58709414026279</c:v>
                  </c:pt>
                </c:numCache>
              </c:numRef>
            </c:plus>
            <c:minus>
              <c:numRef>
                <c:f>'Supplementary Figure S12D'!$J$4:$N$4</c:f>
                <c:numCache>
                  <c:formatCode>General</c:formatCode>
                  <c:ptCount val="5"/>
                  <c:pt idx="0">
                    <c:v>0.1922065206479448</c:v>
                  </c:pt>
                  <c:pt idx="1">
                    <c:v>9.6653384849816573E-2</c:v>
                  </c:pt>
                  <c:pt idx="2">
                    <c:v>8.2686750648074661</c:v>
                  </c:pt>
                  <c:pt idx="3">
                    <c:v>0.33190493888917599</c:v>
                  </c:pt>
                  <c:pt idx="4">
                    <c:v>116.58709414026279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S12D'!$J$2:$N$2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'Supplementary Figure S12D'!$J$3:$N$3</c:f>
              <c:numCache>
                <c:formatCode>General</c:formatCode>
                <c:ptCount val="5"/>
                <c:pt idx="0">
                  <c:v>0.99999999999999989</c:v>
                </c:pt>
                <c:pt idx="1">
                  <c:v>1.0320621782071715</c:v>
                </c:pt>
                <c:pt idx="2">
                  <c:v>54.110087652866611</c:v>
                </c:pt>
                <c:pt idx="3">
                  <c:v>1.1703946875583342</c:v>
                </c:pt>
                <c:pt idx="4">
                  <c:v>580.73318283540596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1-4AD5-8196-D0A0057F8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62448"/>
        <c:axId val="438963232"/>
      </c:barChart>
      <c:catAx>
        <c:axId val="43896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3232"/>
        <c:crosses val="autoZero"/>
        <c:auto val="1"/>
        <c:lblAlgn val="ctr"/>
        <c:lblOffset val="100"/>
        <c:noMultiLvlLbl val="0"/>
      </c:catAx>
      <c:valAx>
        <c:axId val="43896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2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BABG.a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S6B'!$J$4:$N$4</c:f>
                <c:numCache>
                  <c:formatCode>General</c:formatCode>
                  <c:ptCount val="5"/>
                  <c:pt idx="0">
                    <c:v>0.14803138197779062</c:v>
                  </c:pt>
                  <c:pt idx="1">
                    <c:v>1.6789752658332942E-2</c:v>
                  </c:pt>
                  <c:pt idx="2">
                    <c:v>6.1513628733598696E-2</c:v>
                  </c:pt>
                  <c:pt idx="3">
                    <c:v>0.11321521582619261</c:v>
                  </c:pt>
                  <c:pt idx="4">
                    <c:v>5.9961926414558414E-2</c:v>
                  </c:pt>
                </c:numCache>
              </c:numRef>
            </c:plus>
            <c:minus>
              <c:numRef>
                <c:f>'Figure S6B'!$J$4:$N$4</c:f>
                <c:numCache>
                  <c:formatCode>General</c:formatCode>
                  <c:ptCount val="5"/>
                  <c:pt idx="0">
                    <c:v>0.14803138197779062</c:v>
                  </c:pt>
                  <c:pt idx="1">
                    <c:v>1.6789752658332942E-2</c:v>
                  </c:pt>
                  <c:pt idx="2">
                    <c:v>6.1513628733598696E-2</c:v>
                  </c:pt>
                  <c:pt idx="3">
                    <c:v>0.11321521582619261</c:v>
                  </c:pt>
                  <c:pt idx="4">
                    <c:v>5.9961926414558414E-2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S6B'!$J$2:$N$2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'Figure S6B'!$J$3:$N$3</c:f>
              <c:numCache>
                <c:formatCode>General</c:formatCode>
                <c:ptCount val="5"/>
                <c:pt idx="0">
                  <c:v>0.99999999999999978</c:v>
                </c:pt>
                <c:pt idx="1">
                  <c:v>0.88854640022257936</c:v>
                </c:pt>
                <c:pt idx="2">
                  <c:v>0.67113041161637965</c:v>
                </c:pt>
                <c:pt idx="3">
                  <c:v>1.0622920327866323</c:v>
                </c:pt>
                <c:pt idx="4">
                  <c:v>0.70127985876983778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E-4F0D-8D62-D69B493EE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226024"/>
        <c:axId val="392226416"/>
      </c:barChart>
      <c:catAx>
        <c:axId val="392226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26416"/>
        <c:crosses val="autoZero"/>
        <c:auto val="1"/>
        <c:lblAlgn val="ctr"/>
        <c:lblOffset val="100"/>
        <c:noMultiLvlLbl val="0"/>
      </c:catAx>
      <c:valAx>
        <c:axId val="39222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26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CYP81F4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S12E'!$J$4:$N$4</c:f>
                <c:numCache>
                  <c:formatCode>General</c:formatCode>
                  <c:ptCount val="5"/>
                  <c:pt idx="0">
                    <c:v>0.51633517392246742</c:v>
                  </c:pt>
                  <c:pt idx="1">
                    <c:v>0.70571273624551445</c:v>
                  </c:pt>
                  <c:pt idx="2">
                    <c:v>52.989927753585128</c:v>
                  </c:pt>
                  <c:pt idx="3">
                    <c:v>4.5425336364015807E-2</c:v>
                  </c:pt>
                  <c:pt idx="4">
                    <c:v>230.51001202856077</c:v>
                  </c:pt>
                </c:numCache>
              </c:numRef>
            </c:plus>
            <c:minus>
              <c:numRef>
                <c:f>'Supplementary Figure S12E'!$J$4:$N$4</c:f>
                <c:numCache>
                  <c:formatCode>General</c:formatCode>
                  <c:ptCount val="5"/>
                  <c:pt idx="0">
                    <c:v>0.51633517392246742</c:v>
                  </c:pt>
                  <c:pt idx="1">
                    <c:v>0.70571273624551445</c:v>
                  </c:pt>
                  <c:pt idx="2">
                    <c:v>52.989927753585128</c:v>
                  </c:pt>
                  <c:pt idx="3">
                    <c:v>4.5425336364015807E-2</c:v>
                  </c:pt>
                  <c:pt idx="4">
                    <c:v>230.51001202856077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S12E'!$J$2:$N$2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'Supplementary Figure S12E'!$J$3:$N$3</c:f>
              <c:numCache>
                <c:formatCode>General</c:formatCode>
                <c:ptCount val="5"/>
                <c:pt idx="0">
                  <c:v>0.99999999999999989</c:v>
                </c:pt>
                <c:pt idx="1">
                  <c:v>1.1678268884916709</c:v>
                </c:pt>
                <c:pt idx="2">
                  <c:v>1508.8591172868937</c:v>
                </c:pt>
                <c:pt idx="3">
                  <c:v>0.37607223655533267</c:v>
                </c:pt>
                <c:pt idx="4">
                  <c:v>1708.6571691843349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C-457B-AA57-7A2FCC741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63624"/>
        <c:axId val="392226808"/>
      </c:barChart>
      <c:catAx>
        <c:axId val="438963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26808"/>
        <c:crosses val="autoZero"/>
        <c:auto val="1"/>
        <c:lblAlgn val="ctr"/>
        <c:lblOffset val="100"/>
        <c:noMultiLvlLbl val="0"/>
      </c:catAx>
      <c:valAx>
        <c:axId val="392226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63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'Supplementary Figure S13'!$O$2:$O$4</c:f>
                <c:numCache>
                  <c:formatCode>General</c:formatCode>
                  <c:ptCount val="3"/>
                  <c:pt idx="0">
                    <c:v>7.1086751260787617E-2</c:v>
                  </c:pt>
                  <c:pt idx="1">
                    <c:v>8.011071843678981E-2</c:v>
                  </c:pt>
                  <c:pt idx="2">
                    <c:v>8.5202901037754547E-2</c:v>
                  </c:pt>
                </c:numCache>
              </c:numRef>
            </c:plus>
            <c:minus>
              <c:numRef>
                <c:f>'Supplementary Figure S13'!$O$2:$O$4</c:f>
                <c:numCache>
                  <c:formatCode>General</c:formatCode>
                  <c:ptCount val="3"/>
                  <c:pt idx="0">
                    <c:v>7.1086751260787617E-2</c:v>
                  </c:pt>
                  <c:pt idx="1">
                    <c:v>8.011071843678981E-2</c:v>
                  </c:pt>
                  <c:pt idx="2">
                    <c:v>8.5202901037754547E-2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Figure S13'!$M$2:$M$4</c:f>
              <c:strCache>
                <c:ptCount val="3"/>
                <c:pt idx="0">
                  <c:v>WT</c:v>
                </c:pt>
                <c:pt idx="1">
                  <c:v>TTSS</c:v>
                </c:pt>
                <c:pt idx="2">
                  <c:v>cmaA</c:v>
                </c:pt>
              </c:strCache>
            </c:strRef>
          </c:cat>
          <c:val>
            <c:numRef>
              <c:f>'Supplementary Figure S13'!$N$2:$N$4</c:f>
              <c:numCache>
                <c:formatCode>General</c:formatCode>
                <c:ptCount val="3"/>
                <c:pt idx="0">
                  <c:v>5.7112233268036645</c:v>
                </c:pt>
                <c:pt idx="1">
                  <c:v>5.6358535404534251</c:v>
                </c:pt>
                <c:pt idx="2">
                  <c:v>5.6698774960013738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DA-47AC-8394-F478435E2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9788128"/>
        <c:axId val="439788520"/>
      </c:barChart>
      <c:catAx>
        <c:axId val="4397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788520"/>
        <c:crosses val="autoZero"/>
        <c:auto val="1"/>
        <c:lblAlgn val="ctr"/>
        <c:lblOffset val="100"/>
        <c:noMultiLvlLbl val="0"/>
      </c:catAx>
      <c:valAx>
        <c:axId val="4397885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78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BABG.b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S6C'!$J$4:$N$4</c:f>
                <c:numCache>
                  <c:formatCode>General</c:formatCode>
                  <c:ptCount val="5"/>
                  <c:pt idx="0">
                    <c:v>0.14667861187467279</c:v>
                  </c:pt>
                  <c:pt idx="1">
                    <c:v>0.11410642960826547</c:v>
                  </c:pt>
                  <c:pt idx="2">
                    <c:v>6.1193095152507784</c:v>
                  </c:pt>
                  <c:pt idx="3">
                    <c:v>0.23201074642833411</c:v>
                  </c:pt>
                  <c:pt idx="4">
                    <c:v>18.946610243540999</c:v>
                  </c:pt>
                </c:numCache>
              </c:numRef>
            </c:plus>
            <c:minus>
              <c:numRef>
                <c:f>'Figure S6C'!$J$4:$N$4</c:f>
                <c:numCache>
                  <c:formatCode>General</c:formatCode>
                  <c:ptCount val="5"/>
                  <c:pt idx="0">
                    <c:v>0.14667861187467279</c:v>
                  </c:pt>
                  <c:pt idx="1">
                    <c:v>0.11410642960826547</c:v>
                  </c:pt>
                  <c:pt idx="2">
                    <c:v>6.1193095152507784</c:v>
                  </c:pt>
                  <c:pt idx="3">
                    <c:v>0.23201074642833411</c:v>
                  </c:pt>
                  <c:pt idx="4">
                    <c:v>18.946610243540999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S6C'!$J$2:$N$2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'Figure S6C'!$J$3:$N$3</c:f>
              <c:numCache>
                <c:formatCode>General</c:formatCode>
                <c:ptCount val="5"/>
                <c:pt idx="0">
                  <c:v>1</c:v>
                </c:pt>
                <c:pt idx="1">
                  <c:v>1.352892233751597</c:v>
                </c:pt>
                <c:pt idx="2">
                  <c:v>30.135681951664587</c:v>
                </c:pt>
                <c:pt idx="3">
                  <c:v>0.88628665495533876</c:v>
                </c:pt>
                <c:pt idx="4">
                  <c:v>242.78353766965597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4D-4473-A6E6-7414CFD0A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186112"/>
        <c:axId val="394193560"/>
      </c:barChart>
      <c:catAx>
        <c:axId val="39418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93560"/>
        <c:crosses val="autoZero"/>
        <c:auto val="1"/>
        <c:lblAlgn val="ctr"/>
        <c:lblOffset val="100"/>
        <c:noMultiLvlLbl val="0"/>
      </c:catAx>
      <c:valAx>
        <c:axId val="39419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DTCMT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S6D'!$J$4:$N$4</c:f>
                <c:numCache>
                  <c:formatCode>General</c:formatCode>
                  <c:ptCount val="5"/>
                  <c:pt idx="0">
                    <c:v>0.29113088057902703</c:v>
                  </c:pt>
                  <c:pt idx="1">
                    <c:v>0.13881360707377424</c:v>
                  </c:pt>
                  <c:pt idx="2">
                    <c:v>10.333772234280701</c:v>
                  </c:pt>
                  <c:pt idx="3">
                    <c:v>0.51503893522742783</c:v>
                  </c:pt>
                  <c:pt idx="4">
                    <c:v>18.739243758282527</c:v>
                  </c:pt>
                </c:numCache>
              </c:numRef>
            </c:plus>
            <c:minus>
              <c:numRef>
                <c:f>'Figure S6D'!$J$4:$N$4</c:f>
                <c:numCache>
                  <c:formatCode>General</c:formatCode>
                  <c:ptCount val="5"/>
                  <c:pt idx="0">
                    <c:v>0.29113088057902703</c:v>
                  </c:pt>
                  <c:pt idx="1">
                    <c:v>0.13881360707377424</c:v>
                  </c:pt>
                  <c:pt idx="2">
                    <c:v>10.333772234280701</c:v>
                  </c:pt>
                  <c:pt idx="3">
                    <c:v>0.51503893522742783</c:v>
                  </c:pt>
                  <c:pt idx="4">
                    <c:v>18.739243758282527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S6D'!$J$2:$N$2</c:f>
              <c:strCache>
                <c:ptCount val="5"/>
                <c:pt idx="0">
                  <c:v>0time</c:v>
                </c:pt>
                <c:pt idx="1">
                  <c:v>Cont.24h</c:v>
                </c:pt>
                <c:pt idx="2">
                  <c:v>WT.24h</c:v>
                </c:pt>
                <c:pt idx="3">
                  <c:v>Cont.48h</c:v>
                </c:pt>
                <c:pt idx="4">
                  <c:v>WT.48h</c:v>
                </c:pt>
              </c:strCache>
            </c:strRef>
          </c:cat>
          <c:val>
            <c:numRef>
              <c:f>'Figure S6D'!$J$3:$N$3</c:f>
              <c:numCache>
                <c:formatCode>General</c:formatCode>
                <c:ptCount val="5"/>
                <c:pt idx="0">
                  <c:v>1</c:v>
                </c:pt>
                <c:pt idx="1">
                  <c:v>1.0212483567706379</c:v>
                </c:pt>
                <c:pt idx="2">
                  <c:v>104.17260867209207</c:v>
                </c:pt>
                <c:pt idx="3">
                  <c:v>1.0423743979690256</c:v>
                </c:pt>
                <c:pt idx="4">
                  <c:v>182.74881202335186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70-4171-A2D5-2183262A3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192776"/>
        <c:axId val="394188856"/>
      </c:barChart>
      <c:catAx>
        <c:axId val="394192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8856"/>
        <c:crosses val="autoZero"/>
        <c:auto val="1"/>
        <c:lblAlgn val="ctr"/>
        <c:lblOffset val="100"/>
        <c:noMultiLvlLbl val="0"/>
      </c:catAx>
      <c:valAx>
        <c:axId val="39418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92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ja-JP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[1]WTcmaA!$H$16:$H$18</c:f>
              <c:numCache>
                <c:formatCode>General</c:formatCode>
                <c:ptCount val="3"/>
                <c:pt idx="0">
                  <c:v>0</c:v>
                </c:pt>
                <c:pt idx="1">
                  <c:v>166.66666666666666</c:v>
                </c:pt>
                <c:pt idx="2">
                  <c:v>1666.6666666666667</c:v>
                </c:pt>
              </c:numCache>
            </c:numRef>
          </c:xVal>
          <c:yVal>
            <c:numRef>
              <c:f>[1]WTcmaA!$I$16:$I$18</c:f>
              <c:numCache>
                <c:formatCode>General</c:formatCode>
                <c:ptCount val="3"/>
                <c:pt idx="0">
                  <c:v>0</c:v>
                </c:pt>
                <c:pt idx="1">
                  <c:v>179</c:v>
                </c:pt>
                <c:pt idx="2">
                  <c:v>3478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FC-49D9-9963-4AB17FFF6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187288"/>
        <c:axId val="394188072"/>
      </c:scatterChart>
      <c:valAx>
        <c:axId val="39418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8072"/>
        <c:crosses val="autoZero"/>
        <c:crossBetween val="midCat"/>
      </c:valAx>
      <c:valAx>
        <c:axId val="394188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7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brassinin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S6E'!$L$16:$M$16</c:f>
                <c:numCache>
                  <c:formatCode>General</c:formatCode>
                  <c:ptCount val="2"/>
                  <c:pt idx="1">
                    <c:v>2.0563078300505184</c:v>
                  </c:pt>
                </c:numCache>
              </c:numRef>
            </c:plus>
            <c:minus>
              <c:numRef>
                <c:f>'Figure S6E'!$L$16:$M$16</c:f>
                <c:numCache>
                  <c:formatCode>General</c:formatCode>
                  <c:ptCount val="2"/>
                  <c:pt idx="1">
                    <c:v>2.0563078300505184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S6E'!$L$14:$M$14</c:f>
              <c:strCache>
                <c:ptCount val="2"/>
                <c:pt idx="0">
                  <c:v>Cont.</c:v>
                </c:pt>
                <c:pt idx="1">
                  <c:v>48hpi</c:v>
                </c:pt>
              </c:strCache>
            </c:strRef>
          </c:cat>
          <c:val>
            <c:numRef>
              <c:f>'Figure S6E'!$L$15:$M$15</c:f>
              <c:numCache>
                <c:formatCode>General</c:formatCode>
                <c:ptCount val="2"/>
                <c:pt idx="0">
                  <c:v>0</c:v>
                </c:pt>
                <c:pt idx="1">
                  <c:v>77.445293191624998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4C-4351-9FC2-B3C23F2CD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192384"/>
        <c:axId val="394189248"/>
      </c:barChart>
      <c:catAx>
        <c:axId val="39419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9248"/>
        <c:crosses val="autoZero"/>
        <c:auto val="1"/>
        <c:lblAlgn val="ctr"/>
        <c:lblOffset val="100"/>
        <c:noMultiLvlLbl val="0"/>
      </c:catAx>
      <c:valAx>
        <c:axId val="39418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9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S6F'!$F$4:$G$4</c:f>
                <c:numCache>
                  <c:formatCode>General</c:formatCode>
                  <c:ptCount val="2"/>
                  <c:pt idx="0">
                    <c:v>0.10461569884316807</c:v>
                  </c:pt>
                  <c:pt idx="1">
                    <c:v>1.4529663145135577E-2</c:v>
                  </c:pt>
                </c:numCache>
              </c:numRef>
            </c:plus>
            <c:minus>
              <c:numRef>
                <c:f>'Figure S6F'!$F$4:$G$4</c:f>
                <c:numCache>
                  <c:formatCode>General</c:formatCode>
                  <c:ptCount val="2"/>
                  <c:pt idx="0">
                    <c:v>0.10461569884316807</c:v>
                  </c:pt>
                  <c:pt idx="1">
                    <c:v>1.4529663145135577E-2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S6F'!$F$2:$G$2</c:f>
              <c:strCache>
                <c:ptCount val="2"/>
                <c:pt idx="0">
                  <c:v>DMSO</c:v>
                </c:pt>
                <c:pt idx="1">
                  <c:v>Brassinin</c:v>
                </c:pt>
              </c:strCache>
            </c:strRef>
          </c:cat>
          <c:val>
            <c:numRef>
              <c:f>'Figure S6F'!$F$3:$G$3</c:f>
              <c:numCache>
                <c:formatCode>General</c:formatCode>
                <c:ptCount val="2"/>
                <c:pt idx="0">
                  <c:v>1.4166666666666667</c:v>
                </c:pt>
                <c:pt idx="1">
                  <c:v>0.29333333333333339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A5-4B05-9919-C080BA6D2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191208"/>
        <c:axId val="394186896"/>
      </c:barChart>
      <c:catAx>
        <c:axId val="394191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6896"/>
        <c:crosses val="autoZero"/>
        <c:auto val="1"/>
        <c:lblAlgn val="ctr"/>
        <c:lblOffset val="100"/>
        <c:noMultiLvlLbl val="0"/>
      </c:catAx>
      <c:valAx>
        <c:axId val="39418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91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S7A'!$G$5:$H$5</c:f>
                <c:numCache>
                  <c:formatCode>General</c:formatCode>
                  <c:ptCount val="2"/>
                  <c:pt idx="0">
                    <c:v>1.8987341772151889E-2</c:v>
                  </c:pt>
                  <c:pt idx="1">
                    <c:v>1.818181818181816E-2</c:v>
                  </c:pt>
                </c:numCache>
              </c:numRef>
            </c:plus>
            <c:minus>
              <c:numRef>
                <c:f>'Figure S7A'!$G$5:$H$5</c:f>
                <c:numCache>
                  <c:formatCode>General</c:formatCode>
                  <c:ptCount val="2"/>
                  <c:pt idx="0">
                    <c:v>1.8987341772151889E-2</c:v>
                  </c:pt>
                  <c:pt idx="1">
                    <c:v>1.818181818181816E-2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S7A'!$G$3:$H$3</c:f>
              <c:strCache>
                <c:ptCount val="2"/>
                <c:pt idx="0">
                  <c:v>WT</c:v>
                </c:pt>
                <c:pt idx="1">
                  <c:v>RND</c:v>
                </c:pt>
              </c:strCache>
            </c:strRef>
          </c:cat>
          <c:val>
            <c:numRef>
              <c:f>'Figure S7A'!$G$4:$H$4</c:f>
              <c:numCache>
                <c:formatCode>General</c:formatCode>
                <c:ptCount val="2"/>
                <c:pt idx="0">
                  <c:v>58.860759493670891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4-4411-9755-4E5F3E3E6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188464"/>
        <c:axId val="394189640"/>
      </c:barChart>
      <c:catAx>
        <c:axId val="3941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9640"/>
        <c:crosses val="autoZero"/>
        <c:auto val="1"/>
        <c:lblAlgn val="ctr"/>
        <c:lblOffset val="100"/>
        <c:noMultiLvlLbl val="0"/>
      </c:catAx>
      <c:valAx>
        <c:axId val="39418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88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229305</xdr:colOff>
      <xdr:row>0</xdr:row>
      <xdr:rowOff>113007</xdr:rowOff>
    </xdr:from>
    <xdr:to>
      <xdr:col>20</xdr:col>
      <xdr:colOff>529167</xdr:colOff>
      <xdr:row>10</xdr:row>
      <xdr:rowOff>211667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1CDA470-2086-F241-B62E-EAF4900B5F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747712</xdr:colOff>
      <xdr:row>5</xdr:row>
      <xdr:rowOff>214312</xdr:rowOff>
    </xdr:from>
    <xdr:to>
      <xdr:col>16</xdr:col>
      <xdr:colOff>747712</xdr:colOff>
      <xdr:row>16</xdr:row>
      <xdr:rowOff>233362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D2A53E3-38C1-4177-A959-761FA344E4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500062</xdr:colOff>
      <xdr:row>6</xdr:row>
      <xdr:rowOff>185737</xdr:rowOff>
    </xdr:from>
    <xdr:to>
      <xdr:col>11</xdr:col>
      <xdr:colOff>500062</xdr:colOff>
      <xdr:row>17</xdr:row>
      <xdr:rowOff>204787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4F8C112-FCF8-4556-BA90-C75C05A609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347662</xdr:colOff>
      <xdr:row>5</xdr:row>
      <xdr:rowOff>128587</xdr:rowOff>
    </xdr:from>
    <xdr:to>
      <xdr:col>11</xdr:col>
      <xdr:colOff>347662</xdr:colOff>
      <xdr:row>16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1A8876B-6B12-4B0D-88EA-7F5C4812E7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</xdr:colOff>
      <xdr:row>6</xdr:row>
      <xdr:rowOff>147637</xdr:rowOff>
    </xdr:from>
    <xdr:to>
      <xdr:col>11</xdr:col>
      <xdr:colOff>80962</xdr:colOff>
      <xdr:row>17</xdr:row>
      <xdr:rowOff>166687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C9AB1A-45AA-47A7-B015-28D2A7BB3F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</xdr:colOff>
      <xdr:row>6</xdr:row>
      <xdr:rowOff>242887</xdr:rowOff>
    </xdr:from>
    <xdr:to>
      <xdr:col>11</xdr:col>
      <xdr:colOff>23812</xdr:colOff>
      <xdr:row>18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AF3F5D8-B5BD-461D-844E-06F5543F70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242887</xdr:colOff>
      <xdr:row>10</xdr:row>
      <xdr:rowOff>185737</xdr:rowOff>
    </xdr:from>
    <xdr:to>
      <xdr:col>17</xdr:col>
      <xdr:colOff>242887</xdr:colOff>
      <xdr:row>22</xdr:row>
      <xdr:rowOff>71437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8AE8994-A12E-4092-B36F-58C5E1A2F6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414337</xdr:colOff>
      <xdr:row>10</xdr:row>
      <xdr:rowOff>176212</xdr:rowOff>
    </xdr:from>
    <xdr:to>
      <xdr:col>17</xdr:col>
      <xdr:colOff>414337</xdr:colOff>
      <xdr:row>22</xdr:row>
      <xdr:rowOff>61912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EE2A2C9-1865-485D-9AD4-CDA2A2408C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604837</xdr:colOff>
      <xdr:row>15</xdr:row>
      <xdr:rowOff>42862</xdr:rowOff>
    </xdr:from>
    <xdr:to>
      <xdr:col>18</xdr:col>
      <xdr:colOff>604837</xdr:colOff>
      <xdr:row>26</xdr:row>
      <xdr:rowOff>166687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9548B6B-922F-4801-A043-9E7FA3468C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190500</xdr:colOff>
      <xdr:row>11</xdr:row>
      <xdr:rowOff>57150</xdr:rowOff>
    </xdr:from>
    <xdr:to>
      <xdr:col>16</xdr:col>
      <xdr:colOff>609600</xdr:colOff>
      <xdr:row>21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90E73A8-C2EA-4771-A601-5552CDE059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11</xdr:row>
      <xdr:rowOff>4762</xdr:rowOff>
    </xdr:from>
    <xdr:to>
      <xdr:col>17</xdr:col>
      <xdr:colOff>66675</xdr:colOff>
      <xdr:row>22</xdr:row>
      <xdr:rowOff>23812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BE7D6FC-FFD1-46F5-AC02-F44F046C5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642937</xdr:colOff>
      <xdr:row>5</xdr:row>
      <xdr:rowOff>71437</xdr:rowOff>
    </xdr:from>
    <xdr:to>
      <xdr:col>14</xdr:col>
      <xdr:colOff>642937</xdr:colOff>
      <xdr:row>16</xdr:row>
      <xdr:rowOff>90487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109F45-F3C0-4769-BF14-C8677EF609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485775</xdr:colOff>
      <xdr:row>7</xdr:row>
      <xdr:rowOff>66675</xdr:rowOff>
    </xdr:from>
    <xdr:to>
      <xdr:col>14</xdr:col>
      <xdr:colOff>714375</xdr:colOff>
      <xdr:row>17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9750C1-5C7E-D19D-72CC-6293F79E8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719137</xdr:colOff>
      <xdr:row>13</xdr:row>
      <xdr:rowOff>19050</xdr:rowOff>
    </xdr:from>
    <xdr:to>
      <xdr:col>15</xdr:col>
      <xdr:colOff>128587</xdr:colOff>
      <xdr:row>24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8F92FE1-86E6-7F3B-4B8C-C6D197DBF1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576262</xdr:colOff>
      <xdr:row>13</xdr:row>
      <xdr:rowOff>114300</xdr:rowOff>
    </xdr:from>
    <xdr:to>
      <xdr:col>14</xdr:col>
      <xdr:colOff>1338262</xdr:colOff>
      <xdr:row>24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C01DDF-7720-1E55-11E2-BDA9E8D09C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471487</xdr:colOff>
      <xdr:row>13</xdr:row>
      <xdr:rowOff>19050</xdr:rowOff>
    </xdr:from>
    <xdr:to>
      <xdr:col>14</xdr:col>
      <xdr:colOff>1233487</xdr:colOff>
      <xdr:row>24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A3A95E6-CA48-5643-F076-1DB72F063D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604837</xdr:colOff>
      <xdr:row>2</xdr:row>
      <xdr:rowOff>4762</xdr:rowOff>
    </xdr:from>
    <xdr:to>
      <xdr:col>17</xdr:col>
      <xdr:colOff>376237</xdr:colOff>
      <xdr:row>13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692D2D-AE6E-48E2-BBBA-7BF35A173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5</xdr:row>
      <xdr:rowOff>109537</xdr:rowOff>
    </xdr:from>
    <xdr:to>
      <xdr:col>15</xdr:col>
      <xdr:colOff>333375</xdr:colOff>
      <xdr:row>15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34C7FA4-E7BD-D421-B89F-1B76781827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4</xdr:row>
      <xdr:rowOff>166687</xdr:rowOff>
    </xdr:from>
    <xdr:to>
      <xdr:col>15</xdr:col>
      <xdr:colOff>419100</xdr:colOff>
      <xdr:row>15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B50518C-206A-8DF9-2490-2365419970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519112</xdr:colOff>
      <xdr:row>5</xdr:row>
      <xdr:rowOff>52387</xdr:rowOff>
    </xdr:from>
    <xdr:to>
      <xdr:col>15</xdr:col>
      <xdr:colOff>133350</xdr:colOff>
      <xdr:row>15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CD7C5A-1AE0-9633-D36C-348FC1727F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347662</xdr:colOff>
      <xdr:row>5</xdr:row>
      <xdr:rowOff>100012</xdr:rowOff>
    </xdr:from>
    <xdr:to>
      <xdr:col>14</xdr:col>
      <xdr:colOff>347662</xdr:colOff>
      <xdr:row>16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2DFB10-1448-47E5-BB50-BE7CD4781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300037</xdr:colOff>
      <xdr:row>4</xdr:row>
      <xdr:rowOff>204787</xdr:rowOff>
    </xdr:from>
    <xdr:to>
      <xdr:col>14</xdr:col>
      <xdr:colOff>300037</xdr:colOff>
      <xdr:row>15</xdr:row>
      <xdr:rowOff>223837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5091E59-FB13-4FE8-B23C-1C5C73E3AE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4</xdr:row>
      <xdr:rowOff>171450</xdr:rowOff>
    </xdr:from>
    <xdr:to>
      <xdr:col>14</xdr:col>
      <xdr:colOff>571500</xdr:colOff>
      <xdr:row>15</xdr:row>
      <xdr:rowOff>190500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14E4DE1-72AC-429C-A542-5B9BA0CF4B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557212</xdr:colOff>
      <xdr:row>5</xdr:row>
      <xdr:rowOff>123825</xdr:rowOff>
    </xdr:from>
    <xdr:to>
      <xdr:col>18</xdr:col>
      <xdr:colOff>328612</xdr:colOff>
      <xdr:row>17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C281C3-A766-26B1-4769-D1BB826A8A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219075</xdr:rowOff>
    </xdr:from>
    <xdr:to>
      <xdr:col>14</xdr:col>
      <xdr:colOff>600075</xdr:colOff>
      <xdr:row>15</xdr:row>
      <xdr:rowOff>238125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F5D4DF-AFED-442B-B31A-1A8B9A57E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5</xdr:row>
      <xdr:rowOff>76200</xdr:rowOff>
    </xdr:from>
    <xdr:to>
      <xdr:col>14</xdr:col>
      <xdr:colOff>533400</xdr:colOff>
      <xdr:row>16</xdr:row>
      <xdr:rowOff>95250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8D7D6BA-FC71-4531-8F6C-5ACD06B9F9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0</xdr:row>
      <xdr:rowOff>228600</xdr:rowOff>
    </xdr:from>
    <xdr:to>
      <xdr:col>7</xdr:col>
      <xdr:colOff>247650</xdr:colOff>
      <xdr:row>11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9164895-80F6-495F-B2F7-AB8599E5D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17</xdr:row>
      <xdr:rowOff>57150</xdr:rowOff>
    </xdr:from>
    <xdr:to>
      <xdr:col>16</xdr:col>
      <xdr:colOff>57150</xdr:colOff>
      <xdr:row>28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585E8BE-A833-4C3E-8610-54D08BA3FB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214312</xdr:rowOff>
    </xdr:from>
    <xdr:to>
      <xdr:col>10</xdr:col>
      <xdr:colOff>657225</xdr:colOff>
      <xdr:row>15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3A2FFA-1396-4C85-827A-9B9CA8619A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1</xdr:row>
      <xdr:rowOff>109537</xdr:rowOff>
    </xdr:from>
    <xdr:to>
      <xdr:col>14</xdr:col>
      <xdr:colOff>333375</xdr:colOff>
      <xdr:row>12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52DA213-1992-4AF9-AB5A-AC2357CD7E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661987</xdr:colOff>
      <xdr:row>6</xdr:row>
      <xdr:rowOff>23812</xdr:rowOff>
    </xdr:from>
    <xdr:to>
      <xdr:col>14</xdr:col>
      <xdr:colOff>661987</xdr:colOff>
      <xdr:row>17</xdr:row>
      <xdr:rowOff>42862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83F642-AF21-49C2-932B-6EA2D02E16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4e2b82acf3d4d6c6/Documents/stay%20home/pump/Result/LCMS/LCMS_202105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cmaA"/>
      <sheetName val="ASM"/>
    </sheetNames>
    <sheetDataSet>
      <sheetData sheetId="0">
        <row r="16">
          <cell r="H16">
            <v>0</v>
          </cell>
          <cell r="I16">
            <v>0</v>
          </cell>
        </row>
        <row r="17">
          <cell r="H17">
            <v>166.66666666666666</v>
          </cell>
          <cell r="I17">
            <v>179</v>
          </cell>
        </row>
        <row r="18">
          <cell r="H18">
            <v>1666.6666666666667</v>
          </cell>
          <cell r="I18">
            <v>3478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zoomScale="108" zoomScaleNormal="108" workbookViewId="0">
      <selection activeCell="M22" sqref="M22"/>
    </sheetView>
  </sheetViews>
  <sheetFormatPr defaultColWidth="7.5703125" defaultRowHeight="14.6"/>
  <cols>
    <col min="1" max="4" width="7.5703125" style="1"/>
    <col min="5" max="5" width="8.5703125" style="1" bestFit="1" customWidth="1"/>
    <col min="6" max="12" width="7.5703125" style="1"/>
    <col min="13" max="13" width="17.640625" style="1" customWidth="1"/>
    <col min="14" max="16384" width="7.5703125" style="1"/>
  </cols>
  <sheetData>
    <row r="1" spans="1:1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1" t="s">
        <v>8</v>
      </c>
    </row>
    <row r="2" spans="1:15">
      <c r="A2" s="1" t="s">
        <v>9</v>
      </c>
      <c r="B2" s="1" t="s">
        <v>10</v>
      </c>
      <c r="C2" s="1">
        <v>0.51</v>
      </c>
      <c r="D2" s="1">
        <v>11</v>
      </c>
      <c r="E2" s="1">
        <v>250000</v>
      </c>
      <c r="F2" s="1">
        <f>D2*E2</f>
        <v>2750000</v>
      </c>
      <c r="G2" s="1">
        <f>(F2/C2)</f>
        <v>5392156.8627450978</v>
      </c>
      <c r="H2" s="1">
        <f>LOG10(G2)</f>
        <v>6.7317625177323261</v>
      </c>
      <c r="I2" s="1">
        <f>AVERAGE(H2:H5)</f>
        <v>6.368149062817694</v>
      </c>
      <c r="J2" s="1">
        <f>STDEV(H2:H5)/SQRT(COUNT(H2:H5))</f>
        <v>0.33369882726332506</v>
      </c>
      <c r="N2" s="1" t="s">
        <v>10</v>
      </c>
      <c r="O2" s="10" t="s">
        <v>47</v>
      </c>
    </row>
    <row r="3" spans="1:15">
      <c r="C3" s="1">
        <v>0.52</v>
      </c>
      <c r="D3" s="1">
        <v>43</v>
      </c>
      <c r="E3" s="1">
        <v>25000</v>
      </c>
      <c r="F3" s="1">
        <f t="shared" ref="F3:F9" si="0">D3*E3</f>
        <v>1075000</v>
      </c>
      <c r="G3" s="1">
        <f t="shared" ref="G3:G9" si="1">(F3/C3)</f>
        <v>2067307.6923076923</v>
      </c>
      <c r="H3" s="1">
        <f t="shared" ref="H3:H9" si="2">LOG10(G3)</f>
        <v>6.3154051206168251</v>
      </c>
      <c r="M3" s="5" t="s">
        <v>9</v>
      </c>
      <c r="N3" s="1">
        <f>I2</f>
        <v>6.368149062817694</v>
      </c>
      <c r="O3" s="1">
        <f>I6</f>
        <v>6.4800469365182174</v>
      </c>
    </row>
    <row r="4" spans="1:15">
      <c r="C4" s="1">
        <v>0.4</v>
      </c>
      <c r="D4" s="1">
        <v>15</v>
      </c>
      <c r="E4" s="1">
        <v>250000</v>
      </c>
      <c r="F4" s="1">
        <f t="shared" si="0"/>
        <v>3750000</v>
      </c>
      <c r="G4" s="1">
        <f t="shared" si="1"/>
        <v>9375000</v>
      </c>
      <c r="H4" s="1">
        <f t="shared" si="2"/>
        <v>6.9719712763997563</v>
      </c>
      <c r="M4" s="1" t="s">
        <v>12</v>
      </c>
      <c r="N4" s="1">
        <f>I11</f>
        <v>8.5805500079044474</v>
      </c>
      <c r="O4" s="1">
        <f>I19</f>
        <v>6.5389568662628461</v>
      </c>
    </row>
    <row r="5" spans="1:15">
      <c r="C5" s="1">
        <v>0.44</v>
      </c>
      <c r="D5" s="1">
        <v>5</v>
      </c>
      <c r="E5" s="1">
        <v>25000</v>
      </c>
      <c r="F5" s="1">
        <f t="shared" si="0"/>
        <v>125000</v>
      </c>
      <c r="G5" s="1">
        <f t="shared" si="1"/>
        <v>284090.90909090912</v>
      </c>
      <c r="H5" s="1">
        <f t="shared" si="2"/>
        <v>5.4534573365218693</v>
      </c>
      <c r="M5" s="1" t="s">
        <v>13</v>
      </c>
      <c r="N5" s="1">
        <f>I29</f>
        <v>8.2013918150131015</v>
      </c>
      <c r="O5" s="1">
        <f>I37</f>
        <v>7.04464068910384</v>
      </c>
    </row>
    <row r="6" spans="1:15">
      <c r="B6" s="10" t="s">
        <v>47</v>
      </c>
      <c r="C6" s="1">
        <v>0.53</v>
      </c>
      <c r="D6" s="1">
        <v>71</v>
      </c>
      <c r="E6" s="1">
        <v>25000</v>
      </c>
      <c r="F6" s="1">
        <f t="shared" si="0"/>
        <v>1775000</v>
      </c>
      <c r="G6" s="1">
        <f t="shared" si="1"/>
        <v>3349056.6037735846</v>
      </c>
      <c r="H6" s="1">
        <f t="shared" si="2"/>
        <v>6.5249224877903238</v>
      </c>
      <c r="I6" s="1">
        <f>AVERAGE(H6:H9)</f>
        <v>6.4800469365182174</v>
      </c>
      <c r="J6" s="1">
        <f>STDEV(H6:H9)/SQRT(COUNT(H6:H9))</f>
        <v>3.6677432295831633E-2</v>
      </c>
      <c r="K6" s="2">
        <f>TTEST(H2:H5,H6:H9,2,2)</f>
        <v>0.75023342696400697</v>
      </c>
    </row>
    <row r="7" spans="1:15">
      <c r="C7" s="1">
        <v>0.59</v>
      </c>
      <c r="D7" s="1">
        <v>61</v>
      </c>
      <c r="E7" s="1">
        <v>25000</v>
      </c>
      <c r="F7" s="1">
        <f t="shared" si="0"/>
        <v>1525000</v>
      </c>
      <c r="G7" s="1">
        <f t="shared" si="1"/>
        <v>2584745.7627118644</v>
      </c>
      <c r="H7" s="1">
        <f t="shared" si="2"/>
        <v>6.4124178320406608</v>
      </c>
      <c r="N7" s="1" t="s">
        <v>10</v>
      </c>
      <c r="O7" s="10" t="s">
        <v>47</v>
      </c>
    </row>
    <row r="8" spans="1:15">
      <c r="C8" s="1">
        <v>0.5</v>
      </c>
      <c r="D8" s="1">
        <v>53</v>
      </c>
      <c r="E8" s="1">
        <v>25000</v>
      </c>
      <c r="F8" s="1">
        <f t="shared" si="0"/>
        <v>1325000</v>
      </c>
      <c r="G8" s="1">
        <f t="shared" si="1"/>
        <v>2650000</v>
      </c>
      <c r="H8" s="1">
        <f t="shared" si="2"/>
        <v>6.4232458739368079</v>
      </c>
      <c r="M8" s="5" t="s">
        <v>9</v>
      </c>
      <c r="N8" s="1">
        <f>J2</f>
        <v>0.33369882726332506</v>
      </c>
      <c r="O8" s="1">
        <f>J6</f>
        <v>3.6677432295831633E-2</v>
      </c>
    </row>
    <row r="9" spans="1:15">
      <c r="C9" s="1">
        <v>0.51</v>
      </c>
      <c r="D9" s="1">
        <v>74</v>
      </c>
      <c r="E9" s="1">
        <v>25000</v>
      </c>
      <c r="F9" s="1">
        <f t="shared" si="0"/>
        <v>1850000</v>
      </c>
      <c r="G9" s="1">
        <f t="shared" si="1"/>
        <v>3627450.9803921566</v>
      </c>
      <c r="H9" s="1">
        <f t="shared" si="2"/>
        <v>6.559601552305077</v>
      </c>
      <c r="M9" s="1" t="s">
        <v>12</v>
      </c>
      <c r="N9" s="1">
        <f>J11</f>
        <v>0.22599755322447243</v>
      </c>
      <c r="O9" s="1">
        <f>J19</f>
        <v>0.43974058566985846</v>
      </c>
    </row>
    <row r="10" spans="1:15">
      <c r="M10" s="1" t="s">
        <v>13</v>
      </c>
      <c r="N10" s="1">
        <f>J29</f>
        <v>0.15961850083464196</v>
      </c>
      <c r="O10" s="1">
        <f>J37</f>
        <v>0.2800168418135523</v>
      </c>
    </row>
    <row r="11" spans="1:15">
      <c r="A11" s="1" t="s">
        <v>12</v>
      </c>
      <c r="B11" s="1" t="s">
        <v>10</v>
      </c>
      <c r="C11" s="1">
        <v>0.55000000000000004</v>
      </c>
      <c r="D11" s="1">
        <v>71</v>
      </c>
      <c r="E11" s="1">
        <v>25000000</v>
      </c>
      <c r="F11" s="1">
        <f>D11*E11</f>
        <v>1775000000</v>
      </c>
      <c r="G11" s="1">
        <f>(F11/C11)</f>
        <v>3227272727.272727</v>
      </c>
      <c r="H11" s="1">
        <f>LOG10(G11)</f>
        <v>9.5088356678968697</v>
      </c>
      <c r="I11" s="1">
        <f>AVERAGE(H11:H18)</f>
        <v>8.5805500079044474</v>
      </c>
      <c r="J11" s="1">
        <f>STDEV(H11:H18)/SQRT(COUNT(H11:H18))</f>
        <v>0.22599755322447243</v>
      </c>
    </row>
    <row r="12" spans="1:15" ht="15.9">
      <c r="C12" s="1">
        <v>0.43</v>
      </c>
      <c r="D12" s="1">
        <v>27</v>
      </c>
      <c r="E12" s="1">
        <v>2500000</v>
      </c>
      <c r="F12" s="1">
        <f t="shared" ref="F12:F27" si="3">D12*E12</f>
        <v>67500000</v>
      </c>
      <c r="G12" s="1">
        <f t="shared" ref="G12:G27" si="4">(F12/C12)</f>
        <v>156976744.18604651</v>
      </c>
      <c r="H12" s="1">
        <f t="shared" ref="H12:H27" si="5">LOG10(G12)</f>
        <v>8.1958353172514382</v>
      </c>
      <c r="M12" s="33" t="s">
        <v>48</v>
      </c>
      <c r="N12" s="33"/>
    </row>
    <row r="13" spans="1:15" ht="15.9">
      <c r="C13" s="1">
        <v>0.47</v>
      </c>
      <c r="D13" s="1">
        <v>38</v>
      </c>
      <c r="E13" s="1">
        <v>2500000</v>
      </c>
      <c r="F13" s="1">
        <f t="shared" si="3"/>
        <v>95000000</v>
      </c>
      <c r="G13" s="1">
        <f t="shared" si="4"/>
        <v>202127659.57446811</v>
      </c>
      <c r="H13" s="1">
        <f t="shared" si="5"/>
        <v>8.3056257473531296</v>
      </c>
      <c r="M13" t="s">
        <v>49</v>
      </c>
      <c r="N13" t="s">
        <v>50</v>
      </c>
    </row>
    <row r="14" spans="1:15">
      <c r="C14" s="1">
        <v>0.77</v>
      </c>
      <c r="D14" s="1">
        <v>202</v>
      </c>
      <c r="E14" s="1">
        <v>2500000</v>
      </c>
      <c r="F14" s="1">
        <f t="shared" si="3"/>
        <v>505000000</v>
      </c>
      <c r="G14" s="1">
        <f t="shared" si="4"/>
        <v>655844155.84415579</v>
      </c>
      <c r="H14" s="1">
        <f t="shared" si="5"/>
        <v>8.8168006529461795</v>
      </c>
      <c r="M14" s="1" t="s">
        <v>51</v>
      </c>
      <c r="N14" s="1">
        <v>0.6268861</v>
      </c>
    </row>
    <row r="15" spans="1:15">
      <c r="C15" s="1">
        <v>0.5</v>
      </c>
      <c r="D15" s="1">
        <v>11</v>
      </c>
      <c r="E15" s="1">
        <v>2500000</v>
      </c>
      <c r="F15" s="1">
        <f t="shared" si="3"/>
        <v>27500000</v>
      </c>
      <c r="G15" s="1">
        <f t="shared" si="4"/>
        <v>55000000</v>
      </c>
      <c r="H15" s="1">
        <f t="shared" si="5"/>
        <v>7.7403626894942441</v>
      </c>
      <c r="M15" s="1" t="s">
        <v>52</v>
      </c>
      <c r="N15" s="1">
        <v>1.0552999999999999E-3</v>
      </c>
    </row>
    <row r="16" spans="1:15">
      <c r="C16" s="1">
        <v>0.67</v>
      </c>
      <c r="D16" s="1">
        <v>22</v>
      </c>
      <c r="E16" s="1">
        <v>2500000</v>
      </c>
      <c r="F16" s="1">
        <f t="shared" si="3"/>
        <v>55000000</v>
      </c>
      <c r="G16" s="1">
        <f t="shared" si="4"/>
        <v>82089552.238805965</v>
      </c>
      <c r="H16" s="1">
        <f t="shared" si="5"/>
        <v>7.9142878867934172</v>
      </c>
      <c r="M16" s="1" t="s">
        <v>53</v>
      </c>
      <c r="N16" s="1">
        <v>3.1643999999999999E-3</v>
      </c>
    </row>
    <row r="17" spans="1:14">
      <c r="C17" s="1">
        <v>0.76</v>
      </c>
      <c r="D17" s="1">
        <v>24</v>
      </c>
      <c r="E17" s="1">
        <v>25000000</v>
      </c>
      <c r="F17" s="1">
        <f t="shared" si="3"/>
        <v>600000000</v>
      </c>
      <c r="G17" s="1">
        <f t="shared" si="4"/>
        <v>789473684.21052635</v>
      </c>
      <c r="H17" s="1">
        <f t="shared" si="5"/>
        <v>8.8973376581028525</v>
      </c>
      <c r="M17" s="1" t="s">
        <v>54</v>
      </c>
      <c r="N17" s="1">
        <v>1.93172E-2</v>
      </c>
    </row>
    <row r="18" spans="1:14">
      <c r="C18" s="1">
        <v>0.38</v>
      </c>
      <c r="D18" s="1">
        <v>28</v>
      </c>
      <c r="E18" s="1">
        <v>25000000</v>
      </c>
      <c r="F18" s="1">
        <f t="shared" si="3"/>
        <v>700000000</v>
      </c>
      <c r="G18" s="1">
        <f t="shared" si="4"/>
        <v>1842105263.1578946</v>
      </c>
      <c r="H18" s="1">
        <f t="shared" si="5"/>
        <v>9.2653144433974468</v>
      </c>
      <c r="M18" s="1" t="s">
        <v>55</v>
      </c>
      <c r="N18" s="1">
        <v>5.5066499999999997E-2</v>
      </c>
    </row>
    <row r="19" spans="1:14">
      <c r="B19" s="10" t="s">
        <v>47</v>
      </c>
      <c r="C19" s="1">
        <v>0.39</v>
      </c>
      <c r="D19" s="1">
        <v>33</v>
      </c>
      <c r="E19" s="1">
        <v>2500000</v>
      </c>
      <c r="F19" s="1">
        <f t="shared" si="3"/>
        <v>82500000</v>
      </c>
      <c r="G19" s="1">
        <f t="shared" si="4"/>
        <v>211538461.53846154</v>
      </c>
      <c r="H19" s="1">
        <f t="shared" si="5"/>
        <v>8.3253893415234259</v>
      </c>
      <c r="I19" s="1">
        <f>AVERAGE(H19:H27)</f>
        <v>6.5389568662628461</v>
      </c>
      <c r="J19" s="1">
        <f>STDEV(H19:H27)/SQRT(COUNT(H19:H27))</f>
        <v>0.43974058566985846</v>
      </c>
      <c r="K19" s="2">
        <f>TTEST(H11:H18,H19:H27,2,2)</f>
        <v>1.2269881077278143E-3</v>
      </c>
      <c r="M19" s="1" t="s">
        <v>56</v>
      </c>
      <c r="N19" s="1">
        <v>0.94941949999999997</v>
      </c>
    </row>
    <row r="20" spans="1:14">
      <c r="C20" s="1">
        <v>0.28999999999999998</v>
      </c>
      <c r="D20" s="1">
        <v>36</v>
      </c>
      <c r="E20" s="1">
        <v>2500000</v>
      </c>
      <c r="F20" s="1">
        <f t="shared" si="3"/>
        <v>90000000</v>
      </c>
      <c r="G20" s="1">
        <f t="shared" si="4"/>
        <v>310344827.58620691</v>
      </c>
      <c r="H20" s="1">
        <f t="shared" si="5"/>
        <v>8.4918445115403696</v>
      </c>
    </row>
    <row r="21" spans="1:14">
      <c r="C21" s="1">
        <v>0.48</v>
      </c>
      <c r="D21" s="1">
        <v>39</v>
      </c>
      <c r="E21" s="1">
        <v>250000</v>
      </c>
      <c r="F21" s="1">
        <f t="shared" si="3"/>
        <v>9750000</v>
      </c>
      <c r="G21" s="1">
        <f t="shared" si="4"/>
        <v>20312500</v>
      </c>
      <c r="H21" s="1">
        <f t="shared" si="5"/>
        <v>7.3077633783229494</v>
      </c>
    </row>
    <row r="22" spans="1:14">
      <c r="C22" s="1">
        <v>0.56000000000000005</v>
      </c>
      <c r="D22" s="1">
        <v>22</v>
      </c>
      <c r="E22" s="1">
        <v>250000</v>
      </c>
      <c r="F22" s="1">
        <f t="shared" si="3"/>
        <v>5500000</v>
      </c>
      <c r="G22" s="1">
        <f t="shared" si="4"/>
        <v>9821428.5714285709</v>
      </c>
      <c r="H22" s="1">
        <f t="shared" si="5"/>
        <v>6.9921746624880434</v>
      </c>
    </row>
    <row r="23" spans="1:14">
      <c r="C23" s="1">
        <v>0.64</v>
      </c>
      <c r="D23" s="1">
        <v>78</v>
      </c>
      <c r="E23" s="1">
        <v>2500</v>
      </c>
      <c r="F23" s="1">
        <f t="shared" si="3"/>
        <v>195000</v>
      </c>
      <c r="G23" s="1">
        <f t="shared" si="4"/>
        <v>304687.5</v>
      </c>
      <c r="H23" s="1">
        <f t="shared" si="5"/>
        <v>5.4838546373786308</v>
      </c>
    </row>
    <row r="24" spans="1:14">
      <c r="C24" s="1">
        <v>0.56000000000000005</v>
      </c>
      <c r="D24" s="1">
        <v>12</v>
      </c>
      <c r="E24" s="1">
        <v>25000</v>
      </c>
      <c r="F24" s="1">
        <f t="shared" si="3"/>
        <v>300000</v>
      </c>
      <c r="G24" s="1">
        <f t="shared" si="4"/>
        <v>535714.28571428568</v>
      </c>
      <c r="H24" s="1">
        <f t="shared" si="5"/>
        <v>5.7289332277134619</v>
      </c>
    </row>
    <row r="25" spans="1:14">
      <c r="C25" s="1">
        <v>0.47</v>
      </c>
      <c r="D25" s="1">
        <v>8</v>
      </c>
      <c r="E25" s="1">
        <v>2500</v>
      </c>
      <c r="F25" s="1">
        <f t="shared" si="3"/>
        <v>20000</v>
      </c>
      <c r="G25" s="1">
        <f t="shared" si="4"/>
        <v>42553.191489361707</v>
      </c>
      <c r="H25" s="1">
        <f t="shared" si="5"/>
        <v>4.6289321377282642</v>
      </c>
    </row>
    <row r="26" spans="1:14">
      <c r="C26" s="1">
        <v>0.46</v>
      </c>
      <c r="D26" s="1">
        <v>16</v>
      </c>
      <c r="E26" s="1">
        <v>25000</v>
      </c>
      <c r="F26" s="1">
        <f t="shared" si="3"/>
        <v>400000</v>
      </c>
      <c r="G26" s="1">
        <f t="shared" si="4"/>
        <v>869565.21739130432</v>
      </c>
      <c r="H26" s="1">
        <f t="shared" si="5"/>
        <v>5.9393021596463882</v>
      </c>
    </row>
    <row r="27" spans="1:14">
      <c r="C27" s="1">
        <v>0.53</v>
      </c>
      <c r="D27" s="1">
        <v>19</v>
      </c>
      <c r="E27" s="1">
        <v>25000</v>
      </c>
      <c r="F27" s="1">
        <f t="shared" si="3"/>
        <v>475000</v>
      </c>
      <c r="G27" s="1">
        <f t="shared" si="4"/>
        <v>896226.41509433952</v>
      </c>
      <c r="H27" s="1">
        <f t="shared" si="5"/>
        <v>5.9524177400240772</v>
      </c>
    </row>
    <row r="29" spans="1:14">
      <c r="A29" s="1" t="s">
        <v>13</v>
      </c>
      <c r="B29" s="1" t="s">
        <v>10</v>
      </c>
      <c r="C29" s="1">
        <v>0.49</v>
      </c>
      <c r="D29" s="1">
        <v>16</v>
      </c>
      <c r="E29" s="1">
        <v>2500000</v>
      </c>
      <c r="F29" s="1">
        <f>D29*E29</f>
        <v>40000000</v>
      </c>
      <c r="G29" s="1">
        <f>(F29/C29)</f>
        <v>81632653.06122449</v>
      </c>
      <c r="H29" s="1">
        <f>LOG10(G29)</f>
        <v>7.9118639112994487</v>
      </c>
      <c r="I29" s="1">
        <f>AVERAGE(H29:H36)</f>
        <v>8.2013918150131015</v>
      </c>
      <c r="J29" s="1">
        <f>STDEV(H29:H36)/SQRT(COUNT(H29:H36))</f>
        <v>0.15961850083464196</v>
      </c>
    </row>
    <row r="30" spans="1:14">
      <c r="C30" s="1">
        <v>0.32</v>
      </c>
      <c r="D30" s="1">
        <v>18</v>
      </c>
      <c r="E30" s="1">
        <v>2500000</v>
      </c>
      <c r="F30" s="1">
        <f t="shared" ref="F30:F36" si="6">D30*E30</f>
        <v>45000000</v>
      </c>
      <c r="G30" s="1">
        <f t="shared" ref="G30:G36" si="7">(F30/C30)</f>
        <v>140625000</v>
      </c>
      <c r="H30" s="1">
        <f t="shared" ref="H30:H36" si="8">LOG10(G30)</f>
        <v>8.1480625354554377</v>
      </c>
    </row>
    <row r="31" spans="1:14">
      <c r="C31" s="1">
        <v>0.28000000000000003</v>
      </c>
      <c r="D31" s="1">
        <v>52</v>
      </c>
      <c r="E31" s="1">
        <v>2500000</v>
      </c>
      <c r="F31" s="1">
        <f t="shared" si="6"/>
        <v>130000000</v>
      </c>
      <c r="G31" s="1">
        <f t="shared" si="7"/>
        <v>464285714.28571427</v>
      </c>
      <c r="H31" s="1">
        <f t="shared" si="8"/>
        <v>8.6667853209646175</v>
      </c>
    </row>
    <row r="32" spans="1:14">
      <c r="C32" s="1">
        <v>0.81</v>
      </c>
      <c r="D32" s="1">
        <v>39</v>
      </c>
      <c r="E32" s="1">
        <v>2500000</v>
      </c>
      <c r="F32" s="1">
        <f t="shared" si="6"/>
        <v>97500000</v>
      </c>
      <c r="G32" s="1">
        <f t="shared" si="7"/>
        <v>120370370.37037036</v>
      </c>
      <c r="H32" s="1">
        <f t="shared" si="8"/>
        <v>8.0805195968198866</v>
      </c>
    </row>
    <row r="33" spans="2:11">
      <c r="C33" s="1">
        <v>0.71</v>
      </c>
      <c r="D33" s="1">
        <v>43</v>
      </c>
      <c r="E33" s="1">
        <v>2500000</v>
      </c>
      <c r="F33" s="1">
        <f t="shared" si="6"/>
        <v>107500000</v>
      </c>
      <c r="G33" s="1">
        <f t="shared" si="7"/>
        <v>151408450.70422536</v>
      </c>
      <c r="H33" s="1">
        <f t="shared" si="8"/>
        <v>8.1801501155325482</v>
      </c>
    </row>
    <row r="34" spans="2:11">
      <c r="C34" s="1">
        <v>0.5</v>
      </c>
      <c r="D34" s="1">
        <v>17</v>
      </c>
      <c r="E34" s="1">
        <v>25000000</v>
      </c>
      <c r="F34" s="1">
        <f t="shared" si="6"/>
        <v>425000000</v>
      </c>
      <c r="G34" s="1">
        <f t="shared" si="7"/>
        <v>850000000</v>
      </c>
      <c r="H34" s="1">
        <f t="shared" si="8"/>
        <v>8.9294189257142929</v>
      </c>
    </row>
    <row r="35" spans="2:11">
      <c r="C35" s="1">
        <v>0.7</v>
      </c>
      <c r="D35" s="1">
        <v>5</v>
      </c>
      <c r="E35" s="1">
        <v>25000000</v>
      </c>
      <c r="F35" s="1">
        <f t="shared" si="6"/>
        <v>125000000</v>
      </c>
      <c r="G35" s="1">
        <f t="shared" si="7"/>
        <v>178571428.5714286</v>
      </c>
      <c r="H35" s="1">
        <f t="shared" si="8"/>
        <v>8.2518119729937993</v>
      </c>
    </row>
    <row r="36" spans="2:11">
      <c r="C36" s="1">
        <v>0.37</v>
      </c>
      <c r="D36" s="1">
        <v>41</v>
      </c>
      <c r="E36" s="1">
        <v>250000</v>
      </c>
      <c r="F36" s="1">
        <f t="shared" si="6"/>
        <v>10250000</v>
      </c>
      <c r="G36" s="1">
        <f t="shared" si="7"/>
        <v>27702702.702702705</v>
      </c>
      <c r="H36" s="1">
        <f t="shared" si="8"/>
        <v>7.442522141324778</v>
      </c>
    </row>
    <row r="37" spans="2:11">
      <c r="B37" s="10" t="s">
        <v>47</v>
      </c>
      <c r="C37" s="1">
        <v>0.32</v>
      </c>
      <c r="D37" s="1">
        <v>54</v>
      </c>
      <c r="E37" s="1">
        <v>250000</v>
      </c>
      <c r="F37" s="1">
        <f t="shared" ref="F37:F45" si="9">D37*E37</f>
        <v>13500000</v>
      </c>
      <c r="G37" s="1">
        <f t="shared" ref="G37:G45" si="10">(F37/C37)</f>
        <v>42187500</v>
      </c>
      <c r="H37" s="1">
        <f t="shared" ref="H37:H45" si="11">LOG10(G37)</f>
        <v>7.6251837901751003</v>
      </c>
      <c r="I37" s="1">
        <f>AVERAGE(H37:H45)</f>
        <v>7.04464068910384</v>
      </c>
      <c r="J37" s="1">
        <f>STDEV(H37:H45)/SQRT(COUNT(H37:H45))</f>
        <v>0.2800168418135523</v>
      </c>
      <c r="K37" s="2">
        <f>TTEST(H29:H36,H37:H45,2,2)</f>
        <v>3.4496833874103137E-3</v>
      </c>
    </row>
    <row r="38" spans="2:11">
      <c r="C38" s="1">
        <v>0.5</v>
      </c>
      <c r="D38" s="1">
        <v>56</v>
      </c>
      <c r="E38" s="1">
        <v>250000</v>
      </c>
      <c r="F38" s="1">
        <f t="shared" si="9"/>
        <v>14000000</v>
      </c>
      <c r="G38" s="1">
        <f t="shared" si="10"/>
        <v>28000000</v>
      </c>
      <c r="H38" s="1">
        <f t="shared" si="11"/>
        <v>7.4471580313422194</v>
      </c>
    </row>
    <row r="39" spans="2:11">
      <c r="C39" s="1">
        <v>0.36</v>
      </c>
      <c r="D39" s="1">
        <v>52</v>
      </c>
      <c r="E39" s="1">
        <v>250000</v>
      </c>
      <c r="F39" s="1">
        <f t="shared" si="9"/>
        <v>13000000</v>
      </c>
      <c r="G39" s="1">
        <f t="shared" si="10"/>
        <v>36111111.111111112</v>
      </c>
      <c r="H39" s="1">
        <f t="shared" si="11"/>
        <v>7.5576408515395492</v>
      </c>
    </row>
    <row r="40" spans="2:11">
      <c r="C40" s="1">
        <v>0.57999999999999996</v>
      </c>
      <c r="D40" s="1">
        <v>5</v>
      </c>
      <c r="E40" s="1">
        <v>25000</v>
      </c>
      <c r="F40" s="1">
        <f t="shared" si="9"/>
        <v>125000</v>
      </c>
      <c r="G40" s="1">
        <f t="shared" si="10"/>
        <v>215517.24137931035</v>
      </c>
      <c r="H40" s="1">
        <f t="shared" si="11"/>
        <v>5.3334820194451193</v>
      </c>
    </row>
    <row r="41" spans="2:11">
      <c r="C41" s="1">
        <v>0.66</v>
      </c>
      <c r="D41" s="1">
        <v>51</v>
      </c>
      <c r="E41" s="1">
        <v>2500000</v>
      </c>
      <c r="F41" s="1">
        <f t="shared" si="9"/>
        <v>127500000</v>
      </c>
      <c r="G41" s="1">
        <f t="shared" si="10"/>
        <v>193181818.18181819</v>
      </c>
      <c r="H41" s="1">
        <f t="shared" si="11"/>
        <v>8.285966249228105</v>
      </c>
    </row>
    <row r="42" spans="2:11">
      <c r="C42" s="1">
        <v>0.68</v>
      </c>
      <c r="D42" s="1">
        <v>20</v>
      </c>
      <c r="E42" s="1">
        <v>250000</v>
      </c>
      <c r="F42" s="1">
        <f t="shared" si="9"/>
        <v>5000000</v>
      </c>
      <c r="G42" s="1">
        <f t="shared" si="10"/>
        <v>7352941.176470588</v>
      </c>
      <c r="H42" s="1">
        <f t="shared" si="11"/>
        <v>6.8664610916297821</v>
      </c>
    </row>
    <row r="43" spans="2:11">
      <c r="C43" s="1">
        <v>0.63</v>
      </c>
      <c r="D43" s="1">
        <v>13</v>
      </c>
      <c r="E43" s="1">
        <v>250000</v>
      </c>
      <c r="F43" s="1">
        <f t="shared" si="9"/>
        <v>3250000</v>
      </c>
      <c r="G43" s="1">
        <f t="shared" si="10"/>
        <v>5158730.1587301586</v>
      </c>
      <c r="H43" s="1">
        <f t="shared" si="11"/>
        <v>6.7125428115252923</v>
      </c>
    </row>
    <row r="44" spans="2:11">
      <c r="C44" s="1">
        <v>0.75</v>
      </c>
      <c r="D44" s="1">
        <v>10</v>
      </c>
      <c r="E44" s="1">
        <v>250000</v>
      </c>
      <c r="F44" s="1">
        <f t="shared" si="9"/>
        <v>2500000</v>
      </c>
      <c r="G44" s="1">
        <f t="shared" si="10"/>
        <v>3333333.3333333335</v>
      </c>
      <c r="H44" s="1">
        <f t="shared" si="11"/>
        <v>6.5228787452803374</v>
      </c>
    </row>
    <row r="45" spans="2:11">
      <c r="C45" s="1">
        <v>0.69</v>
      </c>
      <c r="D45" s="1">
        <v>31</v>
      </c>
      <c r="E45" s="1">
        <v>250000</v>
      </c>
      <c r="F45" s="1">
        <f t="shared" si="9"/>
        <v>7750000</v>
      </c>
      <c r="G45" s="1">
        <f t="shared" si="10"/>
        <v>11231884.057971016</v>
      </c>
      <c r="H45" s="1">
        <f t="shared" si="11"/>
        <v>7.0504526117690549</v>
      </c>
    </row>
  </sheetData>
  <mergeCells count="1">
    <mergeCell ref="M12:N12"/>
  </mergeCells>
  <phoneticPr fontId="9"/>
  <conditionalFormatting sqref="M14:M19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8"/>
  <sheetViews>
    <sheetView workbookViewId="0">
      <selection activeCell="J29" sqref="J29"/>
    </sheetView>
  </sheetViews>
  <sheetFormatPr defaultRowHeight="15.9"/>
  <sheetData>
    <row r="1" spans="1:14">
      <c r="A1" s="8" t="s">
        <v>36</v>
      </c>
      <c r="B1" t="s">
        <v>31</v>
      </c>
      <c r="E1" t="s">
        <v>31</v>
      </c>
      <c r="H1" t="s">
        <v>31</v>
      </c>
    </row>
    <row r="2" spans="1:14">
      <c r="A2" t="s">
        <v>10</v>
      </c>
      <c r="B2">
        <v>2.1</v>
      </c>
      <c r="C2">
        <v>2.6</v>
      </c>
      <c r="D2">
        <v>3</v>
      </c>
      <c r="H2">
        <v>2.2000000000000002</v>
      </c>
      <c r="I2">
        <v>2.6</v>
      </c>
      <c r="J2">
        <v>1.8</v>
      </c>
      <c r="M2" s="33" t="s">
        <v>37</v>
      </c>
      <c r="N2" s="33"/>
    </row>
    <row r="3" spans="1:14">
      <c r="B3">
        <v>2.2000000000000002</v>
      </c>
      <c r="C3">
        <v>3</v>
      </c>
      <c r="D3">
        <v>2.9</v>
      </c>
      <c r="H3">
        <v>2</v>
      </c>
      <c r="I3">
        <v>3</v>
      </c>
      <c r="J3">
        <v>2.1</v>
      </c>
      <c r="L3" t="s">
        <v>41</v>
      </c>
      <c r="M3" t="s">
        <v>18</v>
      </c>
      <c r="N3" t="s">
        <v>35</v>
      </c>
    </row>
    <row r="4" spans="1:14">
      <c r="A4" t="s">
        <v>32</v>
      </c>
      <c r="B4">
        <f>AVERAGE(B2:B3)</f>
        <v>2.1500000000000004</v>
      </c>
      <c r="C4">
        <f t="shared" ref="C4:D4" si="0">AVERAGE(C2:C3)</f>
        <v>2.8</v>
      </c>
      <c r="D4">
        <f t="shared" si="0"/>
        <v>2.95</v>
      </c>
      <c r="E4">
        <v>3.5</v>
      </c>
      <c r="F4">
        <v>6.7</v>
      </c>
      <c r="G4">
        <v>6.5</v>
      </c>
      <c r="H4">
        <f>AVERAGE(H2:H3)</f>
        <v>2.1</v>
      </c>
      <c r="I4">
        <f t="shared" ref="I4:J4" si="1">AVERAGE(I2:I3)</f>
        <v>2.8</v>
      </c>
      <c r="J4">
        <f t="shared" si="1"/>
        <v>1.9500000000000002</v>
      </c>
      <c r="M4">
        <f>J19*100</f>
        <v>88.330453571283002</v>
      </c>
      <c r="N4">
        <f>J26*100</f>
        <v>82.349296921168289</v>
      </c>
    </row>
    <row r="5" spans="1:14">
      <c r="C5" t="s">
        <v>32</v>
      </c>
      <c r="D5">
        <f>AVERAGE(B4:D4)</f>
        <v>2.6333333333333333</v>
      </c>
      <c r="F5" t="s">
        <v>32</v>
      </c>
      <c r="G5">
        <f>AVERAGE(E4:G4)</f>
        <v>5.5666666666666664</v>
      </c>
      <c r="I5" t="s">
        <v>32</v>
      </c>
      <c r="J5">
        <f>AVERAGE(H4:J4)</f>
        <v>2.2833333333333337</v>
      </c>
      <c r="M5">
        <f>J20*100</f>
        <v>7.8121092669496059</v>
      </c>
      <c r="N5">
        <f>J27*100</f>
        <v>3.2370048358266872</v>
      </c>
    </row>
    <row r="6" spans="1:14">
      <c r="C6" t="s">
        <v>7</v>
      </c>
      <c r="D6">
        <f>STDEV(B4:D4)/SQRT(COUNT(B4:D4))</f>
        <v>0.2455153310442699</v>
      </c>
      <c r="F6" t="s">
        <v>7</v>
      </c>
      <c r="G6">
        <f>STDEV(E4:G4)/SQRT(COUNT(E4:G4))</f>
        <v>1.0349449797506691</v>
      </c>
      <c r="I6" t="s">
        <v>7</v>
      </c>
      <c r="J6">
        <f>STDEV(H4:J4)/SQRT(COUNT(H4:J4))</f>
        <v>0.26193722742502867</v>
      </c>
    </row>
    <row r="7" spans="1:14">
      <c r="B7" t="s">
        <v>31</v>
      </c>
    </row>
    <row r="8" spans="1:14">
      <c r="A8" t="s">
        <v>11</v>
      </c>
      <c r="B8">
        <v>2.5</v>
      </c>
      <c r="C8">
        <v>2.5</v>
      </c>
      <c r="D8">
        <v>2.7</v>
      </c>
      <c r="H8">
        <v>0.62</v>
      </c>
      <c r="I8">
        <v>0.6</v>
      </c>
      <c r="J8">
        <v>0.54</v>
      </c>
    </row>
    <row r="9" spans="1:14">
      <c r="B9">
        <v>2.7</v>
      </c>
      <c r="C9">
        <v>3.2</v>
      </c>
      <c r="D9">
        <v>2.9</v>
      </c>
      <c r="H9">
        <v>0.6</v>
      </c>
      <c r="I9">
        <v>0.55000000000000004</v>
      </c>
      <c r="J9">
        <v>0.65</v>
      </c>
    </row>
    <row r="10" spans="1:14">
      <c r="A10" t="s">
        <v>32</v>
      </c>
      <c r="B10">
        <f>AVERAGE(B8:B9)</f>
        <v>2.6</v>
      </c>
      <c r="C10">
        <f t="shared" ref="C10:D10" si="2">AVERAGE(C8:C9)</f>
        <v>2.85</v>
      </c>
      <c r="D10">
        <f t="shared" si="2"/>
        <v>2.8</v>
      </c>
      <c r="E10">
        <v>2.1</v>
      </c>
      <c r="F10">
        <v>1.9</v>
      </c>
      <c r="G10">
        <v>1.8</v>
      </c>
      <c r="H10">
        <f>AVERAGE(H8:H9)</f>
        <v>0.61</v>
      </c>
      <c r="I10">
        <f t="shared" ref="I10:J10" si="3">AVERAGE(I8:I9)</f>
        <v>0.57499999999999996</v>
      </c>
      <c r="J10">
        <f t="shared" si="3"/>
        <v>0.59499999999999997</v>
      </c>
    </row>
    <row r="11" spans="1:14">
      <c r="C11" t="s">
        <v>32</v>
      </c>
      <c r="D11">
        <f>AVERAGE(B10:D10)</f>
        <v>2.75</v>
      </c>
      <c r="F11" t="s">
        <v>32</v>
      </c>
      <c r="G11">
        <f>AVERAGE(E10:G10)</f>
        <v>1.9333333333333333</v>
      </c>
      <c r="I11" t="s">
        <v>32</v>
      </c>
      <c r="J11">
        <f>AVERAGE(H10:J10)</f>
        <v>0.59333333333333338</v>
      </c>
    </row>
    <row r="12" spans="1:14">
      <c r="C12" t="s">
        <v>7</v>
      </c>
      <c r="D12">
        <f>STDEV(B10:D10)/SQRT(COUNT(B10:D10))</f>
        <v>7.6376261582597318E-2</v>
      </c>
      <c r="F12" t="s">
        <v>7</v>
      </c>
      <c r="G12">
        <f>STDEV(E10:G10)/SQRT(COUNT(E10:G10))</f>
        <v>8.8191710368819703E-2</v>
      </c>
      <c r="I12" t="s">
        <v>7</v>
      </c>
      <c r="J12">
        <f>STDEV(H10:J10)/SQRT(COUNT(H10:J10))</f>
        <v>1.0137937550497042E-2</v>
      </c>
    </row>
    <row r="14" spans="1:14">
      <c r="A14" s="8" t="s">
        <v>42</v>
      </c>
      <c r="B14" t="s">
        <v>31</v>
      </c>
    </row>
    <row r="15" spans="1:14">
      <c r="A15" t="s">
        <v>10</v>
      </c>
      <c r="B15">
        <v>2.2000000000000002</v>
      </c>
      <c r="C15">
        <v>2.5</v>
      </c>
      <c r="D15">
        <v>2.5</v>
      </c>
      <c r="H15">
        <v>1.6</v>
      </c>
      <c r="I15">
        <v>1.9</v>
      </c>
      <c r="J15">
        <v>3</v>
      </c>
    </row>
    <row r="16" spans="1:14">
      <c r="B16">
        <v>2.7</v>
      </c>
      <c r="C16">
        <v>3</v>
      </c>
      <c r="D16">
        <v>2.2000000000000002</v>
      </c>
      <c r="H16">
        <v>1.7</v>
      </c>
      <c r="I16">
        <v>1.7</v>
      </c>
      <c r="J16">
        <v>2.4</v>
      </c>
    </row>
    <row r="17" spans="1:10">
      <c r="A17" t="s">
        <v>32</v>
      </c>
      <c r="B17">
        <f>AVERAGE(B15:B16)</f>
        <v>2.4500000000000002</v>
      </c>
      <c r="C17">
        <f t="shared" ref="C17:D17" si="4">AVERAGE(C15:C16)</f>
        <v>2.75</v>
      </c>
      <c r="D17">
        <f t="shared" si="4"/>
        <v>2.35</v>
      </c>
      <c r="E17">
        <v>5.7</v>
      </c>
      <c r="F17">
        <v>5.5</v>
      </c>
      <c r="G17">
        <v>2.1</v>
      </c>
      <c r="H17">
        <f>AVERAGE(H15:H16)</f>
        <v>1.65</v>
      </c>
      <c r="I17">
        <f t="shared" ref="I17:J17" si="5">AVERAGE(I15:I16)</f>
        <v>1.7999999999999998</v>
      </c>
      <c r="J17">
        <f t="shared" si="5"/>
        <v>2.7</v>
      </c>
    </row>
    <row r="18" spans="1:10">
      <c r="A18" t="s">
        <v>33</v>
      </c>
      <c r="B18">
        <f>B17/D5</f>
        <v>0.93037974683544311</v>
      </c>
      <c r="C18">
        <f>C17/D5</f>
        <v>1.0443037974683544</v>
      </c>
      <c r="D18">
        <f>D17/D5</f>
        <v>0.89240506329113933</v>
      </c>
      <c r="E18">
        <f>E17/G5</f>
        <v>1.0239520958083832</v>
      </c>
      <c r="F18">
        <f>F17/G5</f>
        <v>0.9880239520958084</v>
      </c>
      <c r="G18">
        <f>G17/G5</f>
        <v>0.37724550898203596</v>
      </c>
      <c r="H18">
        <f>H17/J5</f>
        <v>0.72262773722627727</v>
      </c>
      <c r="I18">
        <f>I17/J5</f>
        <v>0.78832116788321149</v>
      </c>
      <c r="J18">
        <f>J17/J5</f>
        <v>1.1824817518248174</v>
      </c>
    </row>
    <row r="19" spans="1:10">
      <c r="I19" t="s">
        <v>32</v>
      </c>
      <c r="J19">
        <f>AVERAGE(B18:J18)</f>
        <v>0.88330453571283007</v>
      </c>
    </row>
    <row r="20" spans="1:10">
      <c r="I20" t="s">
        <v>7</v>
      </c>
      <c r="J20">
        <f>STDEV(B18:J18)/SQRT(COUNT(B18:J18))</f>
        <v>7.8121092669496059E-2</v>
      </c>
    </row>
    <row r="21" spans="1:10">
      <c r="B21" t="s">
        <v>31</v>
      </c>
    </row>
    <row r="22" spans="1:10">
      <c r="A22" t="s">
        <v>11</v>
      </c>
      <c r="B22">
        <v>1.8</v>
      </c>
      <c r="C22">
        <v>2</v>
      </c>
      <c r="D22">
        <v>1.7</v>
      </c>
      <c r="H22">
        <v>0.54</v>
      </c>
      <c r="I22">
        <v>0.5</v>
      </c>
      <c r="J22">
        <v>0.55000000000000004</v>
      </c>
    </row>
    <row r="23" spans="1:10">
      <c r="B23">
        <v>1.9</v>
      </c>
      <c r="C23">
        <v>2.2999999999999998</v>
      </c>
      <c r="D23">
        <v>2.1</v>
      </c>
      <c r="H23">
        <v>0.51</v>
      </c>
      <c r="I23">
        <v>0.53</v>
      </c>
      <c r="J23">
        <v>0.55000000000000004</v>
      </c>
    </row>
    <row r="24" spans="1:10">
      <c r="A24" t="s">
        <v>32</v>
      </c>
      <c r="B24">
        <f>AVERAGE(B22:B23)</f>
        <v>1.85</v>
      </c>
      <c r="C24">
        <f t="shared" ref="C24:D24" si="6">AVERAGE(C22:C23)</f>
        <v>2.15</v>
      </c>
      <c r="D24">
        <f t="shared" si="6"/>
        <v>1.9</v>
      </c>
      <c r="E24">
        <v>1.7</v>
      </c>
      <c r="F24">
        <v>1.5</v>
      </c>
      <c r="G24">
        <v>1.8</v>
      </c>
      <c r="H24">
        <f>AVERAGE(H22:H23)</f>
        <v>0.52500000000000002</v>
      </c>
      <c r="I24">
        <f t="shared" ref="I24:J24" si="7">AVERAGE(I22:I23)</f>
        <v>0.51500000000000001</v>
      </c>
      <c r="J24">
        <f t="shared" si="7"/>
        <v>0.55000000000000004</v>
      </c>
    </row>
    <row r="25" spans="1:10">
      <c r="A25" t="s">
        <v>33</v>
      </c>
      <c r="B25">
        <f>B24/D11</f>
        <v>0.67272727272727273</v>
      </c>
      <c r="C25">
        <f>C24/D11</f>
        <v>0.78181818181818175</v>
      </c>
      <c r="D25">
        <f>D24/D11</f>
        <v>0.69090909090909092</v>
      </c>
      <c r="E25">
        <f>E24/G11</f>
        <v>0.87931034482758619</v>
      </c>
      <c r="F25">
        <f>F24/G11</f>
        <v>0.77586206896551724</v>
      </c>
      <c r="G25">
        <f>G24/G11</f>
        <v>0.93103448275862066</v>
      </c>
      <c r="H25">
        <f>H24/J11</f>
        <v>0.8848314606741573</v>
      </c>
      <c r="I25">
        <f>I24/J11</f>
        <v>0.8679775280898876</v>
      </c>
      <c r="J25">
        <f>J24/J11</f>
        <v>0.9269662921348315</v>
      </c>
    </row>
    <row r="26" spans="1:10">
      <c r="I26" t="s">
        <v>32</v>
      </c>
      <c r="J26">
        <f>AVERAGE(B25:J25)</f>
        <v>0.82349296921168291</v>
      </c>
    </row>
    <row r="27" spans="1:10">
      <c r="I27" t="s">
        <v>7</v>
      </c>
      <c r="J27">
        <f>STDEV(B25:J25)/SQRT(COUNT(B25:J25))</f>
        <v>3.2370048358266873E-2</v>
      </c>
    </row>
    <row r="28" spans="1:10">
      <c r="I28" t="s">
        <v>8</v>
      </c>
      <c r="J28">
        <f>TTEST(B18:J18,B25:J25,2,2)</f>
        <v>0.48954844585250701</v>
      </c>
    </row>
  </sheetData>
  <mergeCells count="1">
    <mergeCell ref="M2:N2"/>
  </mergeCells>
  <phoneticPr fontId="9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8"/>
  <sheetViews>
    <sheetView workbookViewId="0">
      <selection activeCell="J28" sqref="J28"/>
    </sheetView>
  </sheetViews>
  <sheetFormatPr defaultRowHeight="15.9"/>
  <sheetData>
    <row r="1" spans="1:8">
      <c r="A1" s="8" t="s">
        <v>36</v>
      </c>
      <c r="B1" t="s">
        <v>31</v>
      </c>
    </row>
    <row r="2" spans="1:8">
      <c r="A2" t="s">
        <v>10</v>
      </c>
      <c r="B2">
        <v>2.2000000000000002</v>
      </c>
      <c r="C2">
        <v>2.6</v>
      </c>
      <c r="D2">
        <v>1.8</v>
      </c>
      <c r="G2" s="33" t="s">
        <v>37</v>
      </c>
      <c r="H2" s="33"/>
    </row>
    <row r="3" spans="1:8">
      <c r="B3">
        <v>2</v>
      </c>
      <c r="C3">
        <v>3</v>
      </c>
      <c r="D3">
        <v>2.1</v>
      </c>
      <c r="F3" s="8" t="s">
        <v>43</v>
      </c>
      <c r="G3" t="s">
        <v>18</v>
      </c>
      <c r="H3" t="s">
        <v>35</v>
      </c>
    </row>
    <row r="4" spans="1:8">
      <c r="A4" t="s">
        <v>32</v>
      </c>
      <c r="B4">
        <f>AVERAGE(B2:B3)</f>
        <v>2.1</v>
      </c>
      <c r="C4">
        <f t="shared" ref="C4:D4" si="0">AVERAGE(C2:C3)</f>
        <v>2.8</v>
      </c>
      <c r="D4">
        <f t="shared" si="0"/>
        <v>1.9500000000000002</v>
      </c>
      <c r="G4">
        <f>D19*100</f>
        <v>108.02919708029195</v>
      </c>
      <c r="H4">
        <f>D26*100</f>
        <v>91.011235955056165</v>
      </c>
    </row>
    <row r="5" spans="1:8">
      <c r="C5" t="s">
        <v>32</v>
      </c>
      <c r="D5">
        <f>AVERAGE(B4:D4)</f>
        <v>2.2833333333333337</v>
      </c>
      <c r="G5">
        <f>D20*100</f>
        <v>20.082943784230075</v>
      </c>
      <c r="H5">
        <f>D27*100</f>
        <v>0.84269662921348154</v>
      </c>
    </row>
    <row r="6" spans="1:8">
      <c r="C6" t="s">
        <v>7</v>
      </c>
      <c r="D6">
        <f>STDEV(B4:D4)/SQRT(COUNT(B4:D4))</f>
        <v>0.26193722742502867</v>
      </c>
    </row>
    <row r="8" spans="1:8">
      <c r="A8" t="s">
        <v>11</v>
      </c>
      <c r="B8">
        <v>0.62</v>
      </c>
      <c r="C8">
        <v>0.6</v>
      </c>
      <c r="D8">
        <v>0.54</v>
      </c>
    </row>
    <row r="9" spans="1:8">
      <c r="B9">
        <v>0.6</v>
      </c>
      <c r="C9">
        <v>0.55000000000000004</v>
      </c>
      <c r="D9">
        <v>0.65</v>
      </c>
    </row>
    <row r="10" spans="1:8">
      <c r="A10" t="s">
        <v>32</v>
      </c>
      <c r="B10">
        <f>AVERAGE(B8:B9)</f>
        <v>0.61</v>
      </c>
      <c r="C10">
        <f t="shared" ref="C10:D10" si="1">AVERAGE(C8:C9)</f>
        <v>0.57499999999999996</v>
      </c>
      <c r="D10">
        <f t="shared" si="1"/>
        <v>0.59499999999999997</v>
      </c>
    </row>
    <row r="11" spans="1:8">
      <c r="C11" t="s">
        <v>32</v>
      </c>
      <c r="D11">
        <f>AVERAGE(B10:D10)</f>
        <v>0.59333333333333338</v>
      </c>
    </row>
    <row r="12" spans="1:8">
      <c r="C12" t="s">
        <v>7</v>
      </c>
      <c r="D12">
        <f>STDEV(B10:D10)/SQRT(COUNT(B10:D10))</f>
        <v>1.0137937550497042E-2</v>
      </c>
    </row>
    <row r="14" spans="1:8">
      <c r="A14" s="8" t="s">
        <v>43</v>
      </c>
    </row>
    <row r="15" spans="1:8">
      <c r="A15" t="s">
        <v>10</v>
      </c>
      <c r="B15">
        <v>2.8</v>
      </c>
      <c r="C15">
        <v>0.4</v>
      </c>
      <c r="D15">
        <v>2.6</v>
      </c>
    </row>
    <row r="16" spans="1:8">
      <c r="B16">
        <v>3</v>
      </c>
      <c r="C16">
        <v>2.7</v>
      </c>
      <c r="D16">
        <v>3.3</v>
      </c>
    </row>
    <row r="17" spans="1:4">
      <c r="A17" t="s">
        <v>32</v>
      </c>
      <c r="B17">
        <f>AVERAGE(B15:B16)</f>
        <v>2.9</v>
      </c>
      <c r="C17">
        <f t="shared" ref="C17:D17" si="2">AVERAGE(C15:C16)</f>
        <v>1.55</v>
      </c>
      <c r="D17">
        <f t="shared" si="2"/>
        <v>2.95</v>
      </c>
    </row>
    <row r="18" spans="1:4">
      <c r="A18" t="s">
        <v>33</v>
      </c>
      <c r="B18">
        <f>B17/D5</f>
        <v>1.2700729927007297</v>
      </c>
      <c r="C18">
        <f>C17/D5</f>
        <v>0.67883211678832112</v>
      </c>
      <c r="D18">
        <f>D17/D5</f>
        <v>1.2919708029197079</v>
      </c>
    </row>
    <row r="19" spans="1:4">
      <c r="C19" t="s">
        <v>32</v>
      </c>
      <c r="D19">
        <f>AVERAGE(B18:D18)</f>
        <v>1.0802919708029195</v>
      </c>
    </row>
    <row r="20" spans="1:4">
      <c r="C20" t="s">
        <v>7</v>
      </c>
      <c r="D20">
        <f>STDEV(B18:D18)/SQRT(COUNT(B18:D18))</f>
        <v>0.20082943784230076</v>
      </c>
    </row>
    <row r="22" spans="1:4">
      <c r="A22" t="s">
        <v>11</v>
      </c>
      <c r="B22">
        <v>0.54</v>
      </c>
      <c r="C22">
        <v>0.5</v>
      </c>
      <c r="D22">
        <v>0.5</v>
      </c>
    </row>
    <row r="23" spans="1:4">
      <c r="B23">
        <v>0.55000000000000004</v>
      </c>
      <c r="C23">
        <v>0.56000000000000005</v>
      </c>
      <c r="D23">
        <v>0.59</v>
      </c>
    </row>
    <row r="24" spans="1:4">
      <c r="A24" t="s">
        <v>32</v>
      </c>
      <c r="B24">
        <f>AVERAGE(B22:B23)</f>
        <v>0.54500000000000004</v>
      </c>
      <c r="C24">
        <f>AVERAGE(C22:C23)</f>
        <v>0.53</v>
      </c>
      <c r="D24">
        <f t="shared" ref="D24" si="3">AVERAGE(D22:D23)</f>
        <v>0.54499999999999993</v>
      </c>
    </row>
    <row r="25" spans="1:4">
      <c r="A25" t="s">
        <v>33</v>
      </c>
      <c r="B25">
        <f>B24/D11</f>
        <v>0.9185393258426966</v>
      </c>
      <c r="C25">
        <f>C24/D11</f>
        <v>0.8932584269662921</v>
      </c>
      <c r="D25">
        <f>D24/D11</f>
        <v>0.91853932584269649</v>
      </c>
    </row>
    <row r="26" spans="1:4">
      <c r="C26" t="s">
        <v>32</v>
      </c>
      <c r="D26">
        <f>AVERAGE(B25:D25)</f>
        <v>0.91011235955056169</v>
      </c>
    </row>
    <row r="27" spans="1:4">
      <c r="C27" t="s">
        <v>7</v>
      </c>
      <c r="D27">
        <f>STDEV(B25:D25)/SQRT(COUNT(B25:D25))</f>
        <v>8.4269662921348156E-3</v>
      </c>
    </row>
    <row r="28" spans="1:4">
      <c r="C28" t="s">
        <v>8</v>
      </c>
      <c r="D28">
        <f>TTEST(B18:D18,B25:D25,2,2)</f>
        <v>0.44487653464139576</v>
      </c>
    </row>
  </sheetData>
  <mergeCells count="1">
    <mergeCell ref="G2:H2"/>
  </mergeCells>
  <phoneticPr fontId="9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8"/>
  <sheetViews>
    <sheetView workbookViewId="0">
      <selection activeCell="F28" sqref="F28"/>
    </sheetView>
  </sheetViews>
  <sheetFormatPr defaultRowHeight="15.9"/>
  <sheetData>
    <row r="1" spans="1:8">
      <c r="A1" s="8" t="s">
        <v>36</v>
      </c>
      <c r="B1" t="s">
        <v>31</v>
      </c>
    </row>
    <row r="2" spans="1:8">
      <c r="A2" t="s">
        <v>10</v>
      </c>
      <c r="B2">
        <v>2.2000000000000002</v>
      </c>
      <c r="C2">
        <v>2.6</v>
      </c>
      <c r="D2">
        <v>1.8</v>
      </c>
      <c r="G2" s="33" t="s">
        <v>37</v>
      </c>
      <c r="H2" s="33"/>
    </row>
    <row r="3" spans="1:8">
      <c r="B3">
        <v>2</v>
      </c>
      <c r="C3">
        <v>3</v>
      </c>
      <c r="D3">
        <v>2.1</v>
      </c>
      <c r="F3" s="8" t="s">
        <v>44</v>
      </c>
      <c r="G3" t="s">
        <v>18</v>
      </c>
      <c r="H3" t="s">
        <v>35</v>
      </c>
    </row>
    <row r="4" spans="1:8">
      <c r="A4" t="s">
        <v>32</v>
      </c>
      <c r="B4">
        <f>AVERAGE(B2:B3)</f>
        <v>2.1</v>
      </c>
      <c r="C4">
        <f t="shared" ref="C4:D4" si="0">AVERAGE(C2:C3)</f>
        <v>2.8</v>
      </c>
      <c r="D4">
        <f t="shared" si="0"/>
        <v>1.9500000000000002</v>
      </c>
      <c r="G4">
        <f>D19*100</f>
        <v>113.86861313868613</v>
      </c>
      <c r="H4">
        <f>D26*100</f>
        <v>57.584269662921351</v>
      </c>
    </row>
    <row r="5" spans="1:8">
      <c r="C5" t="s">
        <v>32</v>
      </c>
      <c r="D5">
        <f>AVERAGE(B4:D4)</f>
        <v>2.2833333333333337</v>
      </c>
      <c r="G5">
        <f>D20*100</f>
        <v>7.8953677564904874</v>
      </c>
      <c r="H5">
        <f>D27*100</f>
        <v>1.9662921348314588</v>
      </c>
    </row>
    <row r="6" spans="1:8">
      <c r="C6" t="s">
        <v>7</v>
      </c>
      <c r="D6">
        <f>STDEV(B4:D4)/SQRT(COUNT(B4:D4))</f>
        <v>0.26193722742502867</v>
      </c>
    </row>
    <row r="8" spans="1:8">
      <c r="A8" t="s">
        <v>11</v>
      </c>
      <c r="B8">
        <v>0.62</v>
      </c>
      <c r="C8">
        <v>0.6</v>
      </c>
      <c r="D8">
        <v>0.54</v>
      </c>
    </row>
    <row r="9" spans="1:8">
      <c r="B9">
        <v>0.6</v>
      </c>
      <c r="C9">
        <v>0.55000000000000004</v>
      </c>
      <c r="D9">
        <v>0.65</v>
      </c>
    </row>
    <row r="10" spans="1:8">
      <c r="A10" t="s">
        <v>32</v>
      </c>
      <c r="B10">
        <f>AVERAGE(B8:B9)</f>
        <v>0.61</v>
      </c>
      <c r="C10">
        <f t="shared" ref="C10:D10" si="1">AVERAGE(C8:C9)</f>
        <v>0.57499999999999996</v>
      </c>
      <c r="D10">
        <f t="shared" si="1"/>
        <v>0.59499999999999997</v>
      </c>
    </row>
    <row r="11" spans="1:8">
      <c r="C11" t="s">
        <v>32</v>
      </c>
      <c r="D11">
        <f>AVERAGE(B10:D10)</f>
        <v>0.59333333333333338</v>
      </c>
    </row>
    <row r="12" spans="1:8">
      <c r="C12" t="s">
        <v>7</v>
      </c>
      <c r="D12">
        <f>STDEV(B10:D10)/SQRT(COUNT(B10:D10))</f>
        <v>1.0137937550497042E-2</v>
      </c>
    </row>
    <row r="14" spans="1:8">
      <c r="A14" s="8" t="s">
        <v>44</v>
      </c>
    </row>
    <row r="15" spans="1:8">
      <c r="A15" t="s">
        <v>10</v>
      </c>
      <c r="B15">
        <v>2.7</v>
      </c>
      <c r="C15">
        <v>2.8</v>
      </c>
      <c r="D15">
        <v>3.1</v>
      </c>
    </row>
    <row r="16" spans="1:8">
      <c r="B16">
        <v>2</v>
      </c>
      <c r="C16">
        <v>2.2000000000000002</v>
      </c>
      <c r="D16">
        <v>2.8</v>
      </c>
    </row>
    <row r="17" spans="1:4">
      <c r="A17" t="s">
        <v>32</v>
      </c>
      <c r="B17">
        <f>AVERAGE(B15:B16)</f>
        <v>2.35</v>
      </c>
      <c r="C17">
        <f t="shared" ref="C17:D17" si="2">AVERAGE(C15:C16)</f>
        <v>2.5</v>
      </c>
      <c r="D17">
        <f t="shared" si="2"/>
        <v>2.95</v>
      </c>
    </row>
    <row r="18" spans="1:4">
      <c r="A18" t="s">
        <v>33</v>
      </c>
      <c r="B18">
        <f>B17/D5</f>
        <v>1.0291970802919708</v>
      </c>
      <c r="C18">
        <f>C17/D5</f>
        <v>1.0948905109489049</v>
      </c>
      <c r="D18">
        <f>D17/D5</f>
        <v>1.2919708029197079</v>
      </c>
    </row>
    <row r="19" spans="1:4">
      <c r="C19" t="s">
        <v>32</v>
      </c>
      <c r="D19">
        <f>AVERAGE(B18:D18)</f>
        <v>1.1386861313868613</v>
      </c>
    </row>
    <row r="20" spans="1:4">
      <c r="C20" t="s">
        <v>7</v>
      </c>
      <c r="D20">
        <f>STDEV(B18:D18)/SQRT(COUNT(B18:D18))</f>
        <v>7.8953677564904873E-2</v>
      </c>
    </row>
    <row r="22" spans="1:4">
      <c r="A22" t="s">
        <v>11</v>
      </c>
      <c r="B22">
        <v>0.34</v>
      </c>
      <c r="C22">
        <v>0.3</v>
      </c>
      <c r="D22">
        <v>0.33</v>
      </c>
    </row>
    <row r="23" spans="1:4">
      <c r="B23">
        <v>0.38</v>
      </c>
      <c r="C23">
        <v>0.34</v>
      </c>
      <c r="D23">
        <v>0.36</v>
      </c>
    </row>
    <row r="24" spans="1:4">
      <c r="A24" t="s">
        <v>32</v>
      </c>
      <c r="B24">
        <f>AVERAGE(B22:B23)</f>
        <v>0.36</v>
      </c>
      <c r="C24">
        <f>AVERAGE(C22:C23)</f>
        <v>0.32</v>
      </c>
      <c r="D24">
        <f t="shared" ref="D24" si="3">AVERAGE(D22:D23)</f>
        <v>0.34499999999999997</v>
      </c>
    </row>
    <row r="25" spans="1:4">
      <c r="A25" t="s">
        <v>33</v>
      </c>
      <c r="B25">
        <f>B24/D11</f>
        <v>0.60674157303370779</v>
      </c>
      <c r="C25">
        <f>C24/D11</f>
        <v>0.5393258426966292</v>
      </c>
      <c r="D25">
        <f>D24/D11</f>
        <v>0.58146067415730329</v>
      </c>
    </row>
    <row r="26" spans="1:4">
      <c r="C26" t="s">
        <v>32</v>
      </c>
      <c r="D26">
        <f>AVERAGE(B25:D25)</f>
        <v>0.5758426966292135</v>
      </c>
    </row>
    <row r="27" spans="1:4">
      <c r="C27" t="s">
        <v>7</v>
      </c>
      <c r="D27">
        <f>STDEV(B25:D25)/SQRT(COUNT(B25:D25))</f>
        <v>1.9662921348314589E-2</v>
      </c>
    </row>
    <row r="28" spans="1:4">
      <c r="C28" t="s">
        <v>8</v>
      </c>
      <c r="D28">
        <f>TTEST(B18:D18,B25:D25,2,2)</f>
        <v>2.2916641130834334E-3</v>
      </c>
    </row>
  </sheetData>
  <mergeCells count="1">
    <mergeCell ref="G2:H2"/>
  </mergeCells>
  <phoneticPr fontId="9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2"/>
  <sheetViews>
    <sheetView workbookViewId="0">
      <selection activeCell="G6" sqref="G6"/>
    </sheetView>
  </sheetViews>
  <sheetFormatPr defaultRowHeight="15.9"/>
  <sheetData>
    <row r="1" spans="1:8">
      <c r="A1" s="8" t="s">
        <v>39</v>
      </c>
      <c r="B1" t="s">
        <v>31</v>
      </c>
    </row>
    <row r="2" spans="1:8">
      <c r="A2" t="s">
        <v>10</v>
      </c>
      <c r="B2">
        <v>1.7</v>
      </c>
      <c r="C2">
        <v>2.9</v>
      </c>
      <c r="D2">
        <v>2.4</v>
      </c>
      <c r="G2" s="33" t="s">
        <v>37</v>
      </c>
      <c r="H2" s="33"/>
    </row>
    <row r="3" spans="1:8">
      <c r="B3">
        <v>1.7</v>
      </c>
      <c r="C3">
        <v>2.2999999999999998</v>
      </c>
      <c r="D3">
        <v>1.8</v>
      </c>
      <c r="F3" s="8" t="s">
        <v>45</v>
      </c>
      <c r="G3" t="s">
        <v>18</v>
      </c>
      <c r="H3" t="s">
        <v>35</v>
      </c>
    </row>
    <row r="4" spans="1:8">
      <c r="A4" t="s">
        <v>32</v>
      </c>
      <c r="B4">
        <f>AVERAGE(B2:B3)</f>
        <v>1.7</v>
      </c>
      <c r="C4">
        <f t="shared" ref="C4:D4" si="0">AVERAGE(C2:C3)</f>
        <v>2.5999999999999996</v>
      </c>
      <c r="D4">
        <f t="shared" si="0"/>
        <v>2.1</v>
      </c>
      <c r="G4">
        <f>D19*100</f>
        <v>12.734375</v>
      </c>
      <c r="H4">
        <f>A26</f>
        <v>0</v>
      </c>
    </row>
    <row r="5" spans="1:8">
      <c r="C5" t="s">
        <v>32</v>
      </c>
      <c r="D5">
        <f>AVERAGE(B4:D4)</f>
        <v>2.1333333333333333</v>
      </c>
      <c r="G5">
        <f>D20*100</f>
        <v>0.54687499999999978</v>
      </c>
    </row>
    <row r="6" spans="1:8">
      <c r="C6" t="s">
        <v>7</v>
      </c>
      <c r="D6">
        <f>STDEV(B4:D4)/SQRT(COUNT(B4:D4))</f>
        <v>0.2603416558635539</v>
      </c>
    </row>
    <row r="8" spans="1:8">
      <c r="A8" t="s">
        <v>11</v>
      </c>
      <c r="B8">
        <v>0.7</v>
      </c>
      <c r="C8">
        <v>0.73</v>
      </c>
      <c r="D8">
        <v>0.8</v>
      </c>
    </row>
    <row r="9" spans="1:8">
      <c r="B9">
        <v>0.73</v>
      </c>
      <c r="C9">
        <v>0.75</v>
      </c>
      <c r="D9">
        <v>0.76</v>
      </c>
    </row>
    <row r="10" spans="1:8">
      <c r="A10" t="s">
        <v>32</v>
      </c>
      <c r="B10">
        <f>AVERAGE(B8:B9)</f>
        <v>0.71499999999999997</v>
      </c>
      <c r="C10">
        <f t="shared" ref="C10:D10" si="1">AVERAGE(C8:C9)</f>
        <v>0.74</v>
      </c>
      <c r="D10">
        <f t="shared" si="1"/>
        <v>0.78</v>
      </c>
    </row>
    <row r="11" spans="1:8">
      <c r="C11" t="s">
        <v>32</v>
      </c>
      <c r="D11">
        <f>AVERAGE(B10:D10)</f>
        <v>0.74500000000000011</v>
      </c>
    </row>
    <row r="12" spans="1:8">
      <c r="C12" t="s">
        <v>7</v>
      </c>
      <c r="D12">
        <f>STDEV(B10:D10)/SQRT(COUNT(B10:D10))</f>
        <v>1.8929694486000927E-2</v>
      </c>
    </row>
    <row r="14" spans="1:8">
      <c r="A14" s="8" t="s">
        <v>45</v>
      </c>
    </row>
    <row r="15" spans="1:8">
      <c r="A15" t="s">
        <v>10</v>
      </c>
      <c r="B15">
        <v>0.28999999999999998</v>
      </c>
      <c r="C15">
        <v>0.24</v>
      </c>
      <c r="D15">
        <v>0.28000000000000003</v>
      </c>
    </row>
    <row r="16" spans="1:8">
      <c r="B16">
        <v>0.28999999999999998</v>
      </c>
      <c r="C16">
        <v>0.26</v>
      </c>
      <c r="D16">
        <v>0.27</v>
      </c>
    </row>
    <row r="17" spans="1:4">
      <c r="A17" t="s">
        <v>32</v>
      </c>
      <c r="B17">
        <f>AVERAGE(B15:B16)</f>
        <v>0.28999999999999998</v>
      </c>
      <c r="C17">
        <f t="shared" ref="C17:D17" si="2">AVERAGE(C15:C16)</f>
        <v>0.25</v>
      </c>
      <c r="D17">
        <f t="shared" si="2"/>
        <v>0.27500000000000002</v>
      </c>
    </row>
    <row r="18" spans="1:4">
      <c r="A18" t="s">
        <v>33</v>
      </c>
      <c r="B18">
        <f>B17/D5</f>
        <v>0.13593749999999999</v>
      </c>
      <c r="C18">
        <f>C17/D5</f>
        <v>0.1171875</v>
      </c>
      <c r="D18">
        <f>D17/D5</f>
        <v>0.12890625</v>
      </c>
    </row>
    <row r="19" spans="1:4">
      <c r="C19" t="s">
        <v>32</v>
      </c>
      <c r="D19">
        <f>AVERAGE(B18:D18)</f>
        <v>0.12734375000000001</v>
      </c>
    </row>
    <row r="20" spans="1:4">
      <c r="C20" t="s">
        <v>7</v>
      </c>
      <c r="D20">
        <f>STDEV(B18:D18)/SQRT(COUNT(B18:D18))</f>
        <v>5.4687499999999979E-3</v>
      </c>
    </row>
    <row r="22" spans="1:4">
      <c r="A22" t="s">
        <v>11</v>
      </c>
      <c r="B22">
        <v>0</v>
      </c>
      <c r="C22">
        <v>0</v>
      </c>
      <c r="D22">
        <v>0</v>
      </c>
    </row>
  </sheetData>
  <mergeCells count="1">
    <mergeCell ref="G2:H2"/>
  </mergeCells>
  <phoneticPr fontId="9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2"/>
  <sheetViews>
    <sheetView workbookViewId="0">
      <selection activeCell="F3" sqref="F3"/>
    </sheetView>
  </sheetViews>
  <sheetFormatPr defaultRowHeight="15.9"/>
  <sheetData>
    <row r="1" spans="1:8">
      <c r="A1" s="8" t="s">
        <v>39</v>
      </c>
      <c r="B1" t="s">
        <v>31</v>
      </c>
    </row>
    <row r="2" spans="1:8">
      <c r="A2" t="s">
        <v>10</v>
      </c>
      <c r="B2">
        <v>1.7</v>
      </c>
      <c r="C2">
        <v>2.9</v>
      </c>
      <c r="D2">
        <v>2.4</v>
      </c>
      <c r="G2" s="33" t="s">
        <v>37</v>
      </c>
      <c r="H2" s="33"/>
    </row>
    <row r="3" spans="1:8">
      <c r="B3">
        <v>1.7</v>
      </c>
      <c r="C3">
        <v>2.2999999999999998</v>
      </c>
      <c r="D3">
        <v>1.8</v>
      </c>
      <c r="F3" s="8" t="s">
        <v>46</v>
      </c>
      <c r="G3" t="s">
        <v>18</v>
      </c>
      <c r="H3" t="s">
        <v>35</v>
      </c>
    </row>
    <row r="4" spans="1:8">
      <c r="A4" t="s">
        <v>32</v>
      </c>
      <c r="B4">
        <f>AVERAGE(B2:B3)</f>
        <v>1.7</v>
      </c>
      <c r="C4">
        <f t="shared" ref="C4:D4" si="0">AVERAGE(C2:C3)</f>
        <v>2.5999999999999996</v>
      </c>
      <c r="D4">
        <f t="shared" si="0"/>
        <v>2.1</v>
      </c>
      <c r="G4">
        <f>D19*100</f>
        <v>10.234375</v>
      </c>
      <c r="H4">
        <f>A26</f>
        <v>0</v>
      </c>
    </row>
    <row r="5" spans="1:8">
      <c r="C5" t="s">
        <v>32</v>
      </c>
      <c r="D5">
        <f>AVERAGE(B4:D4)</f>
        <v>2.1333333333333333</v>
      </c>
      <c r="G5">
        <f>D20*100</f>
        <v>0.34053897996411481</v>
      </c>
    </row>
    <row r="6" spans="1:8">
      <c r="C6" t="s">
        <v>7</v>
      </c>
      <c r="D6">
        <f>STDEV(B4:D4)/SQRT(COUNT(B4:D4))</f>
        <v>0.2603416558635539</v>
      </c>
    </row>
    <row r="8" spans="1:8">
      <c r="A8" t="s">
        <v>11</v>
      </c>
      <c r="B8">
        <v>0.7</v>
      </c>
      <c r="C8">
        <v>0.73</v>
      </c>
      <c r="D8">
        <v>0.8</v>
      </c>
    </row>
    <row r="9" spans="1:8">
      <c r="B9">
        <v>0.73</v>
      </c>
      <c r="C9">
        <v>0.75</v>
      </c>
      <c r="D9">
        <v>0.76</v>
      </c>
    </row>
    <row r="10" spans="1:8">
      <c r="A10" t="s">
        <v>32</v>
      </c>
      <c r="B10">
        <f>AVERAGE(B8:B9)</f>
        <v>0.71499999999999997</v>
      </c>
      <c r="C10">
        <f t="shared" ref="C10:D10" si="1">AVERAGE(C8:C9)</f>
        <v>0.74</v>
      </c>
      <c r="D10">
        <f t="shared" si="1"/>
        <v>0.78</v>
      </c>
    </row>
    <row r="11" spans="1:8">
      <c r="C11" t="s">
        <v>32</v>
      </c>
      <c r="D11">
        <f>AVERAGE(B10:D10)</f>
        <v>0.74500000000000011</v>
      </c>
    </row>
    <row r="12" spans="1:8">
      <c r="C12" t="s">
        <v>7</v>
      </c>
      <c r="D12">
        <f>STDEV(B10:D10)/SQRT(COUNT(B10:D10))</f>
        <v>1.8929694486000927E-2</v>
      </c>
    </row>
    <row r="14" spans="1:8">
      <c r="A14" s="8" t="s">
        <v>46</v>
      </c>
    </row>
    <row r="15" spans="1:8">
      <c r="A15" t="s">
        <v>10</v>
      </c>
      <c r="B15">
        <v>0.23</v>
      </c>
      <c r="C15">
        <v>0.24</v>
      </c>
      <c r="D15">
        <v>0.18</v>
      </c>
    </row>
    <row r="16" spans="1:8">
      <c r="B16">
        <v>0.21</v>
      </c>
      <c r="C16">
        <v>0.22</v>
      </c>
      <c r="D16">
        <v>0.23</v>
      </c>
    </row>
    <row r="17" spans="1:4">
      <c r="A17" t="s">
        <v>32</v>
      </c>
      <c r="B17">
        <f>AVERAGE(B15:B16)</f>
        <v>0.22</v>
      </c>
      <c r="C17">
        <f t="shared" ref="C17:D17" si="2">AVERAGE(C15:C16)</f>
        <v>0.22999999999999998</v>
      </c>
      <c r="D17">
        <f t="shared" si="2"/>
        <v>0.20500000000000002</v>
      </c>
    </row>
    <row r="18" spans="1:4">
      <c r="A18" t="s">
        <v>33</v>
      </c>
      <c r="B18">
        <f>B17/D5</f>
        <v>0.10312500000000001</v>
      </c>
      <c r="C18">
        <f>C17/D5</f>
        <v>0.10781249999999999</v>
      </c>
      <c r="D18">
        <f>D17/D5</f>
        <v>9.6093750000000006E-2</v>
      </c>
    </row>
    <row r="19" spans="1:4">
      <c r="C19" t="s">
        <v>32</v>
      </c>
      <c r="D19">
        <f>AVERAGE(B18:D18)</f>
        <v>0.10234375</v>
      </c>
    </row>
    <row r="20" spans="1:4">
      <c r="C20" t="s">
        <v>7</v>
      </c>
      <c r="D20">
        <f>STDEV(B18:D18)/SQRT(COUNT(B18:D18))</f>
        <v>3.405389799641148E-3</v>
      </c>
    </row>
    <row r="22" spans="1:4">
      <c r="A22" t="s">
        <v>11</v>
      </c>
      <c r="B22">
        <v>0</v>
      </c>
      <c r="C22">
        <v>0</v>
      </c>
      <c r="D22">
        <v>0</v>
      </c>
    </row>
  </sheetData>
  <mergeCells count="1">
    <mergeCell ref="G2:H2"/>
  </mergeCells>
  <phoneticPr fontId="9"/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"/>
  <sheetViews>
    <sheetView workbookViewId="0">
      <selection activeCell="K6" sqref="K6"/>
    </sheetView>
  </sheetViews>
  <sheetFormatPr defaultRowHeight="15.9"/>
  <sheetData>
    <row r="1" spans="1:8">
      <c r="B1" t="s">
        <v>14</v>
      </c>
    </row>
    <row r="2" spans="1:8">
      <c r="B2" t="s">
        <v>110</v>
      </c>
      <c r="C2" t="s">
        <v>111</v>
      </c>
      <c r="D2" t="s">
        <v>15</v>
      </c>
      <c r="E2" t="s">
        <v>112</v>
      </c>
      <c r="F2" t="s">
        <v>16</v>
      </c>
      <c r="G2" t="s">
        <v>17</v>
      </c>
      <c r="H2" t="s">
        <v>113</v>
      </c>
    </row>
    <row r="3" spans="1:8">
      <c r="A3" t="s">
        <v>18</v>
      </c>
      <c r="B3">
        <v>8</v>
      </c>
      <c r="C3">
        <v>4</v>
      </c>
      <c r="D3">
        <v>4</v>
      </c>
      <c r="E3">
        <v>16</v>
      </c>
      <c r="F3">
        <v>1</v>
      </c>
      <c r="G3">
        <v>32</v>
      </c>
      <c r="H3" t="s">
        <v>19</v>
      </c>
    </row>
    <row r="4" spans="1:8">
      <c r="A4" t="s">
        <v>20</v>
      </c>
      <c r="B4">
        <v>4</v>
      </c>
      <c r="C4">
        <v>2</v>
      </c>
      <c r="D4">
        <v>4</v>
      </c>
      <c r="E4">
        <v>16</v>
      </c>
      <c r="F4">
        <v>1</v>
      </c>
      <c r="G4">
        <v>32</v>
      </c>
      <c r="H4" t="s">
        <v>19</v>
      </c>
    </row>
  </sheetData>
  <phoneticPr fontId="9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35"/>
  <sheetViews>
    <sheetView workbookViewId="0">
      <selection activeCell="Q8" sqref="Q8"/>
    </sheetView>
  </sheetViews>
  <sheetFormatPr defaultColWidth="8.85546875" defaultRowHeight="14.6"/>
  <cols>
    <col min="1" max="4" width="8.85546875" style="2"/>
    <col min="5" max="5" width="8.35546875" style="2" bestFit="1" customWidth="1"/>
    <col min="6" max="16384" width="8.85546875" style="2"/>
  </cols>
  <sheetData>
    <row r="1" spans="1:15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19" t="s">
        <v>8</v>
      </c>
      <c r="L1" s="7"/>
      <c r="M1" s="7"/>
      <c r="N1" s="7"/>
      <c r="O1" s="7"/>
    </row>
    <row r="2" spans="1:15">
      <c r="A2" s="4" t="s">
        <v>9</v>
      </c>
      <c r="B2" s="4" t="s">
        <v>10</v>
      </c>
      <c r="C2" s="2">
        <v>0.4</v>
      </c>
      <c r="D2" s="2">
        <v>72</v>
      </c>
      <c r="E2" s="2">
        <v>25000</v>
      </c>
      <c r="F2" s="2">
        <f>D2*E2</f>
        <v>1800000</v>
      </c>
      <c r="G2" s="2">
        <f>(F2/C2)</f>
        <v>4500000</v>
      </c>
      <c r="H2" s="2">
        <f>LOG10(G2)</f>
        <v>6.653212513775344</v>
      </c>
      <c r="I2" s="2">
        <f>AVERAGE(H2:H5)</f>
        <v>6.6283592972618735</v>
      </c>
      <c r="J2" s="2">
        <f>STDEV(H2:H5)/SQRT(COUNT(H2:H5))</f>
        <v>0.17566554637900009</v>
      </c>
      <c r="L2" s="1"/>
      <c r="M2" s="1" t="s">
        <v>10</v>
      </c>
      <c r="N2" s="1" t="s">
        <v>11</v>
      </c>
    </row>
    <row r="3" spans="1:15">
      <c r="C3" s="2">
        <v>0.27</v>
      </c>
      <c r="D3" s="2">
        <v>14</v>
      </c>
      <c r="E3" s="2">
        <v>250000</v>
      </c>
      <c r="F3" s="2">
        <f t="shared" ref="F3:F9" si="0">D3*E3</f>
        <v>3500000</v>
      </c>
      <c r="G3" s="2">
        <f t="shared" ref="G3:G9" si="1">(F3/C3)</f>
        <v>12962962.962962963</v>
      </c>
      <c r="H3" s="2">
        <f t="shared" ref="H3:H9" si="2">LOG10(G3)</f>
        <v>7.1127042801912888</v>
      </c>
      <c r="L3" s="5" t="s">
        <v>9</v>
      </c>
      <c r="M3" s="1">
        <f>I2</f>
        <v>6.6283592972618735</v>
      </c>
      <c r="N3" s="1">
        <f>I6</f>
        <v>6.5983191806448547</v>
      </c>
    </row>
    <row r="4" spans="1:15">
      <c r="C4" s="2">
        <v>0.3</v>
      </c>
      <c r="D4" s="2">
        <v>32</v>
      </c>
      <c r="E4" s="2">
        <v>25000</v>
      </c>
      <c r="F4" s="2">
        <f t="shared" si="0"/>
        <v>800000</v>
      </c>
      <c r="G4" s="2">
        <f t="shared" si="1"/>
        <v>2666666.666666667</v>
      </c>
      <c r="H4" s="2">
        <f t="shared" si="2"/>
        <v>6.4259687322722812</v>
      </c>
      <c r="L4" s="1" t="s">
        <v>12</v>
      </c>
      <c r="M4" s="1">
        <f>I11</f>
        <v>7.9216983074447826</v>
      </c>
      <c r="N4" s="1">
        <f>I17</f>
        <v>6.3627936450998037</v>
      </c>
    </row>
    <row r="5" spans="1:15">
      <c r="C5" s="2">
        <v>0.31</v>
      </c>
      <c r="D5" s="2">
        <v>26</v>
      </c>
      <c r="E5" s="2">
        <v>25000</v>
      </c>
      <c r="F5" s="2">
        <f t="shared" si="0"/>
        <v>650000</v>
      </c>
      <c r="G5" s="2">
        <f t="shared" si="1"/>
        <v>2096774.1935483871</v>
      </c>
      <c r="H5" s="2">
        <f t="shared" si="2"/>
        <v>6.3215516628085826</v>
      </c>
      <c r="L5" s="1" t="s">
        <v>13</v>
      </c>
      <c r="M5" s="2">
        <f>I24</f>
        <v>8.8733093289018239</v>
      </c>
      <c r="N5" s="1">
        <f>I30</f>
        <v>7.9726657309621407</v>
      </c>
    </row>
    <row r="6" spans="1:15">
      <c r="B6" s="2" t="s">
        <v>11</v>
      </c>
      <c r="C6" s="2">
        <v>0.48</v>
      </c>
      <c r="D6" s="2">
        <v>43</v>
      </c>
      <c r="E6" s="2">
        <v>25000</v>
      </c>
      <c r="F6" s="2">
        <f t="shared" si="0"/>
        <v>1075000</v>
      </c>
      <c r="G6" s="2">
        <f t="shared" si="1"/>
        <v>2239583.3333333335</v>
      </c>
      <c r="H6" s="2">
        <f t="shared" si="2"/>
        <v>6.350167226876037</v>
      </c>
      <c r="I6" s="2">
        <f>AVERAGE(H6:H9)</f>
        <v>6.5983191806448547</v>
      </c>
      <c r="J6" s="2">
        <f>STDEV(H6:H9)/SQRT(COUNT(H6:H9))</f>
        <v>0.13715576603410706</v>
      </c>
      <c r="K6" s="2">
        <f>TTEST(H2:H5,H6:H9,2,2)</f>
        <v>0.89718674099963425</v>
      </c>
      <c r="L6" s="1"/>
      <c r="M6" s="1"/>
      <c r="N6" s="1"/>
    </row>
    <row r="7" spans="1:15">
      <c r="C7" s="2">
        <v>0.41</v>
      </c>
      <c r="D7" s="2">
        <v>16</v>
      </c>
      <c r="E7" s="2">
        <v>250000</v>
      </c>
      <c r="F7" s="2">
        <f t="shared" si="0"/>
        <v>4000000</v>
      </c>
      <c r="G7" s="2">
        <f t="shared" si="1"/>
        <v>9756097.5609756112</v>
      </c>
      <c r="H7" s="2">
        <f t="shared" si="2"/>
        <v>6.9892761346082271</v>
      </c>
      <c r="L7" s="1"/>
      <c r="M7" s="1" t="s">
        <v>10</v>
      </c>
      <c r="N7" s="1" t="s">
        <v>11</v>
      </c>
    </row>
    <row r="8" spans="1:15">
      <c r="C8" s="2">
        <v>0.51</v>
      </c>
      <c r="D8" s="2">
        <v>65</v>
      </c>
      <c r="E8" s="2">
        <v>25000</v>
      </c>
      <c r="F8" s="2">
        <f t="shared" si="0"/>
        <v>1625000</v>
      </c>
      <c r="G8" s="2">
        <f t="shared" si="1"/>
        <v>3186274.5098039214</v>
      </c>
      <c r="H8" s="2">
        <f t="shared" si="2"/>
        <v>6.5032831892169565</v>
      </c>
      <c r="L8" s="5" t="s">
        <v>9</v>
      </c>
      <c r="M8" s="1">
        <f>J2</f>
        <v>0.17566554637900009</v>
      </c>
      <c r="N8" s="1">
        <f>J6</f>
        <v>0.13715576603410706</v>
      </c>
    </row>
    <row r="9" spans="1:15">
      <c r="C9" s="2">
        <v>0.38</v>
      </c>
      <c r="D9" s="2">
        <v>54</v>
      </c>
      <c r="E9" s="2">
        <v>25000</v>
      </c>
      <c r="F9" s="2">
        <f t="shared" si="0"/>
        <v>1350000</v>
      </c>
      <c r="G9" s="2">
        <f t="shared" si="1"/>
        <v>3552631.5789473685</v>
      </c>
      <c r="H9" s="2">
        <f t="shared" si="2"/>
        <v>6.5505501718781955</v>
      </c>
      <c r="L9" s="1" t="s">
        <v>12</v>
      </c>
      <c r="M9" s="1">
        <f>J11</f>
        <v>0.28394368032168216</v>
      </c>
      <c r="N9" s="1">
        <f>J24</f>
        <v>0.24782715400621141</v>
      </c>
    </row>
    <row r="10" spans="1:15">
      <c r="L10" s="1" t="s">
        <v>13</v>
      </c>
      <c r="M10" s="1">
        <f>J17</f>
        <v>0.29870207450324959</v>
      </c>
      <c r="N10" s="1">
        <f>J30</f>
        <v>0.35668404614811805</v>
      </c>
    </row>
    <row r="11" spans="1:15">
      <c r="A11" s="2" t="s">
        <v>12</v>
      </c>
      <c r="B11" s="2" t="s">
        <v>10</v>
      </c>
      <c r="C11" s="2">
        <v>0.56000000000000005</v>
      </c>
      <c r="D11" s="2">
        <v>28</v>
      </c>
      <c r="E11" s="2">
        <v>2500000</v>
      </c>
      <c r="F11" s="2">
        <f>D11*E11</f>
        <v>70000000</v>
      </c>
      <c r="G11" s="2">
        <f>(F11/C11)</f>
        <v>124999999.99999999</v>
      </c>
      <c r="H11" s="2">
        <f>LOG10(G11)</f>
        <v>8.0969100130080562</v>
      </c>
      <c r="I11" s="2">
        <f>AVERAGE(H11:H16)</f>
        <v>7.9216983074447826</v>
      </c>
      <c r="J11" s="2">
        <f>STDEV(H11:H16)/SQRT(COUNT(H11:H16))</f>
        <v>0.28394368032168216</v>
      </c>
    </row>
    <row r="12" spans="1:15">
      <c r="C12" s="2">
        <v>0.42</v>
      </c>
      <c r="D12" s="2">
        <v>24</v>
      </c>
      <c r="E12" s="2">
        <v>2500000</v>
      </c>
      <c r="F12" s="2">
        <f t="shared" ref="F12:F22" si="3">D12*E12</f>
        <v>60000000</v>
      </c>
      <c r="G12" s="2">
        <f t="shared" ref="G12:G22" si="4">(F12/C12)</f>
        <v>142857142.85714287</v>
      </c>
      <c r="H12" s="2">
        <f t="shared" ref="H12:H22" si="5">LOG10(G12)</f>
        <v>8.1549019599857431</v>
      </c>
    </row>
    <row r="13" spans="1:15">
      <c r="C13" s="2">
        <v>0.32</v>
      </c>
      <c r="D13" s="2">
        <v>28</v>
      </c>
      <c r="E13" s="2">
        <v>2500000</v>
      </c>
      <c r="F13" s="2">
        <f t="shared" si="3"/>
        <v>70000000</v>
      </c>
      <c r="G13" s="2">
        <f t="shared" si="4"/>
        <v>218750000</v>
      </c>
      <c r="H13" s="2">
        <f t="shared" si="5"/>
        <v>8.3399480616943507</v>
      </c>
    </row>
    <row r="14" spans="1:15">
      <c r="C14" s="2">
        <v>0.54</v>
      </c>
      <c r="D14" s="2">
        <v>70</v>
      </c>
      <c r="E14" s="2">
        <v>2500000</v>
      </c>
      <c r="F14" s="2">
        <f t="shared" si="3"/>
        <v>175000000</v>
      </c>
      <c r="G14" s="2">
        <f t="shared" si="4"/>
        <v>324074074.07407403</v>
      </c>
      <c r="H14" s="2">
        <f t="shared" si="5"/>
        <v>8.5106442888633254</v>
      </c>
    </row>
    <row r="15" spans="1:15">
      <c r="C15" s="2">
        <v>0.6</v>
      </c>
      <c r="D15" s="2">
        <v>17</v>
      </c>
      <c r="E15" s="2">
        <v>2500000</v>
      </c>
      <c r="F15" s="2">
        <f t="shared" si="3"/>
        <v>42500000</v>
      </c>
      <c r="G15" s="2">
        <f t="shared" si="4"/>
        <v>70833333.333333343</v>
      </c>
      <c r="H15" s="2">
        <f t="shared" si="5"/>
        <v>7.8502376796666677</v>
      </c>
    </row>
    <row r="16" spans="1:15">
      <c r="C16" s="2">
        <v>0.41</v>
      </c>
      <c r="D16" s="2">
        <v>62</v>
      </c>
      <c r="E16" s="2">
        <v>25000</v>
      </c>
      <c r="F16" s="2">
        <f t="shared" si="3"/>
        <v>1550000</v>
      </c>
      <c r="G16" s="2">
        <f t="shared" si="4"/>
        <v>3780487.8048780491</v>
      </c>
      <c r="H16" s="2">
        <f t="shared" si="5"/>
        <v>6.5775478414505564</v>
      </c>
    </row>
    <row r="17" spans="1:11">
      <c r="B17" s="2" t="s">
        <v>11</v>
      </c>
      <c r="C17" s="2">
        <v>0.46</v>
      </c>
      <c r="D17" s="2">
        <v>23</v>
      </c>
      <c r="E17" s="2">
        <v>250000</v>
      </c>
      <c r="F17" s="2">
        <f t="shared" si="3"/>
        <v>5750000</v>
      </c>
      <c r="G17" s="2">
        <f t="shared" si="4"/>
        <v>12500000</v>
      </c>
      <c r="H17" s="2">
        <f t="shared" si="5"/>
        <v>7.0969100130080562</v>
      </c>
      <c r="I17" s="2">
        <f>AVERAGE(H17:H22)</f>
        <v>6.3627936450998037</v>
      </c>
      <c r="J17" s="2">
        <f>STDEV(H17:H22)/SQRT(COUNT(H17:H22))</f>
        <v>0.29870207450324959</v>
      </c>
      <c r="K17" s="2">
        <f>TTEST(H11:H16,H17:H22,2,2)</f>
        <v>3.5866188237936017E-3</v>
      </c>
    </row>
    <row r="18" spans="1:11">
      <c r="C18" s="2">
        <v>0.43</v>
      </c>
      <c r="D18" s="2">
        <v>5</v>
      </c>
      <c r="E18" s="2">
        <v>250000</v>
      </c>
      <c r="F18" s="2">
        <f t="shared" si="3"/>
        <v>1250000</v>
      </c>
      <c r="G18" s="2">
        <f t="shared" si="4"/>
        <v>2906976.7441860465</v>
      </c>
      <c r="H18" s="2">
        <f t="shared" si="5"/>
        <v>6.46344155742847</v>
      </c>
    </row>
    <row r="19" spans="1:11">
      <c r="C19" s="2">
        <v>0.45</v>
      </c>
      <c r="D19" s="2">
        <v>21</v>
      </c>
      <c r="E19" s="2">
        <v>250000</v>
      </c>
      <c r="F19" s="2">
        <f t="shared" si="3"/>
        <v>5250000</v>
      </c>
      <c r="G19" s="2">
        <f t="shared" si="4"/>
        <v>11666666.666666666</v>
      </c>
      <c r="H19" s="2">
        <f t="shared" si="5"/>
        <v>7.0669467896306131</v>
      </c>
    </row>
    <row r="20" spans="1:11">
      <c r="C20" s="2">
        <v>0.52</v>
      </c>
      <c r="D20" s="2">
        <v>8</v>
      </c>
      <c r="E20" s="2">
        <v>250000</v>
      </c>
      <c r="F20" s="2">
        <f t="shared" si="3"/>
        <v>2000000</v>
      </c>
      <c r="G20" s="2">
        <f t="shared" si="4"/>
        <v>3846153.846153846</v>
      </c>
      <c r="H20" s="2">
        <f t="shared" si="5"/>
        <v>6.5850266520291818</v>
      </c>
    </row>
    <row r="21" spans="1:11">
      <c r="C21" s="2">
        <v>0.55000000000000004</v>
      </c>
      <c r="D21" s="2">
        <v>5</v>
      </c>
      <c r="E21" s="2">
        <v>25000</v>
      </c>
      <c r="F21" s="2">
        <f t="shared" si="3"/>
        <v>125000</v>
      </c>
      <c r="G21" s="2">
        <f t="shared" si="4"/>
        <v>227272.72727272726</v>
      </c>
      <c r="H21" s="2">
        <f t="shared" si="5"/>
        <v>5.3565473235138121</v>
      </c>
    </row>
    <row r="22" spans="1:11">
      <c r="C22" s="2">
        <v>0.37</v>
      </c>
      <c r="D22" s="2">
        <v>6</v>
      </c>
      <c r="E22" s="2">
        <v>25000</v>
      </c>
      <c r="F22" s="2">
        <f t="shared" si="3"/>
        <v>150000</v>
      </c>
      <c r="G22" s="2">
        <f t="shared" si="4"/>
        <v>405405.40540540538</v>
      </c>
      <c r="H22" s="2">
        <f t="shared" si="5"/>
        <v>5.6078895349886864</v>
      </c>
    </row>
    <row r="24" spans="1:11">
      <c r="A24" s="2" t="s">
        <v>13</v>
      </c>
      <c r="B24" s="2" t="s">
        <v>10</v>
      </c>
      <c r="C24" s="2">
        <v>0.56000000000000005</v>
      </c>
      <c r="D24" s="2">
        <v>45</v>
      </c>
      <c r="E24" s="2">
        <v>25000000</v>
      </c>
      <c r="F24" s="2">
        <f>D24*E24</f>
        <v>1125000000</v>
      </c>
      <c r="G24" s="2">
        <f>(F24/C24)</f>
        <v>2008928571.4285712</v>
      </c>
      <c r="H24" s="2">
        <f>LOG10(G24)</f>
        <v>9.3029644954411808</v>
      </c>
      <c r="I24" s="2">
        <f>AVERAGE(H24:H29)</f>
        <v>8.8733093289018239</v>
      </c>
      <c r="J24" s="2">
        <f>STDEV(H24:H29)/SQRT(COUNT(H24:H29))</f>
        <v>0.24782715400621141</v>
      </c>
    </row>
    <row r="25" spans="1:11">
      <c r="C25" s="2">
        <v>0.47</v>
      </c>
      <c r="D25" s="2">
        <v>49</v>
      </c>
      <c r="E25" s="2">
        <v>25000000</v>
      </c>
      <c r="F25" s="2">
        <f t="shared" ref="F25:F35" si="6">D25*E25</f>
        <v>1225000000</v>
      </c>
      <c r="G25" s="2">
        <f t="shared" ref="G25:G35" si="7">(F25/C25)</f>
        <v>2606382978.7234044</v>
      </c>
      <c r="H25" s="2">
        <f t="shared" ref="H25:H35" si="8">LOG10(G25)</f>
        <v>9.4160382307648334</v>
      </c>
    </row>
    <row r="26" spans="1:11">
      <c r="C26" s="2">
        <v>0.64</v>
      </c>
      <c r="D26" s="2">
        <v>41</v>
      </c>
      <c r="E26" s="2">
        <v>2500000</v>
      </c>
      <c r="F26" s="2">
        <f t="shared" si="6"/>
        <v>102500000</v>
      </c>
      <c r="G26" s="2">
        <f t="shared" si="7"/>
        <v>160156250</v>
      </c>
      <c r="H26" s="2">
        <f t="shared" si="8"/>
        <v>8.2045438914078854</v>
      </c>
    </row>
    <row r="27" spans="1:11">
      <c r="C27" s="2">
        <v>0.35</v>
      </c>
      <c r="D27" s="2">
        <v>21</v>
      </c>
      <c r="E27" s="2">
        <v>25000000</v>
      </c>
      <c r="F27" s="2">
        <f t="shared" si="6"/>
        <v>525000000</v>
      </c>
      <c r="G27" s="2">
        <f t="shared" si="7"/>
        <v>1500000000</v>
      </c>
      <c r="H27" s="2">
        <f t="shared" si="8"/>
        <v>9.1760912590556813</v>
      </c>
    </row>
    <row r="28" spans="1:11">
      <c r="C28" s="2">
        <v>0.53</v>
      </c>
      <c r="D28" s="2">
        <v>29</v>
      </c>
      <c r="E28" s="2">
        <v>25000000</v>
      </c>
      <c r="F28" s="2">
        <f t="shared" si="6"/>
        <v>725000000</v>
      </c>
      <c r="G28" s="2">
        <f t="shared" si="7"/>
        <v>1367924528.3018868</v>
      </c>
      <c r="H28" s="2">
        <f t="shared" si="8"/>
        <v>9.1360621369702049</v>
      </c>
    </row>
    <row r="29" spans="1:11">
      <c r="C29" s="2">
        <v>0.52</v>
      </c>
      <c r="D29" s="2">
        <v>21</v>
      </c>
      <c r="E29" s="2">
        <v>2500000</v>
      </c>
      <c r="F29" s="2">
        <f t="shared" si="6"/>
        <v>52500000</v>
      </c>
      <c r="G29" s="2">
        <f t="shared" si="7"/>
        <v>100961538.46153846</v>
      </c>
      <c r="H29" s="2">
        <f t="shared" si="8"/>
        <v>8.0041559597711576</v>
      </c>
    </row>
    <row r="30" spans="1:11">
      <c r="B30" s="2" t="s">
        <v>11</v>
      </c>
      <c r="C30" s="2">
        <v>0.55000000000000004</v>
      </c>
      <c r="D30" s="2">
        <v>111</v>
      </c>
      <c r="E30" s="2">
        <v>2500000</v>
      </c>
      <c r="F30" s="2">
        <f t="shared" si="6"/>
        <v>277500000</v>
      </c>
      <c r="G30" s="2">
        <f t="shared" si="7"/>
        <v>504545454.5454545</v>
      </c>
      <c r="H30" s="2">
        <f t="shared" si="8"/>
        <v>8.702900297964451</v>
      </c>
      <c r="I30" s="2">
        <f>AVERAGE(H30:H35)</f>
        <v>7.9726657309621407</v>
      </c>
      <c r="J30" s="2">
        <f>STDEV(H30:H35)/SQRT(COUNT(H30:H35))</f>
        <v>0.35668404614811805</v>
      </c>
      <c r="K30" s="2">
        <f>TTEST(H24:H29,H30:H35,2,2)</f>
        <v>6.4886145269049122E-2</v>
      </c>
    </row>
    <row r="31" spans="1:11">
      <c r="C31" s="2">
        <v>0.41</v>
      </c>
      <c r="D31" s="2">
        <v>28</v>
      </c>
      <c r="E31" s="2">
        <v>25000000</v>
      </c>
      <c r="F31" s="2">
        <f t="shared" si="6"/>
        <v>700000000</v>
      </c>
      <c r="G31" s="2">
        <f t="shared" si="7"/>
        <v>1707317073.1707318</v>
      </c>
      <c r="H31" s="2">
        <f t="shared" si="8"/>
        <v>9.2323141832945215</v>
      </c>
    </row>
    <row r="32" spans="1:11">
      <c r="C32" s="2">
        <v>0.65</v>
      </c>
      <c r="D32" s="2">
        <v>27</v>
      </c>
      <c r="E32" s="2">
        <v>2500000</v>
      </c>
      <c r="F32" s="2">
        <f t="shared" si="6"/>
        <v>67500000</v>
      </c>
      <c r="G32" s="2">
        <f t="shared" si="7"/>
        <v>103846153.84615384</v>
      </c>
      <c r="H32" s="2">
        <f t="shared" si="8"/>
        <v>8.0163904161881696</v>
      </c>
    </row>
    <row r="33" spans="3:8">
      <c r="C33" s="2">
        <v>0.5</v>
      </c>
      <c r="D33" s="2">
        <v>6</v>
      </c>
      <c r="E33" s="2">
        <v>2500000</v>
      </c>
      <c r="F33" s="2">
        <f t="shared" si="6"/>
        <v>15000000</v>
      </c>
      <c r="G33" s="2">
        <f t="shared" si="7"/>
        <v>30000000</v>
      </c>
      <c r="H33" s="2">
        <f t="shared" si="8"/>
        <v>7.4771212547196626</v>
      </c>
    </row>
    <row r="34" spans="3:8">
      <c r="C34" s="2">
        <v>0.57999999999999996</v>
      </c>
      <c r="D34" s="2">
        <v>16</v>
      </c>
      <c r="E34" s="2">
        <v>250000</v>
      </c>
      <c r="F34" s="2">
        <f t="shared" si="6"/>
        <v>4000000</v>
      </c>
      <c r="G34" s="2">
        <f t="shared" si="7"/>
        <v>6896551.7241379311</v>
      </c>
      <c r="H34" s="2">
        <f t="shared" si="8"/>
        <v>6.8386319977650247</v>
      </c>
    </row>
    <row r="35" spans="3:8">
      <c r="C35" s="2">
        <v>0.54</v>
      </c>
      <c r="D35" s="2">
        <v>8</v>
      </c>
      <c r="E35" s="2">
        <v>2500000</v>
      </c>
      <c r="F35" s="2">
        <f t="shared" si="6"/>
        <v>20000000</v>
      </c>
      <c r="G35" s="2">
        <f t="shared" si="7"/>
        <v>37037037.037037037</v>
      </c>
      <c r="H35" s="2">
        <f t="shared" si="8"/>
        <v>7.5686362358410131</v>
      </c>
    </row>
  </sheetData>
  <phoneticPr fontId="9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35"/>
  <sheetViews>
    <sheetView workbookViewId="0">
      <selection activeCell="K7" sqref="K7"/>
    </sheetView>
  </sheetViews>
  <sheetFormatPr defaultColWidth="8.85546875" defaultRowHeight="14.6"/>
  <cols>
    <col min="1" max="4" width="8.85546875" style="2"/>
    <col min="5" max="6" width="8.35546875" style="2" bestFit="1" customWidth="1"/>
    <col min="7" max="16384" width="8.85546875" style="2"/>
  </cols>
  <sheetData>
    <row r="1" spans="1:15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19" t="s">
        <v>8</v>
      </c>
      <c r="L1" s="7"/>
      <c r="M1" s="7"/>
      <c r="N1" s="7"/>
      <c r="O1" s="7"/>
    </row>
    <row r="2" spans="1:15" ht="15.9">
      <c r="A2" t="s">
        <v>9</v>
      </c>
      <c r="B2" t="s">
        <v>10</v>
      </c>
      <c r="C2" s="2">
        <v>0.52</v>
      </c>
      <c r="D2" s="2">
        <v>57</v>
      </c>
      <c r="E2" s="2">
        <v>250000</v>
      </c>
      <c r="F2" s="2">
        <f t="shared" ref="F2:F9" si="0">D2*E2</f>
        <v>14250000</v>
      </c>
      <c r="G2" s="2">
        <f t="shared" ref="G2:G9" si="1">(F2/C2)</f>
        <v>27403846.153846152</v>
      </c>
      <c r="H2" s="2">
        <f t="shared" ref="H2:H9" si="2">LOG10(G2)</f>
        <v>7.4378115207097295</v>
      </c>
      <c r="I2" s="2">
        <f>AVERAGE(H2:H5)</f>
        <v>7.3800442487056754</v>
      </c>
      <c r="J2" s="2">
        <f>STDEV(H2:H5)/SQRT(COUNT(H2:H5))</f>
        <v>6.5914786591840205E-2</v>
      </c>
      <c r="L2" s="1"/>
      <c r="M2" s="1" t="s">
        <v>10</v>
      </c>
      <c r="N2" s="1" t="s">
        <v>11</v>
      </c>
      <c r="O2" s="3"/>
    </row>
    <row r="3" spans="1:15" ht="15.9">
      <c r="A3"/>
      <c r="B3"/>
      <c r="C3" s="2">
        <v>0.6</v>
      </c>
      <c r="D3" s="2">
        <v>40</v>
      </c>
      <c r="E3" s="2">
        <v>250000</v>
      </c>
      <c r="F3" s="2">
        <f t="shared" si="0"/>
        <v>10000000</v>
      </c>
      <c r="G3" s="2">
        <f t="shared" si="1"/>
        <v>16666666.666666668</v>
      </c>
      <c r="H3" s="2">
        <f t="shared" si="2"/>
        <v>7.2218487496163561</v>
      </c>
      <c r="L3" s="5" t="s">
        <v>9</v>
      </c>
      <c r="M3" s="1">
        <f>I2</f>
        <v>7.3800442487056754</v>
      </c>
      <c r="N3" s="1">
        <f>I6</f>
        <v>7.2960702202199323</v>
      </c>
      <c r="O3" s="3"/>
    </row>
    <row r="4" spans="1:15" ht="15.9">
      <c r="A4"/>
      <c r="B4"/>
      <c r="C4" s="2">
        <v>0.57999999999999996</v>
      </c>
      <c r="D4" s="2">
        <v>50</v>
      </c>
      <c r="E4" s="2">
        <v>250000</v>
      </c>
      <c r="F4" s="2">
        <f t="shared" si="0"/>
        <v>12500000</v>
      </c>
      <c r="G4" s="2">
        <f t="shared" si="1"/>
        <v>21551724.137931038</v>
      </c>
      <c r="H4" s="2">
        <f t="shared" si="2"/>
        <v>7.3334820194451193</v>
      </c>
      <c r="L4" s="1" t="s">
        <v>12</v>
      </c>
      <c r="M4" s="1">
        <f>I11</f>
        <v>7.2931054399789348</v>
      </c>
      <c r="N4" s="1">
        <f>I17</f>
        <v>5.7389063046142583</v>
      </c>
      <c r="O4" s="3"/>
    </row>
    <row r="5" spans="1:15" ht="15.9">
      <c r="A5"/>
      <c r="B5"/>
      <c r="C5" s="2">
        <v>0.26</v>
      </c>
      <c r="D5" s="2">
        <v>35</v>
      </c>
      <c r="E5" s="2">
        <v>250000</v>
      </c>
      <c r="F5" s="2">
        <f t="shared" si="0"/>
        <v>8750000</v>
      </c>
      <c r="G5" s="2">
        <f t="shared" si="1"/>
        <v>33653846.153846152</v>
      </c>
      <c r="H5" s="2">
        <f t="shared" si="2"/>
        <v>7.527034705051495</v>
      </c>
      <c r="L5" s="1" t="s">
        <v>13</v>
      </c>
      <c r="M5" s="2">
        <f>I24</f>
        <v>8.2563612822670809</v>
      </c>
      <c r="N5" s="1">
        <f>I30</f>
        <v>6.8821972205417445</v>
      </c>
      <c r="O5" s="3"/>
    </row>
    <row r="6" spans="1:15" ht="15.9">
      <c r="A6"/>
      <c r="B6" t="s">
        <v>11</v>
      </c>
      <c r="C6" s="2">
        <v>0.66</v>
      </c>
      <c r="D6" s="2">
        <v>46</v>
      </c>
      <c r="E6" s="2">
        <v>250000</v>
      </c>
      <c r="F6" s="2">
        <f t="shared" si="0"/>
        <v>11500000</v>
      </c>
      <c r="G6" s="2">
        <f t="shared" si="1"/>
        <v>17424242.424242422</v>
      </c>
      <c r="H6" s="2">
        <f t="shared" si="2"/>
        <v>7.2411539048117426</v>
      </c>
      <c r="I6" s="2">
        <f>AVERAGE(H6:H9)</f>
        <v>7.2960702202199323</v>
      </c>
      <c r="J6" s="2">
        <f>STDEV(H6:H9)/SQRT(COUNT(H6:H9))</f>
        <v>2.6416671867397837E-2</v>
      </c>
      <c r="K6" s="2">
        <f>TTEST(H2:H5,H6:H9,2,2)</f>
        <v>0.28172249915394082</v>
      </c>
      <c r="L6" s="1"/>
      <c r="M6" s="1"/>
      <c r="N6" s="1"/>
      <c r="O6" s="3"/>
    </row>
    <row r="7" spans="1:15">
      <c r="C7" s="2">
        <v>0.48</v>
      </c>
      <c r="D7" s="2">
        <v>36</v>
      </c>
      <c r="E7" s="2">
        <v>250000</v>
      </c>
      <c r="F7" s="2">
        <f t="shared" si="0"/>
        <v>9000000</v>
      </c>
      <c r="G7" s="2">
        <f t="shared" si="1"/>
        <v>18750000</v>
      </c>
      <c r="H7" s="2">
        <f t="shared" si="2"/>
        <v>7.2730012720637376</v>
      </c>
      <c r="L7" s="1"/>
      <c r="M7" s="1" t="s">
        <v>10</v>
      </c>
      <c r="N7" s="1" t="s">
        <v>11</v>
      </c>
      <c r="O7" s="3"/>
    </row>
    <row r="8" spans="1:15">
      <c r="C8" s="2">
        <v>0.41</v>
      </c>
      <c r="D8" s="2">
        <v>38</v>
      </c>
      <c r="E8" s="2">
        <v>250000</v>
      </c>
      <c r="F8" s="2">
        <f t="shared" si="0"/>
        <v>9500000</v>
      </c>
      <c r="G8" s="2">
        <f t="shared" si="1"/>
        <v>23170731.707317073</v>
      </c>
      <c r="H8" s="2">
        <f t="shared" si="2"/>
        <v>7.3649397485691122</v>
      </c>
      <c r="L8" s="5" t="s">
        <v>9</v>
      </c>
      <c r="M8" s="1">
        <f>J2</f>
        <v>6.5914786591840205E-2</v>
      </c>
      <c r="N8" s="1">
        <f>J6</f>
        <v>2.6416671867397837E-2</v>
      </c>
      <c r="O8" s="3"/>
    </row>
    <row r="9" spans="1:15">
      <c r="C9" s="2">
        <v>0.52</v>
      </c>
      <c r="D9" s="2">
        <v>42</v>
      </c>
      <c r="E9" s="2">
        <v>250000</v>
      </c>
      <c r="F9" s="2">
        <f t="shared" si="0"/>
        <v>10500000</v>
      </c>
      <c r="G9" s="2">
        <f t="shared" si="1"/>
        <v>20192307.692307692</v>
      </c>
      <c r="H9" s="2">
        <f t="shared" si="2"/>
        <v>7.3051859554351388</v>
      </c>
      <c r="L9" s="1" t="s">
        <v>12</v>
      </c>
      <c r="M9" s="1">
        <f>J11</f>
        <v>0.40629896153148015</v>
      </c>
      <c r="N9" s="1">
        <f>J24</f>
        <v>0.21050845283877037</v>
      </c>
      <c r="O9" s="3"/>
    </row>
    <row r="10" spans="1:15">
      <c r="L10" s="1" t="s">
        <v>13</v>
      </c>
      <c r="M10" s="1">
        <f>J17</f>
        <v>0.19989046366293439</v>
      </c>
      <c r="N10" s="1">
        <f>J30</f>
        <v>0.31905370626049034</v>
      </c>
      <c r="O10" s="3"/>
    </row>
    <row r="11" spans="1:15">
      <c r="A11" s="2" t="s">
        <v>12</v>
      </c>
      <c r="B11" s="2" t="s">
        <v>10</v>
      </c>
      <c r="C11" s="2">
        <v>1</v>
      </c>
      <c r="D11" s="2">
        <v>36</v>
      </c>
      <c r="E11" s="2">
        <v>2500000</v>
      </c>
      <c r="F11" s="2">
        <f t="shared" ref="F11:F22" si="3">D11*E11</f>
        <v>90000000</v>
      </c>
      <c r="G11" s="2">
        <f t="shared" ref="G11:G22" si="4">(F11/C11)</f>
        <v>90000000</v>
      </c>
      <c r="H11" s="2">
        <f t="shared" ref="H11:H22" si="5">LOG10(G11)</f>
        <v>7.9542425094393252</v>
      </c>
      <c r="I11" s="2">
        <f>AVERAGE(H11:H16)</f>
        <v>7.2931054399789348</v>
      </c>
      <c r="J11" s="2">
        <f>STDEV(H11:H16)/SQRT(COUNT(H11:H16))</f>
        <v>0.40629896153148015</v>
      </c>
    </row>
    <row r="12" spans="1:15">
      <c r="C12" s="2">
        <v>0.78</v>
      </c>
      <c r="D12" s="2">
        <v>7</v>
      </c>
      <c r="E12" s="2">
        <v>2500000</v>
      </c>
      <c r="F12" s="2">
        <f t="shared" si="3"/>
        <v>17500000</v>
      </c>
      <c r="G12" s="2">
        <f t="shared" si="4"/>
        <v>22435897.435897436</v>
      </c>
      <c r="H12" s="2">
        <f t="shared" si="5"/>
        <v>7.3509434459958136</v>
      </c>
    </row>
    <row r="13" spans="1:15">
      <c r="C13" s="2">
        <v>0.79</v>
      </c>
      <c r="D13" s="2">
        <v>14</v>
      </c>
      <c r="E13" s="2">
        <v>25000000</v>
      </c>
      <c r="F13" s="2">
        <f t="shared" si="3"/>
        <v>350000000</v>
      </c>
      <c r="G13" s="2">
        <f t="shared" si="4"/>
        <v>443037974.68354428</v>
      </c>
      <c r="H13" s="2">
        <f t="shared" si="5"/>
        <v>8.6464409530598338</v>
      </c>
    </row>
    <row r="14" spans="1:15">
      <c r="C14" s="2">
        <v>0.76</v>
      </c>
      <c r="D14" s="2">
        <v>5</v>
      </c>
      <c r="E14" s="2">
        <v>2500000</v>
      </c>
      <c r="F14" s="2">
        <f t="shared" si="3"/>
        <v>12500000</v>
      </c>
      <c r="G14" s="2">
        <f t="shared" si="4"/>
        <v>16447368.421052631</v>
      </c>
      <c r="H14" s="2">
        <f t="shared" si="5"/>
        <v>7.2160964207272649</v>
      </c>
    </row>
    <row r="15" spans="1:15">
      <c r="C15" s="2">
        <v>0.56000000000000005</v>
      </c>
      <c r="D15" s="2">
        <v>17</v>
      </c>
      <c r="E15" s="2">
        <v>250000</v>
      </c>
      <c r="F15" s="2">
        <f t="shared" si="3"/>
        <v>4250000</v>
      </c>
      <c r="G15" s="2">
        <f t="shared" si="4"/>
        <v>7589285.7142857136</v>
      </c>
      <c r="H15" s="2">
        <f t="shared" si="5"/>
        <v>6.8802009030441109</v>
      </c>
    </row>
    <row r="16" spans="1:15">
      <c r="C16" s="2">
        <v>0.73</v>
      </c>
      <c r="D16" s="2">
        <v>15</v>
      </c>
      <c r="E16" s="2">
        <v>25000</v>
      </c>
      <c r="F16" s="2">
        <f t="shared" si="3"/>
        <v>375000</v>
      </c>
      <c r="G16" s="2">
        <f t="shared" si="4"/>
        <v>513698.63013698632</v>
      </c>
      <c r="H16" s="2">
        <f t="shared" si="5"/>
        <v>5.7107084076072629</v>
      </c>
    </row>
    <row r="17" spans="1:11">
      <c r="B17" s="2" t="s">
        <v>11</v>
      </c>
      <c r="C17" s="2">
        <v>0.93</v>
      </c>
      <c r="D17" s="2">
        <v>13</v>
      </c>
      <c r="E17" s="2">
        <v>250000</v>
      </c>
      <c r="F17" s="2">
        <f t="shared" si="3"/>
        <v>3250000</v>
      </c>
      <c r="G17" s="2">
        <f t="shared" si="4"/>
        <v>3494623.6559139783</v>
      </c>
      <c r="H17" s="2">
        <f t="shared" si="5"/>
        <v>6.5434004124249396</v>
      </c>
      <c r="I17" s="2">
        <f>AVERAGE(H17:H22)</f>
        <v>5.7389063046142583</v>
      </c>
      <c r="J17" s="2">
        <f>STDEV(H17:H22)/SQRT(COUNT(H17:H22))</f>
        <v>0.19989046366293439</v>
      </c>
      <c r="K17" s="2">
        <f>TTEST(H11:H16,H17:H22,2,2)</f>
        <v>6.4130675275372931E-3</v>
      </c>
    </row>
    <row r="18" spans="1:11">
      <c r="C18" s="2">
        <v>0.85</v>
      </c>
      <c r="D18" s="2">
        <v>28</v>
      </c>
      <c r="E18" s="2">
        <v>25000</v>
      </c>
      <c r="F18" s="2">
        <f t="shared" si="3"/>
        <v>700000</v>
      </c>
      <c r="G18" s="2">
        <f t="shared" si="4"/>
        <v>823529.4117647059</v>
      </c>
      <c r="H18" s="2">
        <f t="shared" si="5"/>
        <v>5.9156791142999641</v>
      </c>
    </row>
    <row r="19" spans="1:11">
      <c r="C19" s="2">
        <v>0.62</v>
      </c>
      <c r="D19" s="2">
        <v>20</v>
      </c>
      <c r="E19" s="2">
        <v>25000</v>
      </c>
      <c r="F19" s="2">
        <f t="shared" si="3"/>
        <v>500000</v>
      </c>
      <c r="G19" s="2">
        <f t="shared" si="4"/>
        <v>806451.61290322582</v>
      </c>
      <c r="H19" s="2">
        <f t="shared" si="5"/>
        <v>5.9065783148377653</v>
      </c>
    </row>
    <row r="20" spans="1:11">
      <c r="C20" s="2">
        <v>0.59</v>
      </c>
      <c r="D20" s="2">
        <v>4</v>
      </c>
      <c r="E20" s="2">
        <v>25000</v>
      </c>
      <c r="F20" s="2">
        <f t="shared" si="3"/>
        <v>100000</v>
      </c>
      <c r="G20" s="2">
        <f t="shared" si="4"/>
        <v>169491.52542372883</v>
      </c>
      <c r="H20" s="2">
        <f t="shared" si="5"/>
        <v>5.2291479883578562</v>
      </c>
    </row>
    <row r="21" spans="1:11">
      <c r="C21" s="2">
        <v>0.57999999999999996</v>
      </c>
      <c r="D21" s="2">
        <v>8</v>
      </c>
      <c r="E21" s="2">
        <v>25000</v>
      </c>
      <c r="F21" s="2">
        <f t="shared" si="3"/>
        <v>200000</v>
      </c>
      <c r="G21" s="2">
        <f t="shared" si="4"/>
        <v>344827.58620689658</v>
      </c>
      <c r="H21" s="2">
        <f t="shared" si="5"/>
        <v>5.5376020021010444</v>
      </c>
    </row>
    <row r="22" spans="1:11">
      <c r="C22" s="2">
        <v>0.75</v>
      </c>
      <c r="D22" s="2">
        <v>6</v>
      </c>
      <c r="E22" s="2">
        <v>25000</v>
      </c>
      <c r="F22" s="2">
        <f t="shared" si="3"/>
        <v>150000</v>
      </c>
      <c r="G22" s="2">
        <f t="shared" si="4"/>
        <v>200000</v>
      </c>
      <c r="H22" s="2">
        <f t="shared" si="5"/>
        <v>5.3010299956639813</v>
      </c>
    </row>
    <row r="24" spans="1:11">
      <c r="A24" s="2" t="s">
        <v>13</v>
      </c>
      <c r="B24" s="2" t="s">
        <v>10</v>
      </c>
      <c r="C24" s="2">
        <v>0.91</v>
      </c>
      <c r="D24" s="2">
        <v>9</v>
      </c>
      <c r="E24" s="2">
        <v>25000000</v>
      </c>
      <c r="F24" s="2">
        <f t="shared" ref="F24:F35" si="6">D24*E24</f>
        <v>225000000</v>
      </c>
      <c r="G24" s="2">
        <f t="shared" ref="G24:G35" si="7">(F24/C24)</f>
        <v>247252747.25274724</v>
      </c>
      <c r="H24" s="2">
        <f t="shared" ref="H24:H35" si="8">LOG10(G24)</f>
        <v>8.3931411257902688</v>
      </c>
      <c r="I24" s="2">
        <f>AVERAGE(H24:H29)</f>
        <v>8.2563612822670809</v>
      </c>
      <c r="J24" s="2">
        <f>STDEV(H24:H29)/SQRT(COUNT(H24:H29))</f>
        <v>0.21050845283877037</v>
      </c>
    </row>
    <row r="25" spans="1:11">
      <c r="C25" s="2">
        <v>0.74</v>
      </c>
      <c r="D25" s="2">
        <v>15</v>
      </c>
      <c r="E25" s="2">
        <v>25000000</v>
      </c>
      <c r="F25" s="2">
        <f t="shared" si="6"/>
        <v>375000000</v>
      </c>
      <c r="G25" s="2">
        <f t="shared" si="7"/>
        <v>506756756.75675678</v>
      </c>
      <c r="H25" s="2">
        <f t="shared" si="8"/>
        <v>8.7047995479967426</v>
      </c>
    </row>
    <row r="26" spans="1:11">
      <c r="C26" s="2">
        <v>0.75</v>
      </c>
      <c r="D26" s="2">
        <v>35</v>
      </c>
      <c r="E26" s="2">
        <v>2500000</v>
      </c>
      <c r="F26" s="2">
        <f t="shared" si="6"/>
        <v>87500000</v>
      </c>
      <c r="G26" s="2">
        <f t="shared" si="7"/>
        <v>116666666.66666667</v>
      </c>
      <c r="H26" s="2">
        <f t="shared" si="8"/>
        <v>8.0669467896306131</v>
      </c>
    </row>
    <row r="27" spans="1:11">
      <c r="C27" s="2">
        <v>0.59</v>
      </c>
      <c r="D27" s="2">
        <v>21</v>
      </c>
      <c r="E27" s="2">
        <v>25000000</v>
      </c>
      <c r="F27" s="2">
        <f t="shared" si="6"/>
        <v>525000000</v>
      </c>
      <c r="G27" s="2">
        <f t="shared" si="7"/>
        <v>889830508.47457635</v>
      </c>
      <c r="H27" s="2">
        <f t="shared" si="8"/>
        <v>8.9493072917638123</v>
      </c>
    </row>
    <row r="28" spans="1:11">
      <c r="C28" s="2">
        <v>0.37</v>
      </c>
      <c r="D28" s="2">
        <v>8</v>
      </c>
      <c r="E28" s="2">
        <v>2500000</v>
      </c>
      <c r="F28" s="2">
        <f t="shared" si="6"/>
        <v>20000000</v>
      </c>
      <c r="G28" s="2">
        <f t="shared" si="7"/>
        <v>54054054.054054052</v>
      </c>
      <c r="H28" s="2">
        <f t="shared" si="8"/>
        <v>7.7328282715969863</v>
      </c>
    </row>
    <row r="29" spans="1:11">
      <c r="C29" s="2">
        <v>0.56000000000000005</v>
      </c>
      <c r="D29" s="2">
        <v>11</v>
      </c>
      <c r="E29" s="2">
        <v>2500000</v>
      </c>
      <c r="F29" s="2">
        <f t="shared" si="6"/>
        <v>27500000</v>
      </c>
      <c r="G29" s="2">
        <f t="shared" si="7"/>
        <v>49107142.857142851</v>
      </c>
      <c r="H29" s="2">
        <f t="shared" si="8"/>
        <v>7.6911446668240622</v>
      </c>
    </row>
    <row r="30" spans="1:11">
      <c r="B30" s="2" t="s">
        <v>11</v>
      </c>
      <c r="C30" s="2">
        <v>0.72</v>
      </c>
      <c r="D30" s="2">
        <v>23</v>
      </c>
      <c r="E30" s="2">
        <v>2500000</v>
      </c>
      <c r="F30" s="2">
        <f t="shared" si="6"/>
        <v>57500000</v>
      </c>
      <c r="G30" s="2">
        <f t="shared" si="7"/>
        <v>79861111.111111119</v>
      </c>
      <c r="H30" s="2">
        <f t="shared" si="8"/>
        <v>7.9023353482583625</v>
      </c>
      <c r="I30" s="2">
        <f>AVERAGE(H30:H35)</f>
        <v>6.8821972205417445</v>
      </c>
      <c r="J30" s="2">
        <f>STDEV(H30:H35)/SQRT(COUNT(H30:H35))</f>
        <v>0.31905370626049034</v>
      </c>
      <c r="K30" s="2">
        <f>TTEST(H24:H29,H30:H35,2,2)</f>
        <v>4.8882544245920289E-3</v>
      </c>
    </row>
    <row r="31" spans="1:11">
      <c r="C31" s="2">
        <v>0.65</v>
      </c>
      <c r="D31" s="2">
        <v>43</v>
      </c>
      <c r="E31" s="2">
        <v>250000</v>
      </c>
      <c r="F31" s="2">
        <f t="shared" si="6"/>
        <v>10750000</v>
      </c>
      <c r="G31" s="2">
        <f t="shared" si="7"/>
        <v>16538461.538461538</v>
      </c>
      <c r="H31" s="2">
        <f t="shared" si="8"/>
        <v>7.2184951076087689</v>
      </c>
    </row>
    <row r="32" spans="1:11">
      <c r="C32" s="2">
        <v>0.77</v>
      </c>
      <c r="D32" s="2">
        <v>11</v>
      </c>
      <c r="E32" s="2">
        <v>2500000</v>
      </c>
      <c r="F32" s="2">
        <f t="shared" si="6"/>
        <v>27500000</v>
      </c>
      <c r="G32" s="2">
        <f t="shared" si="7"/>
        <v>35714285.714285716</v>
      </c>
      <c r="H32" s="2">
        <f t="shared" si="8"/>
        <v>7.5528419686577806</v>
      </c>
    </row>
    <row r="33" spans="3:8">
      <c r="C33" s="2">
        <v>0.59</v>
      </c>
      <c r="D33" s="2">
        <v>5</v>
      </c>
      <c r="E33" s="2">
        <v>250000</v>
      </c>
      <c r="F33" s="2">
        <f t="shared" si="6"/>
        <v>1250000</v>
      </c>
      <c r="G33" s="2">
        <f t="shared" si="7"/>
        <v>2118644.0677966103</v>
      </c>
      <c r="H33" s="2">
        <f t="shared" si="8"/>
        <v>6.3260580013659125</v>
      </c>
    </row>
    <row r="34" spans="3:8">
      <c r="C34" s="2">
        <v>0.6</v>
      </c>
      <c r="D34" s="2">
        <v>5</v>
      </c>
      <c r="E34" s="2">
        <v>250000</v>
      </c>
      <c r="F34" s="2">
        <f t="shared" si="6"/>
        <v>1250000</v>
      </c>
      <c r="G34" s="2">
        <f t="shared" si="7"/>
        <v>2083333.3333333335</v>
      </c>
      <c r="H34" s="2">
        <f t="shared" si="8"/>
        <v>6.3187587626244124</v>
      </c>
    </row>
    <row r="35" spans="3:8">
      <c r="C35" s="2">
        <v>0.53</v>
      </c>
      <c r="D35" s="2">
        <v>2</v>
      </c>
      <c r="E35" s="2">
        <v>250000</v>
      </c>
      <c r="F35" s="2">
        <f t="shared" si="6"/>
        <v>500000</v>
      </c>
      <c r="G35" s="2">
        <f t="shared" si="7"/>
        <v>943396.22641509434</v>
      </c>
      <c r="H35" s="2">
        <f t="shared" si="8"/>
        <v>5.9746941347352296</v>
      </c>
    </row>
  </sheetData>
  <phoneticPr fontId="9"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39"/>
  <sheetViews>
    <sheetView workbookViewId="0">
      <selection activeCell="K1" sqref="K1"/>
    </sheetView>
  </sheetViews>
  <sheetFormatPr defaultColWidth="8.85546875" defaultRowHeight="14.6"/>
  <cols>
    <col min="1" max="4" width="8.85546875" style="2"/>
    <col min="5" max="6" width="8.35546875" style="2" bestFit="1" customWidth="1"/>
    <col min="7" max="16384" width="8.85546875" style="2"/>
  </cols>
  <sheetData>
    <row r="1" spans="1:15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19" t="s">
        <v>8</v>
      </c>
    </row>
    <row r="2" spans="1:15" ht="15.9">
      <c r="A2" t="s">
        <v>9</v>
      </c>
      <c r="B2" t="s">
        <v>10</v>
      </c>
      <c r="C2" s="2">
        <v>0.37</v>
      </c>
      <c r="D2" s="2">
        <v>20</v>
      </c>
      <c r="E2" s="2">
        <v>250000</v>
      </c>
      <c r="F2" s="2">
        <f t="shared" ref="F2:F7" si="0">D2*E2</f>
        <v>5000000</v>
      </c>
      <c r="G2" s="2">
        <f t="shared" ref="G2:G7" si="1">(F2/C2)</f>
        <v>13513513.513513513</v>
      </c>
      <c r="H2" s="2">
        <f t="shared" ref="H2:H8" si="2">LOG10(G2)</f>
        <v>7.1307682802690238</v>
      </c>
      <c r="I2" s="2">
        <f>AVERAGE(H2:H7)</f>
        <v>6.1162983013571788</v>
      </c>
      <c r="J2" s="2">
        <f>STDEV(H2:H7)/SQRT(COUNT(H2:H7))</f>
        <v>0.48205343155682123</v>
      </c>
      <c r="M2" s="1"/>
      <c r="N2" s="1" t="s">
        <v>10</v>
      </c>
      <c r="O2" s="1" t="s">
        <v>11</v>
      </c>
    </row>
    <row r="3" spans="1:15" ht="15.9">
      <c r="A3"/>
      <c r="B3"/>
      <c r="C3" s="2">
        <v>0.41</v>
      </c>
      <c r="D3" s="2">
        <v>16</v>
      </c>
      <c r="E3" s="2">
        <v>250000</v>
      </c>
      <c r="F3" s="2">
        <f t="shared" si="0"/>
        <v>4000000</v>
      </c>
      <c r="G3" s="2">
        <f t="shared" si="1"/>
        <v>9756097.5609756112</v>
      </c>
      <c r="H3" s="2">
        <f t="shared" si="2"/>
        <v>6.9892761346082271</v>
      </c>
      <c r="M3" s="5" t="s">
        <v>9</v>
      </c>
      <c r="N3" s="1">
        <f>I2</f>
        <v>6.1162983013571788</v>
      </c>
      <c r="O3" s="1">
        <f>I8</f>
        <v>6.2969622975315902</v>
      </c>
    </row>
    <row r="4" spans="1:15" ht="15.9">
      <c r="A4"/>
      <c r="B4"/>
      <c r="C4" s="2">
        <v>0.35</v>
      </c>
      <c r="D4" s="2">
        <v>32</v>
      </c>
      <c r="E4" s="2">
        <v>250000</v>
      </c>
      <c r="F4" s="2">
        <f t="shared" si="0"/>
        <v>8000000</v>
      </c>
      <c r="G4" s="2">
        <f t="shared" si="1"/>
        <v>22857142.857142858</v>
      </c>
      <c r="H4" s="2">
        <f t="shared" si="2"/>
        <v>7.3590219426416681</v>
      </c>
      <c r="M4" s="1" t="s">
        <v>12</v>
      </c>
      <c r="N4" s="1">
        <f>I15</f>
        <v>7.869349403454545</v>
      </c>
      <c r="O4" s="1">
        <f>I21</f>
        <v>6.6194962542488502</v>
      </c>
    </row>
    <row r="5" spans="1:15" ht="15.9">
      <c r="A5"/>
      <c r="C5" s="2">
        <v>0.35</v>
      </c>
      <c r="D5" s="2">
        <v>2</v>
      </c>
      <c r="E5" s="2">
        <v>25000</v>
      </c>
      <c r="F5" s="2">
        <f t="shared" si="0"/>
        <v>50000</v>
      </c>
      <c r="G5" s="2">
        <f t="shared" si="1"/>
        <v>142857.14285714287</v>
      </c>
      <c r="H5" s="2">
        <f t="shared" si="2"/>
        <v>5.1549019599857431</v>
      </c>
      <c r="M5" s="1" t="s">
        <v>13</v>
      </c>
      <c r="N5" s="2">
        <f>I28</f>
        <v>8.4261787986511845</v>
      </c>
      <c r="O5" s="1">
        <f>I34</f>
        <v>7.7118627107117987</v>
      </c>
    </row>
    <row r="6" spans="1:15" ht="15.9">
      <c r="A6"/>
      <c r="C6" s="2">
        <v>0.37</v>
      </c>
      <c r="D6" s="2">
        <v>6</v>
      </c>
      <c r="E6" s="2">
        <v>2500</v>
      </c>
      <c r="F6" s="2">
        <f t="shared" si="0"/>
        <v>15000</v>
      </c>
      <c r="G6" s="2">
        <f t="shared" si="1"/>
        <v>40540.54054054054</v>
      </c>
      <c r="H6" s="2">
        <f t="shared" si="2"/>
        <v>4.6078895349886864</v>
      </c>
      <c r="M6" s="1"/>
      <c r="N6" s="1"/>
      <c r="O6" s="1"/>
    </row>
    <row r="7" spans="1:15">
      <c r="C7" s="2">
        <v>0.35</v>
      </c>
      <c r="D7" s="2">
        <v>4</v>
      </c>
      <c r="E7" s="2">
        <v>25000</v>
      </c>
      <c r="F7" s="2">
        <f t="shared" si="0"/>
        <v>100000</v>
      </c>
      <c r="G7" s="2">
        <f t="shared" si="1"/>
        <v>285714.28571428574</v>
      </c>
      <c r="H7" s="2">
        <f t="shared" si="2"/>
        <v>5.4559319556497243</v>
      </c>
      <c r="M7" s="1"/>
      <c r="N7" s="1" t="s">
        <v>10</v>
      </c>
      <c r="O7" s="1" t="s">
        <v>11</v>
      </c>
    </row>
    <row r="8" spans="1:15" ht="15.9">
      <c r="B8" t="s">
        <v>11</v>
      </c>
      <c r="C8" s="2">
        <v>0.38</v>
      </c>
      <c r="D8" s="2">
        <v>6</v>
      </c>
      <c r="E8" s="2">
        <v>250000</v>
      </c>
      <c r="F8" s="2">
        <f>D8*E8</f>
        <v>1500000</v>
      </c>
      <c r="G8" s="2">
        <f>(F8/C8)</f>
        <v>3947368.4210526315</v>
      </c>
      <c r="H8" s="2">
        <f t="shared" si="2"/>
        <v>6.5963076624388712</v>
      </c>
      <c r="I8" s="2">
        <f>AVERAGE(H8:H13)</f>
        <v>6.2969622975315902</v>
      </c>
      <c r="J8" s="2">
        <f>STDEV(H8:H13)/SQRT(COUNT(H8:H13))</f>
        <v>0.17254227598119154</v>
      </c>
      <c r="K8" s="2">
        <f>TTEST(H2:H7,H8:H13,2,2)</f>
        <v>0.73151945774038085</v>
      </c>
      <c r="M8" s="5" t="s">
        <v>9</v>
      </c>
      <c r="N8" s="1">
        <f>J2</f>
        <v>0.48205343155682123</v>
      </c>
      <c r="O8" s="1">
        <f>J8</f>
        <v>0.17254227598119154</v>
      </c>
    </row>
    <row r="9" spans="1:15">
      <c r="C9" s="2">
        <v>0.4</v>
      </c>
      <c r="D9" s="2">
        <v>8</v>
      </c>
      <c r="E9" s="2">
        <v>250000</v>
      </c>
      <c r="F9" s="2">
        <f>D9*E9</f>
        <v>2000000</v>
      </c>
      <c r="G9" s="2">
        <f>(F9/C9)</f>
        <v>5000000</v>
      </c>
      <c r="H9" s="2">
        <f>LOG10(G9)</f>
        <v>6.6989700043360187</v>
      </c>
      <c r="M9" s="1" t="s">
        <v>12</v>
      </c>
      <c r="N9" s="1">
        <f>J15</f>
        <v>0.27488991447910527</v>
      </c>
      <c r="O9" s="1">
        <f>J28</f>
        <v>9.7690378455228183E-2</v>
      </c>
    </row>
    <row r="10" spans="1:15">
      <c r="C10" s="2">
        <v>0.3</v>
      </c>
      <c r="D10" s="2">
        <v>56</v>
      </c>
      <c r="E10" s="2">
        <v>25000</v>
      </c>
      <c r="F10" s="2">
        <f>D10*E10</f>
        <v>1400000</v>
      </c>
      <c r="G10" s="2">
        <f>(F10/C10)</f>
        <v>4666666.666666667</v>
      </c>
      <c r="H10" s="2">
        <f>LOG10(G10)</f>
        <v>6.6690067809585756</v>
      </c>
      <c r="M10" s="1" t="s">
        <v>13</v>
      </c>
      <c r="N10" s="1">
        <f>J21</f>
        <v>0.29786172608191186</v>
      </c>
      <c r="O10" s="1">
        <f>J34</f>
        <v>0.24673994672538258</v>
      </c>
    </row>
    <row r="11" spans="1:15">
      <c r="C11" s="2">
        <v>0.41</v>
      </c>
      <c r="D11" s="2">
        <v>9</v>
      </c>
      <c r="E11" s="2">
        <v>25000</v>
      </c>
      <c r="F11" s="2">
        <f t="shared" ref="F11:F13" si="3">D11*E11</f>
        <v>225000</v>
      </c>
      <c r="G11" s="2">
        <f t="shared" ref="G11:G13" si="4">(F11/C11)</f>
        <v>548780.48780487804</v>
      </c>
      <c r="H11" s="2">
        <f t="shared" ref="H11:H13" si="5">LOG10(G11)</f>
        <v>5.7393986613916272</v>
      </c>
      <c r="M11" s="1"/>
      <c r="N11" s="1"/>
      <c r="O11" s="1"/>
    </row>
    <row r="12" spans="1:15">
      <c r="C12" s="2">
        <v>0.34</v>
      </c>
      <c r="D12" s="2">
        <v>10</v>
      </c>
      <c r="E12" s="2">
        <v>25000</v>
      </c>
      <c r="F12" s="2">
        <f t="shared" si="3"/>
        <v>250000</v>
      </c>
      <c r="G12" s="2">
        <f t="shared" si="4"/>
        <v>735294.1176470588</v>
      </c>
      <c r="H12" s="2">
        <f t="shared" si="5"/>
        <v>5.8664610916297821</v>
      </c>
      <c r="M12" s="1"/>
      <c r="N12" s="1"/>
      <c r="O12" s="1"/>
    </row>
    <row r="13" spans="1:15">
      <c r="C13" s="2">
        <v>0.43</v>
      </c>
      <c r="D13" s="2">
        <v>28</v>
      </c>
      <c r="E13" s="2">
        <v>25000</v>
      </c>
      <c r="F13" s="2">
        <f t="shared" si="3"/>
        <v>700000</v>
      </c>
      <c r="G13" s="2">
        <f t="shared" si="4"/>
        <v>1627906.9767441861</v>
      </c>
      <c r="H13" s="2">
        <f t="shared" si="5"/>
        <v>6.2116295844346707</v>
      </c>
      <c r="M13" s="1"/>
      <c r="N13" s="1"/>
      <c r="O13" s="1"/>
    </row>
    <row r="14" spans="1:15">
      <c r="M14" s="1"/>
      <c r="N14" s="1"/>
      <c r="O14" s="1"/>
    </row>
    <row r="15" spans="1:15">
      <c r="A15" s="2" t="s">
        <v>12</v>
      </c>
      <c r="B15" s="2" t="s">
        <v>10</v>
      </c>
      <c r="C15" s="2">
        <v>0.4</v>
      </c>
      <c r="D15" s="2">
        <v>4</v>
      </c>
      <c r="E15" s="2">
        <v>2500000</v>
      </c>
      <c r="F15" s="2">
        <f t="shared" ref="F15:F26" si="6">D15*E15</f>
        <v>10000000</v>
      </c>
      <c r="G15" s="2">
        <f t="shared" ref="G15:G26" si="7">(F15/C15)</f>
        <v>25000000</v>
      </c>
      <c r="H15" s="2">
        <f t="shared" ref="H15:H26" si="8">LOG10(G15)</f>
        <v>7.3979400086720375</v>
      </c>
      <c r="I15" s="2">
        <f>AVERAGE(H15:H20)</f>
        <v>7.869349403454545</v>
      </c>
      <c r="J15" s="2">
        <f>STDEV(H15:H20)/SQRT(COUNT(H15:H20))</f>
        <v>0.27488991447910527</v>
      </c>
    </row>
    <row r="16" spans="1:15">
      <c r="C16" s="2">
        <v>0.42</v>
      </c>
      <c r="D16" s="2">
        <v>16</v>
      </c>
      <c r="E16" s="2">
        <v>25000000</v>
      </c>
      <c r="F16" s="2">
        <f t="shared" si="6"/>
        <v>400000000</v>
      </c>
      <c r="G16" s="2">
        <f t="shared" si="7"/>
        <v>952380952.38095236</v>
      </c>
      <c r="H16" s="2">
        <f t="shared" si="8"/>
        <v>8.9788107009300617</v>
      </c>
    </row>
    <row r="17" spans="1:11">
      <c r="C17" s="2">
        <v>0.4</v>
      </c>
      <c r="D17" s="2">
        <v>36</v>
      </c>
      <c r="E17" s="2">
        <v>2500000</v>
      </c>
      <c r="F17" s="2">
        <f t="shared" si="6"/>
        <v>90000000</v>
      </c>
      <c r="G17" s="2">
        <f t="shared" si="7"/>
        <v>225000000</v>
      </c>
      <c r="H17" s="2">
        <f t="shared" si="8"/>
        <v>8.3521825181113627</v>
      </c>
    </row>
    <row r="18" spans="1:11">
      <c r="C18" s="2">
        <v>0.5</v>
      </c>
      <c r="D18" s="2">
        <v>30</v>
      </c>
      <c r="E18" s="2">
        <v>250000</v>
      </c>
      <c r="F18" s="2">
        <f t="shared" si="6"/>
        <v>7500000</v>
      </c>
      <c r="G18" s="2">
        <f t="shared" si="7"/>
        <v>15000000</v>
      </c>
      <c r="H18" s="2">
        <f t="shared" si="8"/>
        <v>7.1760912590556813</v>
      </c>
    </row>
    <row r="19" spans="1:11">
      <c r="C19" s="2">
        <v>0.45</v>
      </c>
      <c r="D19" s="2">
        <v>7</v>
      </c>
      <c r="E19" s="2">
        <v>2500000</v>
      </c>
      <c r="F19" s="2">
        <f t="shared" si="6"/>
        <v>17500000</v>
      </c>
      <c r="G19" s="2">
        <f t="shared" si="7"/>
        <v>38888888.888888888</v>
      </c>
      <c r="H19" s="2">
        <f t="shared" si="8"/>
        <v>7.5898255349109505</v>
      </c>
    </row>
    <row r="20" spans="1:11">
      <c r="C20" s="2">
        <v>0.38</v>
      </c>
      <c r="D20" s="2">
        <v>8</v>
      </c>
      <c r="E20" s="2">
        <v>2500000</v>
      </c>
      <c r="F20" s="2">
        <f t="shared" si="6"/>
        <v>20000000</v>
      </c>
      <c r="G20" s="2">
        <f t="shared" si="7"/>
        <v>52631578.947368421</v>
      </c>
      <c r="H20" s="2">
        <f t="shared" si="8"/>
        <v>7.7212463990471711</v>
      </c>
    </row>
    <row r="21" spans="1:11">
      <c r="B21" s="2" t="s">
        <v>11</v>
      </c>
      <c r="C21" s="2">
        <v>0.65</v>
      </c>
      <c r="D21" s="2">
        <v>30</v>
      </c>
      <c r="E21" s="2">
        <v>250000</v>
      </c>
      <c r="F21" s="2">
        <f t="shared" si="6"/>
        <v>7500000</v>
      </c>
      <c r="G21" s="2">
        <f t="shared" si="7"/>
        <v>11538461.538461538</v>
      </c>
      <c r="H21" s="2">
        <f t="shared" si="8"/>
        <v>7.0621479067488444</v>
      </c>
      <c r="I21" s="2">
        <f>AVERAGE(H21:H26)</f>
        <v>6.6194962542488502</v>
      </c>
      <c r="J21" s="2">
        <f>STDEV(H21:H26)/SQRT(COUNT(H21:H26))</f>
        <v>0.29786172608191186</v>
      </c>
      <c r="K21" s="2">
        <f>TTEST(H15:H20,H21:H26,2,2)</f>
        <v>1.1569381099282752E-2</v>
      </c>
    </row>
    <row r="22" spans="1:11">
      <c r="C22" s="2">
        <v>0.54</v>
      </c>
      <c r="D22" s="2">
        <v>14</v>
      </c>
      <c r="E22" s="2">
        <v>250000</v>
      </c>
      <c r="F22" s="2">
        <f t="shared" si="6"/>
        <v>3500000</v>
      </c>
      <c r="G22" s="2">
        <f t="shared" si="7"/>
        <v>6481481.4814814813</v>
      </c>
      <c r="H22" s="2">
        <f t="shared" si="8"/>
        <v>6.8116742845273075</v>
      </c>
    </row>
    <row r="23" spans="1:11">
      <c r="C23" s="2">
        <v>0.41</v>
      </c>
      <c r="D23" s="2">
        <v>98</v>
      </c>
      <c r="E23" s="2">
        <v>250000</v>
      </c>
      <c r="F23" s="2">
        <f t="shared" si="6"/>
        <v>24500000</v>
      </c>
      <c r="G23" s="2">
        <f t="shared" si="7"/>
        <v>59756097.560975611</v>
      </c>
      <c r="H23" s="2">
        <f t="shared" si="8"/>
        <v>7.7763822276447971</v>
      </c>
    </row>
    <row r="24" spans="1:11">
      <c r="C24" s="2">
        <v>0.61</v>
      </c>
      <c r="D24" s="2">
        <v>20</v>
      </c>
      <c r="E24" s="2">
        <v>25000</v>
      </c>
      <c r="F24" s="2">
        <f t="shared" si="6"/>
        <v>500000</v>
      </c>
      <c r="G24" s="2">
        <f t="shared" si="7"/>
        <v>819672.13114754099</v>
      </c>
      <c r="H24" s="2">
        <f t="shared" si="8"/>
        <v>5.9136401693252516</v>
      </c>
    </row>
    <row r="25" spans="1:11">
      <c r="C25" s="2">
        <v>0.41</v>
      </c>
      <c r="D25" s="2">
        <v>18</v>
      </c>
      <c r="E25" s="2">
        <v>25000</v>
      </c>
      <c r="F25" s="2">
        <f t="shared" si="6"/>
        <v>450000</v>
      </c>
      <c r="G25" s="2">
        <f t="shared" si="7"/>
        <v>1097560.9756097561</v>
      </c>
      <c r="H25" s="2">
        <f t="shared" si="8"/>
        <v>6.0404286570556085</v>
      </c>
    </row>
    <row r="26" spans="1:11">
      <c r="C26" s="2">
        <v>0.54</v>
      </c>
      <c r="D26" s="2">
        <v>28</v>
      </c>
      <c r="E26" s="2">
        <v>25000</v>
      </c>
      <c r="F26" s="2">
        <f t="shared" si="6"/>
        <v>700000</v>
      </c>
      <c r="G26" s="2">
        <f t="shared" si="7"/>
        <v>1296296.2962962962</v>
      </c>
      <c r="H26" s="2">
        <f t="shared" si="8"/>
        <v>6.1127042801912879</v>
      </c>
    </row>
    <row r="28" spans="1:11">
      <c r="A28" s="2" t="s">
        <v>13</v>
      </c>
      <c r="B28" s="2" t="s">
        <v>10</v>
      </c>
      <c r="C28" s="2">
        <v>0.45</v>
      </c>
      <c r="D28" s="2">
        <v>8</v>
      </c>
      <c r="E28" s="2">
        <v>25000000</v>
      </c>
      <c r="F28" s="2">
        <f t="shared" ref="F28:F39" si="9">D28*E28</f>
        <v>200000000</v>
      </c>
      <c r="G28" s="2">
        <f t="shared" ref="G28:G39" si="10">(F28/C28)</f>
        <v>444444444.44444442</v>
      </c>
      <c r="H28" s="2">
        <f t="shared" ref="H28:H39" si="11">LOG10(G28)</f>
        <v>8.6478174818886373</v>
      </c>
      <c r="I28" s="2">
        <f>AVERAGE(H28:H33)</f>
        <v>8.4261787986511845</v>
      </c>
      <c r="J28" s="2">
        <f>STDEV(H28:H33)/SQRT(COUNT(H28:H33))</f>
        <v>9.7690378455228183E-2</v>
      </c>
    </row>
    <row r="29" spans="1:11">
      <c r="C29" s="2">
        <v>0.56999999999999995</v>
      </c>
      <c r="D29" s="2">
        <v>40</v>
      </c>
      <c r="E29" s="2">
        <v>2500000</v>
      </c>
      <c r="F29" s="2">
        <f t="shared" si="9"/>
        <v>100000000</v>
      </c>
      <c r="G29" s="2">
        <f t="shared" si="10"/>
        <v>175438596.49122807</v>
      </c>
      <c r="H29" s="2">
        <f t="shared" si="11"/>
        <v>8.2441251443275085</v>
      </c>
    </row>
    <row r="30" spans="1:11">
      <c r="C30" s="2">
        <v>0.53</v>
      </c>
      <c r="D30" s="2">
        <v>66</v>
      </c>
      <c r="E30" s="2">
        <v>2500000</v>
      </c>
      <c r="F30" s="2">
        <f t="shared" si="9"/>
        <v>165000000</v>
      </c>
      <c r="G30" s="2">
        <f t="shared" si="10"/>
        <v>311320754.71698111</v>
      </c>
      <c r="H30" s="2">
        <f t="shared" si="11"/>
        <v>8.4932080746131167</v>
      </c>
    </row>
    <row r="31" spans="1:11">
      <c r="C31" s="2">
        <v>0.41</v>
      </c>
      <c r="D31" s="2">
        <v>9</v>
      </c>
      <c r="E31" s="2">
        <v>25000000</v>
      </c>
      <c r="F31" s="2">
        <f t="shared" si="9"/>
        <v>225000000</v>
      </c>
      <c r="G31" s="2">
        <f t="shared" si="10"/>
        <v>548780487.80487812</v>
      </c>
      <c r="H31" s="2">
        <f t="shared" si="11"/>
        <v>8.7393986613916272</v>
      </c>
    </row>
    <row r="32" spans="1:11">
      <c r="C32" s="2">
        <v>0.66</v>
      </c>
      <c r="D32" s="2">
        <v>36</v>
      </c>
      <c r="E32" s="2">
        <v>2500000</v>
      </c>
      <c r="F32" s="2">
        <f t="shared" si="9"/>
        <v>90000000</v>
      </c>
      <c r="G32" s="2">
        <f t="shared" si="10"/>
        <v>136363636.36363634</v>
      </c>
      <c r="H32" s="2">
        <f t="shared" si="11"/>
        <v>8.134698573897456</v>
      </c>
    </row>
    <row r="33" spans="2:11">
      <c r="C33" s="2">
        <v>0.34</v>
      </c>
      <c r="D33" s="2">
        <v>27</v>
      </c>
      <c r="E33" s="2">
        <v>2500000</v>
      </c>
      <c r="F33" s="2">
        <f t="shared" si="9"/>
        <v>67500000</v>
      </c>
      <c r="G33" s="2">
        <f t="shared" si="10"/>
        <v>198529411.76470587</v>
      </c>
      <c r="H33" s="2">
        <f t="shared" si="11"/>
        <v>8.2978248557887699</v>
      </c>
    </row>
    <row r="34" spans="2:11">
      <c r="B34" s="2" t="s">
        <v>11</v>
      </c>
      <c r="C34" s="2">
        <v>0.41</v>
      </c>
      <c r="D34" s="2">
        <v>11</v>
      </c>
      <c r="E34" s="2">
        <v>25000000</v>
      </c>
      <c r="F34" s="2">
        <f t="shared" si="9"/>
        <v>275000000</v>
      </c>
      <c r="G34" s="2">
        <f t="shared" si="10"/>
        <v>670731707.31707323</v>
      </c>
      <c r="H34" s="2">
        <f t="shared" si="11"/>
        <v>8.8265488371105274</v>
      </c>
      <c r="I34" s="2">
        <f>AVERAGE(H34:H39)</f>
        <v>7.7118627107117987</v>
      </c>
      <c r="J34" s="2">
        <f>STDEV(H34:H39)/SQRT(COUNT(H34:H39))</f>
        <v>0.24673994672538258</v>
      </c>
      <c r="K34" s="2">
        <f>TTEST(H28:H33,H34:H39,2,2)</f>
        <v>2.2632735250735423E-2</v>
      </c>
    </row>
    <row r="35" spans="2:11">
      <c r="C35" s="2">
        <v>0.49</v>
      </c>
      <c r="D35" s="2">
        <v>11</v>
      </c>
      <c r="E35" s="2">
        <v>2500000</v>
      </c>
      <c r="F35" s="2">
        <f t="shared" si="9"/>
        <v>27500000</v>
      </c>
      <c r="G35" s="2">
        <f t="shared" si="10"/>
        <v>56122448.979591839</v>
      </c>
      <c r="H35" s="2">
        <f t="shared" si="11"/>
        <v>7.749136613801749</v>
      </c>
    </row>
    <row r="36" spans="2:11">
      <c r="C36" s="2">
        <v>0.54</v>
      </c>
      <c r="D36" s="2">
        <v>76</v>
      </c>
      <c r="E36" s="2">
        <v>250000</v>
      </c>
      <c r="F36" s="2">
        <f t="shared" si="9"/>
        <v>19000000</v>
      </c>
      <c r="G36" s="2">
        <f t="shared" si="10"/>
        <v>35185185.185185187</v>
      </c>
      <c r="H36" s="2">
        <f t="shared" si="11"/>
        <v>7.5463598411298607</v>
      </c>
    </row>
    <row r="37" spans="2:11">
      <c r="C37" s="2">
        <v>0.46</v>
      </c>
      <c r="D37" s="2">
        <v>21</v>
      </c>
      <c r="E37" s="2">
        <v>250000</v>
      </c>
      <c r="F37" s="2">
        <f t="shared" si="9"/>
        <v>5250000</v>
      </c>
      <c r="G37" s="2">
        <f t="shared" si="10"/>
        <v>11413043.478260869</v>
      </c>
      <c r="H37" s="2">
        <f t="shared" si="11"/>
        <v>7.0574014717243827</v>
      </c>
    </row>
    <row r="38" spans="2:11">
      <c r="C38" s="2">
        <v>0.46</v>
      </c>
      <c r="D38" s="2">
        <v>10</v>
      </c>
      <c r="E38" s="2">
        <v>2500000</v>
      </c>
      <c r="F38" s="2">
        <f t="shared" si="9"/>
        <v>25000000</v>
      </c>
      <c r="G38" s="2">
        <f t="shared" si="10"/>
        <v>54347826.086956516</v>
      </c>
      <c r="H38" s="2">
        <f t="shared" si="11"/>
        <v>7.7351821769904632</v>
      </c>
    </row>
    <row r="39" spans="2:11">
      <c r="C39" s="2">
        <v>0.44</v>
      </c>
      <c r="D39" s="2">
        <v>4</v>
      </c>
      <c r="E39" s="2">
        <v>2500000</v>
      </c>
      <c r="F39" s="2">
        <f t="shared" si="9"/>
        <v>10000000</v>
      </c>
      <c r="G39" s="2">
        <f t="shared" si="10"/>
        <v>22727272.727272727</v>
      </c>
      <c r="H39" s="2">
        <f t="shared" si="11"/>
        <v>7.3565473235138121</v>
      </c>
    </row>
  </sheetData>
  <phoneticPr fontId="9"/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31"/>
  <sheetViews>
    <sheetView workbookViewId="0">
      <selection activeCell="K5" sqref="K5"/>
    </sheetView>
  </sheetViews>
  <sheetFormatPr defaultColWidth="8.85546875" defaultRowHeight="14.6"/>
  <cols>
    <col min="1" max="16384" width="8.85546875" style="2"/>
  </cols>
  <sheetData>
    <row r="1" spans="1:16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12" t="s">
        <v>8</v>
      </c>
    </row>
    <row r="2" spans="1:16" ht="15.9">
      <c r="A2" t="s">
        <v>9</v>
      </c>
      <c r="B2" t="s">
        <v>10</v>
      </c>
      <c r="C2" s="2">
        <v>0.33</v>
      </c>
      <c r="D2" s="2">
        <v>36</v>
      </c>
      <c r="E2" s="2">
        <v>25000</v>
      </c>
      <c r="F2" s="2">
        <f>D2*E2</f>
        <v>900000</v>
      </c>
      <c r="G2" s="2">
        <f>(F2/C2)</f>
        <v>2727272.7272727271</v>
      </c>
      <c r="H2" s="2">
        <f>LOG10(G2)</f>
        <v>6.4357285695614372</v>
      </c>
      <c r="I2" s="2">
        <f>AVERAGE(H2:H4)</f>
        <v>6.3473382858153942</v>
      </c>
      <c r="J2" s="2">
        <f>STDEV(H2:H4)/SQRT(COUNT(H2:H4))</f>
        <v>5.3211905956221162E-2</v>
      </c>
      <c r="L2" s="1"/>
      <c r="M2" s="1" t="s">
        <v>10</v>
      </c>
      <c r="N2" s="1" t="s">
        <v>11</v>
      </c>
    </row>
    <row r="3" spans="1:16" ht="15.9">
      <c r="A3"/>
      <c r="B3"/>
      <c r="C3" s="2">
        <v>0.28000000000000003</v>
      </c>
      <c r="D3" s="2">
        <v>20</v>
      </c>
      <c r="E3" s="2">
        <v>25000</v>
      </c>
      <c r="F3" s="2">
        <f t="shared" ref="F3:F8" si="0">D3*E3</f>
        <v>500000</v>
      </c>
      <c r="G3" s="2">
        <f t="shared" ref="G3:G8" si="1">(F3/C3)</f>
        <v>1785714.2857142854</v>
      </c>
      <c r="H3" s="2">
        <f t="shared" ref="H3:H8" si="2">LOG10(G3)</f>
        <v>6.2518119729937993</v>
      </c>
      <c r="L3" s="5" t="s">
        <v>9</v>
      </c>
      <c r="M3" s="1">
        <f>I2</f>
        <v>6.3473382858153942</v>
      </c>
      <c r="N3" s="1">
        <f>I5</f>
        <v>6.4048132043594226</v>
      </c>
    </row>
    <row r="4" spans="1:16" ht="15.9">
      <c r="A4"/>
      <c r="B4"/>
      <c r="C4" s="2">
        <v>0.21</v>
      </c>
      <c r="D4" s="2">
        <v>19</v>
      </c>
      <c r="E4" s="2">
        <v>25000</v>
      </c>
      <c r="F4" s="2">
        <f t="shared" si="0"/>
        <v>475000</v>
      </c>
      <c r="G4" s="2">
        <f t="shared" si="1"/>
        <v>2261904.7619047621</v>
      </c>
      <c r="H4" s="2">
        <f t="shared" si="2"/>
        <v>6.3544743148909477</v>
      </c>
      <c r="L4" s="1" t="s">
        <v>12</v>
      </c>
      <c r="M4" s="1">
        <f>I11</f>
        <v>6.1215147560040757</v>
      </c>
      <c r="N4" s="1">
        <f>I17</f>
        <v>4.0087739243075049</v>
      </c>
    </row>
    <row r="5" spans="1:16" ht="15.9">
      <c r="A5"/>
      <c r="B5" t="s">
        <v>11</v>
      </c>
      <c r="C5" s="2">
        <v>0.33</v>
      </c>
      <c r="D5" s="2">
        <v>42</v>
      </c>
      <c r="E5" s="2">
        <v>25000</v>
      </c>
      <c r="F5" s="2">
        <f t="shared" si="0"/>
        <v>1050000</v>
      </c>
      <c r="G5" s="2">
        <f t="shared" si="1"/>
        <v>3181818.1818181816</v>
      </c>
      <c r="H5" s="2">
        <f t="shared" si="2"/>
        <v>6.5026753591920503</v>
      </c>
      <c r="I5" s="2">
        <f>AVERAGE(H5:H8)</f>
        <v>6.4048132043594226</v>
      </c>
      <c r="J5" s="2">
        <f>STDEV(H5:H8)/SQRT(COUNT(H5:H8))</f>
        <v>8.0737982929472846E-2</v>
      </c>
      <c r="K5" s="2">
        <f>TTEST(H2:H4,H5:H8,2,2)</f>
        <v>0.60896289450978536</v>
      </c>
      <c r="L5" s="1" t="s">
        <v>13</v>
      </c>
      <c r="M5" s="1">
        <f>I19</f>
        <v>6.6571199815291369</v>
      </c>
      <c r="N5" s="1">
        <f>I26</f>
        <v>5.9111232763985235</v>
      </c>
    </row>
    <row r="6" spans="1:16" ht="15.9">
      <c r="A6"/>
      <c r="C6" s="2">
        <v>0.39</v>
      </c>
      <c r="D6" s="2">
        <v>24</v>
      </c>
      <c r="E6" s="2">
        <v>25000</v>
      </c>
      <c r="F6" s="2">
        <f t="shared" si="0"/>
        <v>600000</v>
      </c>
      <c r="G6" s="2">
        <f t="shared" si="1"/>
        <v>1538461.5384615385</v>
      </c>
      <c r="H6" s="2">
        <f t="shared" si="2"/>
        <v>6.1870866433571443</v>
      </c>
      <c r="L6" s="1"/>
      <c r="M6" s="1"/>
      <c r="N6" s="1"/>
    </row>
    <row r="7" spans="1:16">
      <c r="C7" s="2">
        <v>0.41</v>
      </c>
      <c r="D7" s="2">
        <v>58</v>
      </c>
      <c r="E7" s="2">
        <v>25000</v>
      </c>
      <c r="F7" s="2">
        <f t="shared" si="0"/>
        <v>1450000</v>
      </c>
      <c r="G7" s="2">
        <f t="shared" si="1"/>
        <v>3536585.3658536589</v>
      </c>
      <c r="H7" s="2">
        <f t="shared" si="2"/>
        <v>6.5485841455152398</v>
      </c>
      <c r="L7" s="1"/>
      <c r="M7" s="1" t="s">
        <v>10</v>
      </c>
      <c r="N7" s="1" t="s">
        <v>11</v>
      </c>
    </row>
    <row r="8" spans="1:16">
      <c r="C8" s="2">
        <v>0.26</v>
      </c>
      <c r="D8" s="2">
        <v>25</v>
      </c>
      <c r="E8" s="2">
        <v>25000</v>
      </c>
      <c r="F8" s="2">
        <f t="shared" si="0"/>
        <v>625000</v>
      </c>
      <c r="G8" s="2">
        <f t="shared" si="1"/>
        <v>2403846.153846154</v>
      </c>
      <c r="H8" s="2">
        <f t="shared" si="2"/>
        <v>6.3809066693732577</v>
      </c>
      <c r="L8" s="5" t="s">
        <v>9</v>
      </c>
      <c r="M8" s="1">
        <f>J2</f>
        <v>5.3211905956221162E-2</v>
      </c>
      <c r="N8" s="1">
        <f>J5</f>
        <v>8.0737982929472846E-2</v>
      </c>
    </row>
    <row r="9" spans="1:16">
      <c r="L9" s="1" t="s">
        <v>12</v>
      </c>
      <c r="M9" s="1">
        <f>J11</f>
        <v>0.12699019916841417</v>
      </c>
      <c r="N9" s="1">
        <f>J21</f>
        <v>0</v>
      </c>
    </row>
    <row r="10" spans="1:16">
      <c r="L10" s="1" t="s">
        <v>13</v>
      </c>
      <c r="M10" s="1">
        <f>J19</f>
        <v>0.20894387510728318</v>
      </c>
      <c r="N10" s="1">
        <f>J26</f>
        <v>0.2379860027254162</v>
      </c>
    </row>
    <row r="11" spans="1:16">
      <c r="A11" s="2" t="s">
        <v>12</v>
      </c>
      <c r="B11" s="2" t="s">
        <v>10</v>
      </c>
      <c r="C11" s="2">
        <v>0.28000000000000003</v>
      </c>
      <c r="D11" s="2">
        <v>15</v>
      </c>
      <c r="E11" s="2">
        <v>25000</v>
      </c>
      <c r="F11" s="2">
        <f>D11*E11</f>
        <v>375000</v>
      </c>
      <c r="G11" s="2">
        <f>(F11/C11)</f>
        <v>1339285.7142857141</v>
      </c>
      <c r="H11" s="2">
        <f>LOG10(G11)</f>
        <v>6.1268732363854994</v>
      </c>
      <c r="I11" s="2">
        <f>AVERAGE(H11:H16)</f>
        <v>6.1215147560040757</v>
      </c>
      <c r="J11" s="2">
        <f>STDEV(H11:H16)/SQRT(COUNT(H11:H16))</f>
        <v>0.12699019916841417</v>
      </c>
    </row>
    <row r="12" spans="1:16">
      <c r="C12" s="2">
        <v>0.28000000000000003</v>
      </c>
      <c r="D12" s="2">
        <v>7</v>
      </c>
      <c r="E12" s="2">
        <v>25000</v>
      </c>
      <c r="F12" s="2">
        <f t="shared" ref="F12:F16" si="3">D12*E12</f>
        <v>175000</v>
      </c>
      <c r="G12" s="2">
        <f t="shared" ref="G12:G17" si="4">(F12/C12)</f>
        <v>624999.99999999988</v>
      </c>
      <c r="H12" s="2">
        <f t="shared" ref="H12:H17" si="5">LOG10(G12)</f>
        <v>5.795880017344075</v>
      </c>
    </row>
    <row r="13" spans="1:16">
      <c r="C13" s="2">
        <v>0.26</v>
      </c>
      <c r="D13" s="2">
        <v>40</v>
      </c>
      <c r="E13" s="2">
        <v>25000</v>
      </c>
      <c r="F13" s="2">
        <f t="shared" si="3"/>
        <v>1000000</v>
      </c>
      <c r="G13" s="2">
        <f t="shared" si="4"/>
        <v>3846153.846153846</v>
      </c>
      <c r="H13" s="2">
        <f t="shared" si="5"/>
        <v>6.5850266520291818</v>
      </c>
    </row>
    <row r="14" spans="1:16">
      <c r="C14" s="2">
        <v>0.4</v>
      </c>
      <c r="D14" s="2">
        <v>3</v>
      </c>
      <c r="E14" s="2">
        <v>250000</v>
      </c>
      <c r="F14" s="2">
        <f t="shared" si="3"/>
        <v>750000</v>
      </c>
      <c r="G14" s="2">
        <f t="shared" si="4"/>
        <v>1875000</v>
      </c>
      <c r="H14" s="2">
        <f t="shared" si="5"/>
        <v>6.2730012720637376</v>
      </c>
    </row>
    <row r="15" spans="1:16" ht="15.9">
      <c r="C15" s="2">
        <v>0.48</v>
      </c>
      <c r="D15" s="2">
        <v>3</v>
      </c>
      <c r="E15" s="2">
        <v>250000</v>
      </c>
      <c r="F15" s="2">
        <f t="shared" si="3"/>
        <v>750000</v>
      </c>
      <c r="G15" s="2">
        <f t="shared" si="4"/>
        <v>1562500</v>
      </c>
      <c r="H15" s="2">
        <f t="shared" si="5"/>
        <v>6.1938200260161125</v>
      </c>
      <c r="O15"/>
      <c r="P15"/>
    </row>
    <row r="16" spans="1:16" ht="15.9">
      <c r="C16" s="2">
        <v>0.44</v>
      </c>
      <c r="D16" s="2">
        <v>1</v>
      </c>
      <c r="E16" s="2">
        <v>250000</v>
      </c>
      <c r="F16" s="2">
        <f t="shared" si="3"/>
        <v>250000</v>
      </c>
      <c r="G16" s="2">
        <f t="shared" si="4"/>
        <v>568181.81818181823</v>
      </c>
      <c r="H16" s="2">
        <f t="shared" si="5"/>
        <v>5.7544873321858505</v>
      </c>
      <c r="O16"/>
      <c r="P16"/>
    </row>
    <row r="17" spans="1:16" ht="15.9">
      <c r="B17" s="2" t="s">
        <v>11</v>
      </c>
      <c r="C17" s="2">
        <v>0.49</v>
      </c>
      <c r="D17" s="2">
        <v>2</v>
      </c>
      <c r="E17" s="2">
        <v>2500</v>
      </c>
      <c r="F17" s="2">
        <f>D17*E17</f>
        <v>5000</v>
      </c>
      <c r="G17" s="2">
        <f t="shared" si="4"/>
        <v>10204.081632653062</v>
      </c>
      <c r="H17" s="2">
        <f t="shared" si="5"/>
        <v>4.0087739243075049</v>
      </c>
      <c r="I17" s="2">
        <f>AVERAGE(H17)</f>
        <v>4.0087739243075049</v>
      </c>
      <c r="J17" s="2">
        <v>0</v>
      </c>
      <c r="K17" s="2">
        <f>TTEST(H11:H16,H17:H18,2,2)</f>
        <v>5.4893375199681809E-3</v>
      </c>
      <c r="O17"/>
      <c r="P17"/>
    </row>
    <row r="18" spans="1:16" ht="15.9">
      <c r="H18" s="2">
        <v>0</v>
      </c>
      <c r="O18"/>
      <c r="P18"/>
    </row>
    <row r="19" spans="1:16" ht="15.9">
      <c r="A19" s="2" t="s">
        <v>13</v>
      </c>
      <c r="B19" s="2" t="s">
        <v>10</v>
      </c>
      <c r="C19" s="2">
        <v>0.54</v>
      </c>
      <c r="D19" s="2">
        <v>85</v>
      </c>
      <c r="E19" s="2">
        <v>25000</v>
      </c>
      <c r="F19" s="2">
        <f t="shared" ref="F19:F31" si="6">D19*E19</f>
        <v>2125000</v>
      </c>
      <c r="G19" s="2">
        <f t="shared" ref="G19:G31" si="7">(F19/C19)</f>
        <v>3935185.1851851847</v>
      </c>
      <c r="H19" s="2">
        <f t="shared" ref="H19:H31" si="8">LOG10(G19)</f>
        <v>6.5949651745633622</v>
      </c>
      <c r="I19" s="2">
        <f>AVERAGE(H19:H25)</f>
        <v>6.6571199815291369</v>
      </c>
      <c r="J19" s="2">
        <f>STDEV(H19:H25)/SQRT(COUNT(H19:H25))</f>
        <v>0.20894387510728318</v>
      </c>
      <c r="O19"/>
      <c r="P19"/>
    </row>
    <row r="20" spans="1:16" ht="15.9">
      <c r="C20" s="2">
        <v>0.4</v>
      </c>
      <c r="D20" s="2">
        <v>26</v>
      </c>
      <c r="E20" s="2">
        <v>250000</v>
      </c>
      <c r="F20" s="2">
        <f t="shared" si="6"/>
        <v>6500000</v>
      </c>
      <c r="G20" s="2">
        <f t="shared" si="7"/>
        <v>16250000</v>
      </c>
      <c r="H20" s="2">
        <f t="shared" si="8"/>
        <v>7.2108533653148932</v>
      </c>
      <c r="O20"/>
      <c r="P20"/>
    </row>
    <row r="21" spans="1:16">
      <c r="C21" s="2">
        <v>0.56000000000000005</v>
      </c>
      <c r="D21" s="2">
        <v>25</v>
      </c>
      <c r="E21" s="2">
        <v>250000</v>
      </c>
      <c r="F21" s="2">
        <f t="shared" si="6"/>
        <v>6250000</v>
      </c>
      <c r="G21" s="2">
        <f t="shared" si="7"/>
        <v>11160714.285714285</v>
      </c>
      <c r="H21" s="2">
        <f t="shared" si="8"/>
        <v>7.0476919903378752</v>
      </c>
    </row>
    <row r="22" spans="1:16">
      <c r="C22" s="2">
        <v>0.34</v>
      </c>
      <c r="D22" s="2">
        <v>24</v>
      </c>
      <c r="E22" s="2">
        <v>250000</v>
      </c>
      <c r="F22" s="2">
        <f t="shared" si="6"/>
        <v>6000000</v>
      </c>
      <c r="G22" s="2">
        <f t="shared" si="7"/>
        <v>17647058.823529411</v>
      </c>
      <c r="H22" s="2">
        <f t="shared" si="8"/>
        <v>7.2466723333413885</v>
      </c>
    </row>
    <row r="23" spans="1:16">
      <c r="C23" s="2">
        <v>0.62</v>
      </c>
      <c r="D23" s="2">
        <v>67</v>
      </c>
      <c r="E23" s="2">
        <v>25000</v>
      </c>
      <c r="F23" s="2">
        <f t="shared" si="6"/>
        <v>1675000</v>
      </c>
      <c r="G23" s="2">
        <f t="shared" si="7"/>
        <v>2701612.9032258065</v>
      </c>
      <c r="H23" s="2">
        <f t="shared" si="8"/>
        <v>6.43162312187461</v>
      </c>
    </row>
    <row r="24" spans="1:16">
      <c r="C24" s="2">
        <v>0.45</v>
      </c>
      <c r="D24" s="2">
        <v>40</v>
      </c>
      <c r="E24" s="2">
        <v>25000</v>
      </c>
      <c r="F24" s="2">
        <f t="shared" si="6"/>
        <v>1000000</v>
      </c>
      <c r="G24" s="2">
        <f t="shared" si="7"/>
        <v>2222222.222222222</v>
      </c>
      <c r="H24" s="2">
        <f t="shared" si="8"/>
        <v>6.346787486224656</v>
      </c>
    </row>
    <row r="25" spans="1:16">
      <c r="C25" s="2">
        <v>0.76</v>
      </c>
      <c r="D25" s="2">
        <v>16</v>
      </c>
      <c r="E25" s="2">
        <v>25000</v>
      </c>
      <c r="F25" s="2">
        <f t="shared" si="6"/>
        <v>400000</v>
      </c>
      <c r="G25" s="2">
        <f t="shared" si="7"/>
        <v>526315.78947368416</v>
      </c>
      <c r="H25" s="2">
        <f t="shared" si="8"/>
        <v>5.7212463990471711</v>
      </c>
    </row>
    <row r="26" spans="1:16">
      <c r="B26" s="2" t="s">
        <v>11</v>
      </c>
      <c r="C26" s="2">
        <v>0.49</v>
      </c>
      <c r="D26" s="2">
        <v>3</v>
      </c>
      <c r="E26" s="2">
        <v>250000</v>
      </c>
      <c r="F26" s="2">
        <f t="shared" si="6"/>
        <v>750000</v>
      </c>
      <c r="G26" s="2">
        <f t="shared" si="7"/>
        <v>1530612.2448979593</v>
      </c>
      <c r="H26" s="2">
        <f t="shared" si="8"/>
        <v>6.1848651833631862</v>
      </c>
      <c r="I26" s="2">
        <f>AVERAGE(H26:H31)</f>
        <v>5.9111232763985235</v>
      </c>
      <c r="J26" s="2">
        <f>STDEV(H26:H31)/SQRT(COUNT(H26:H31))</f>
        <v>0.2379860027254162</v>
      </c>
      <c r="K26" s="2">
        <f>TTEST(H19:H25,H26:H31,2,2)</f>
        <v>3.7409613637248519E-2</v>
      </c>
    </row>
    <row r="27" spans="1:16">
      <c r="C27" s="2">
        <v>0.45</v>
      </c>
      <c r="D27" s="2">
        <v>12</v>
      </c>
      <c r="E27" s="2">
        <v>25000</v>
      </c>
      <c r="F27" s="2">
        <f t="shared" si="6"/>
        <v>300000</v>
      </c>
      <c r="G27" s="2">
        <f t="shared" si="7"/>
        <v>666666.66666666663</v>
      </c>
      <c r="H27" s="2">
        <f t="shared" si="8"/>
        <v>5.8239087409443187</v>
      </c>
    </row>
    <row r="28" spans="1:16">
      <c r="C28" s="2">
        <v>0.36</v>
      </c>
      <c r="D28" s="2">
        <v>84</v>
      </c>
      <c r="E28" s="2">
        <v>25000</v>
      </c>
      <c r="F28" s="2">
        <f t="shared" si="6"/>
        <v>2100000</v>
      </c>
      <c r="G28" s="2">
        <f t="shared" si="7"/>
        <v>5833333.333333334</v>
      </c>
      <c r="H28" s="2">
        <f t="shared" si="8"/>
        <v>6.7659167939666318</v>
      </c>
    </row>
    <row r="29" spans="1:16">
      <c r="C29" s="2">
        <v>0.48</v>
      </c>
      <c r="D29" s="2">
        <v>2</v>
      </c>
      <c r="E29" s="2">
        <v>250000</v>
      </c>
      <c r="F29" s="2">
        <f t="shared" si="6"/>
        <v>500000</v>
      </c>
      <c r="G29" s="2">
        <f t="shared" si="7"/>
        <v>1041666.6666666667</v>
      </c>
      <c r="H29" s="2">
        <f t="shared" si="8"/>
        <v>6.017728766960432</v>
      </c>
    </row>
    <row r="30" spans="1:16">
      <c r="C30" s="2">
        <v>0.54</v>
      </c>
      <c r="D30" s="2">
        <v>1</v>
      </c>
      <c r="E30" s="2">
        <v>250000</v>
      </c>
      <c r="F30" s="2">
        <f t="shared" si="6"/>
        <v>250000</v>
      </c>
      <c r="G30" s="2">
        <f t="shared" si="7"/>
        <v>462962.96296296292</v>
      </c>
      <c r="H30" s="2">
        <f t="shared" si="8"/>
        <v>5.6655462488490693</v>
      </c>
    </row>
    <row r="31" spans="1:16">
      <c r="C31" s="2">
        <v>0.49</v>
      </c>
      <c r="D31" s="2">
        <v>2</v>
      </c>
      <c r="E31" s="2">
        <v>25000</v>
      </c>
      <c r="F31" s="2">
        <f t="shared" si="6"/>
        <v>50000</v>
      </c>
      <c r="G31" s="2">
        <f t="shared" si="7"/>
        <v>102040.81632653062</v>
      </c>
      <c r="H31" s="2">
        <f t="shared" si="8"/>
        <v>5.0087739243075049</v>
      </c>
    </row>
  </sheetData>
  <phoneticPr fontId="9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"/>
  <sheetViews>
    <sheetView workbookViewId="0">
      <selection activeCell="A2" sqref="A2"/>
    </sheetView>
  </sheetViews>
  <sheetFormatPr defaultRowHeight="15.9"/>
  <cols>
    <col min="16" max="16" width="15.78515625" customWidth="1"/>
  </cols>
  <sheetData>
    <row r="1" spans="1:17">
      <c r="B1" s="33" t="s">
        <v>65</v>
      </c>
      <c r="C1" s="33"/>
      <c r="P1" s="33" t="s">
        <v>48</v>
      </c>
      <c r="Q1" s="33"/>
    </row>
    <row r="2" spans="1:17">
      <c r="B2" s="15" t="s">
        <v>64</v>
      </c>
      <c r="C2" s="13" t="s">
        <v>30</v>
      </c>
      <c r="D2" s="16" t="s">
        <v>66</v>
      </c>
      <c r="E2" s="16" t="s">
        <v>67</v>
      </c>
      <c r="F2" s="16" t="s">
        <v>68</v>
      </c>
      <c r="G2" s="16" t="s">
        <v>69</v>
      </c>
      <c r="H2" s="16" t="s">
        <v>70</v>
      </c>
      <c r="J2" s="17" t="s">
        <v>23</v>
      </c>
      <c r="K2" s="17" t="s">
        <v>71</v>
      </c>
      <c r="L2" s="17" t="s">
        <v>72</v>
      </c>
      <c r="M2" s="17" t="s">
        <v>73</v>
      </c>
      <c r="N2" s="17" t="s">
        <v>74</v>
      </c>
      <c r="P2" t="s">
        <v>49</v>
      </c>
      <c r="Q2" t="s">
        <v>50</v>
      </c>
    </row>
    <row r="3" spans="1:17">
      <c r="A3" s="13" t="s">
        <v>23</v>
      </c>
      <c r="B3" s="13">
        <v>18.510000000000002</v>
      </c>
      <c r="C3" s="13">
        <v>21.58</v>
      </c>
      <c r="D3" s="13">
        <f>POWER(2, B3-C3)</f>
        <v>0.11907974975549245</v>
      </c>
      <c r="E3" s="16">
        <f>AVERAGE(D3:D6)</f>
        <v>0.14309880316717857</v>
      </c>
      <c r="F3" s="16">
        <f>D3/E3</f>
        <v>0.83215056394549092</v>
      </c>
      <c r="G3" s="16">
        <f>AVERAGE(F3:F6)</f>
        <v>1</v>
      </c>
      <c r="H3" s="16">
        <f>STDEV(F3:F6)/SQRT(COUNT(F3:F6))</f>
        <v>7.6841932953107997E-2</v>
      </c>
      <c r="J3">
        <f>G3</f>
        <v>1</v>
      </c>
      <c r="K3">
        <f>G7</f>
        <v>1.0496945011043479</v>
      </c>
      <c r="L3">
        <f>G11</f>
        <v>12.471575800381972</v>
      </c>
      <c r="M3">
        <f>G15</f>
        <v>1.0814107243576403</v>
      </c>
      <c r="N3">
        <f>G19</f>
        <v>7.3832316876398076</v>
      </c>
      <c r="P3" t="s">
        <v>89</v>
      </c>
      <c r="Q3">
        <v>1</v>
      </c>
    </row>
    <row r="4" spans="1:17">
      <c r="A4" s="13"/>
      <c r="B4" s="13">
        <v>18.510000000000002</v>
      </c>
      <c r="C4" s="13">
        <v>21.38</v>
      </c>
      <c r="D4" s="13">
        <f t="shared" ref="D4:D22" si="0">POWER(2, B4-C4)</f>
        <v>0.13678671265759271</v>
      </c>
      <c r="E4" s="16"/>
      <c r="F4" s="16">
        <f>D4/E3</f>
        <v>0.95588998391404001</v>
      </c>
      <c r="G4" s="16"/>
      <c r="H4" s="16"/>
      <c r="J4">
        <f>H3</f>
        <v>7.6841932953107997E-2</v>
      </c>
      <c r="K4">
        <f>H7</f>
        <v>0.17227236657828104</v>
      </c>
      <c r="L4">
        <f>H11</f>
        <v>0.93013390068915769</v>
      </c>
      <c r="M4">
        <f>H15</f>
        <v>0.15242072536183338</v>
      </c>
      <c r="N4">
        <f>H19</f>
        <v>0.67742408937400955</v>
      </c>
      <c r="P4" t="s">
        <v>90</v>
      </c>
      <c r="Q4">
        <v>0.99999979999999999</v>
      </c>
    </row>
    <row r="5" spans="1:17">
      <c r="A5" s="13"/>
      <c r="B5" s="13">
        <v>18.8</v>
      </c>
      <c r="C5" s="13">
        <v>21.59</v>
      </c>
      <c r="D5" s="13">
        <f t="shared" si="0"/>
        <v>0.14458602298816103</v>
      </c>
      <c r="E5" s="16"/>
      <c r="F5" s="16">
        <f>D5/E3</f>
        <v>1.0103929577890667</v>
      </c>
      <c r="G5" s="16"/>
      <c r="H5" s="16"/>
      <c r="P5" t="s">
        <v>91</v>
      </c>
      <c r="Q5">
        <v>0</v>
      </c>
    </row>
    <row r="6" spans="1:17">
      <c r="A6" s="13"/>
      <c r="B6" s="13">
        <v>19.54</v>
      </c>
      <c r="C6" s="13">
        <v>22.08</v>
      </c>
      <c r="D6" s="13">
        <f t="shared" si="0"/>
        <v>0.17194272726746809</v>
      </c>
      <c r="E6" s="16"/>
      <c r="F6" s="16">
        <f>D6/E3</f>
        <v>1.2015664943514022</v>
      </c>
      <c r="G6" s="16"/>
      <c r="H6" s="16"/>
      <c r="P6" t="s">
        <v>92</v>
      </c>
      <c r="Q6">
        <v>2.0400000000000001E-5</v>
      </c>
    </row>
    <row r="7" spans="1:17">
      <c r="A7" s="13" t="s">
        <v>24</v>
      </c>
      <c r="B7" s="13">
        <v>18.309999999999999</v>
      </c>
      <c r="C7" s="13">
        <v>21.63</v>
      </c>
      <c r="D7" s="13">
        <f t="shared" si="0"/>
        <v>0.10013373469870276</v>
      </c>
      <c r="E7" s="16"/>
      <c r="F7" s="16">
        <f>D7/E3</f>
        <v>0.69975242617311861</v>
      </c>
      <c r="G7" s="16">
        <f>AVERAGE(F7:F10)</f>
        <v>1.0496945011043479</v>
      </c>
      <c r="H7" s="16">
        <f>STDEV(F7:F10)/SQRT(COUNT(F7:F10))</f>
        <v>0.17227236657828104</v>
      </c>
      <c r="P7" t="s">
        <v>93</v>
      </c>
      <c r="Q7">
        <v>0.99999930000000004</v>
      </c>
    </row>
    <row r="8" spans="1:17">
      <c r="A8" s="13"/>
      <c r="B8" s="13">
        <v>18.600000000000001</v>
      </c>
      <c r="C8" s="13">
        <v>21.25</v>
      </c>
      <c r="D8" s="13">
        <f t="shared" si="0"/>
        <v>0.15932007841490795</v>
      </c>
      <c r="E8" s="16"/>
      <c r="F8" s="16">
        <f>D8/E3</f>
        <v>1.1133571692334734</v>
      </c>
      <c r="G8" s="16"/>
      <c r="H8" s="16"/>
      <c r="P8" t="s">
        <v>94</v>
      </c>
      <c r="Q8">
        <v>0</v>
      </c>
    </row>
    <row r="9" spans="1:17">
      <c r="A9" s="13"/>
      <c r="B9" s="13">
        <v>18.93</v>
      </c>
      <c r="C9" s="13">
        <v>21.15</v>
      </c>
      <c r="D9" s="13">
        <f t="shared" si="0"/>
        <v>0.2146413591094386</v>
      </c>
      <c r="E9" s="16"/>
      <c r="F9" s="16">
        <f>D9/E3</f>
        <v>1.4999521614354716</v>
      </c>
      <c r="G9" s="16"/>
      <c r="H9" s="16"/>
      <c r="P9" t="s">
        <v>95</v>
      </c>
      <c r="Q9">
        <v>8.3000000000000002E-6</v>
      </c>
    </row>
    <row r="10" spans="1:17">
      <c r="A10" s="13"/>
      <c r="B10" s="13">
        <v>18.510000000000002</v>
      </c>
      <c r="C10" s="13">
        <v>21.49</v>
      </c>
      <c r="D10" s="13">
        <f t="shared" si="0"/>
        <v>0.12674493497375389</v>
      </c>
      <c r="E10" s="16"/>
      <c r="F10" s="16">
        <f>D10/E3</f>
        <v>0.88571624757532819</v>
      </c>
      <c r="G10" s="16"/>
      <c r="H10" s="16"/>
      <c r="P10" t="s">
        <v>96</v>
      </c>
      <c r="Q10">
        <v>0</v>
      </c>
    </row>
    <row r="11" spans="1:17">
      <c r="A11" s="13" t="s">
        <v>25</v>
      </c>
      <c r="B11" s="13">
        <v>18</v>
      </c>
      <c r="C11" s="13">
        <v>17.07</v>
      </c>
      <c r="D11" s="13">
        <f t="shared" si="0"/>
        <v>1.9052759960878742</v>
      </c>
      <c r="E11" s="16"/>
      <c r="F11" s="16">
        <f>D11/$E3</f>
        <v>13.314409023127819</v>
      </c>
      <c r="G11" s="16">
        <f>AVERAGE(F11:F14)</f>
        <v>12.471575800381972</v>
      </c>
      <c r="H11" s="16">
        <f>STDEV(F11:F14)/SQRT(COUNT(F11:F14))</f>
        <v>0.93013390068915769</v>
      </c>
      <c r="P11" t="s">
        <v>97</v>
      </c>
      <c r="Q11">
        <v>8.8000000000000004E-6</v>
      </c>
    </row>
    <row r="12" spans="1:17">
      <c r="A12" s="13"/>
      <c r="B12" s="13">
        <v>17.78</v>
      </c>
      <c r="C12" s="13">
        <v>16.77</v>
      </c>
      <c r="D12" s="13">
        <f t="shared" si="0"/>
        <v>2.0139111001134395</v>
      </c>
      <c r="E12" s="16"/>
      <c r="F12" s="16">
        <f>D12/E3</f>
        <v>14.073570536859348</v>
      </c>
      <c r="G12" s="16"/>
      <c r="H12" s="16"/>
      <c r="P12" t="s">
        <v>98</v>
      </c>
      <c r="Q12">
        <v>9.6199999999999994E-5</v>
      </c>
    </row>
    <row r="13" spans="1:17">
      <c r="A13" s="13"/>
      <c r="B13" s="13">
        <v>17.989999999999998</v>
      </c>
      <c r="C13" s="13">
        <v>17.13</v>
      </c>
      <c r="D13" s="13">
        <f t="shared" si="0"/>
        <v>1.8150383106343209</v>
      </c>
      <c r="E13" s="16"/>
      <c r="F13" s="16">
        <f>D13/$E3</f>
        <v>12.68381195693062</v>
      </c>
      <c r="G13" s="16"/>
      <c r="H13" s="16"/>
    </row>
    <row r="14" spans="1:17">
      <c r="A14" s="13"/>
      <c r="B14" s="13">
        <v>17.79</v>
      </c>
      <c r="C14" s="13">
        <v>17.3</v>
      </c>
      <c r="D14" s="13">
        <f t="shared" si="0"/>
        <v>1.4044448757379957</v>
      </c>
      <c r="E14" s="16"/>
      <c r="F14" s="16">
        <f>D14/$E3</f>
        <v>9.814511684610105</v>
      </c>
      <c r="G14" s="16"/>
      <c r="H14" s="16"/>
    </row>
    <row r="15" spans="1:17">
      <c r="A15" s="13" t="s">
        <v>26</v>
      </c>
      <c r="B15" s="13">
        <v>18.8</v>
      </c>
      <c r="C15" s="13">
        <v>21.79</v>
      </c>
      <c r="D15" s="13">
        <f t="shared" si="0"/>
        <v>0.12586944375709003</v>
      </c>
      <c r="E15" s="16"/>
      <c r="F15" s="16">
        <f>D15/$E3</f>
        <v>0.8795981585537096</v>
      </c>
      <c r="G15" s="16">
        <f>AVERAGE(F15:F18)</f>
        <v>1.0814107243576403</v>
      </c>
      <c r="H15" s="16">
        <f>STDEV(F15:F18)/SQRT(COUNT(F15:F18))</f>
        <v>0.15242072536183338</v>
      </c>
    </row>
    <row r="16" spans="1:17">
      <c r="A16" s="13"/>
      <c r="B16" s="13">
        <v>19.45</v>
      </c>
      <c r="C16" s="13">
        <v>21.98</v>
      </c>
      <c r="D16" s="13">
        <f t="shared" si="0"/>
        <v>0.17313868351386544</v>
      </c>
      <c r="E16" s="16"/>
      <c r="F16" s="16">
        <f>D16/$E3</f>
        <v>1.2099240502493376</v>
      </c>
      <c r="G16" s="16"/>
      <c r="H16" s="16"/>
    </row>
    <row r="17" spans="1:8">
      <c r="A17" s="13"/>
      <c r="B17" s="13">
        <v>19.23</v>
      </c>
      <c r="C17" s="13">
        <v>21.5</v>
      </c>
      <c r="D17" s="13">
        <f t="shared" si="0"/>
        <v>0.2073298864536105</v>
      </c>
      <c r="E17" s="16"/>
      <c r="F17" s="16">
        <f>D17/$E3</f>
        <v>1.4488582843798661</v>
      </c>
      <c r="G17" s="16"/>
      <c r="H17" s="16"/>
    </row>
    <row r="18" spans="1:8">
      <c r="A18" s="13"/>
      <c r="B18" s="13">
        <v>18.89</v>
      </c>
      <c r="C18" s="13">
        <v>22.04</v>
      </c>
      <c r="D18" s="13">
        <f t="shared" si="0"/>
        <v>0.11265630782635391</v>
      </c>
      <c r="E18" s="16"/>
      <c r="F18" s="16">
        <f>D18/$E3</f>
        <v>0.78726240424764771</v>
      </c>
      <c r="G18" s="16"/>
      <c r="H18" s="16"/>
    </row>
    <row r="19" spans="1:8">
      <c r="A19" s="13" t="s">
        <v>27</v>
      </c>
      <c r="B19" s="13">
        <v>18.12</v>
      </c>
      <c r="C19" s="13">
        <v>18.170000000000002</v>
      </c>
      <c r="D19" s="13">
        <f t="shared" si="0"/>
        <v>0.96593632892484504</v>
      </c>
      <c r="E19" s="16"/>
      <c r="F19" s="16">
        <f>D19/$E3</f>
        <v>6.7501356234011753</v>
      </c>
      <c r="G19" s="16">
        <f>AVERAGE(F19:F22)</f>
        <v>7.3832316876398076</v>
      </c>
      <c r="H19" s="16">
        <f>STDEV(F19:F22)/SQRT(COUNT(F19:F22))</f>
        <v>0.67742408937400955</v>
      </c>
    </row>
    <row r="20" spans="1:8">
      <c r="A20" s="13"/>
      <c r="B20" s="13">
        <v>18.309999999999999</v>
      </c>
      <c r="C20" s="13">
        <v>17.89</v>
      </c>
      <c r="D20" s="13">
        <f t="shared" si="0"/>
        <v>1.3379275547861103</v>
      </c>
      <c r="E20" s="16"/>
      <c r="F20" s="16">
        <f>D20/$E3</f>
        <v>9.3496767630057995</v>
      </c>
      <c r="G20" s="16"/>
      <c r="H20" s="16"/>
    </row>
    <row r="21" spans="1:8">
      <c r="A21" s="13"/>
      <c r="B21" s="13">
        <v>18.36</v>
      </c>
      <c r="C21" s="13">
        <v>18.329999999999998</v>
      </c>
      <c r="D21" s="13">
        <f t="shared" si="0"/>
        <v>1.021012125707194</v>
      </c>
      <c r="E21" s="16"/>
      <c r="F21" s="16">
        <f>D21/$E3</f>
        <v>7.1350151301710918</v>
      </c>
      <c r="G21" s="16"/>
      <c r="H21" s="16"/>
    </row>
    <row r="22" spans="1:8">
      <c r="A22" s="13"/>
      <c r="B22" s="13">
        <v>17.7</v>
      </c>
      <c r="C22" s="13">
        <v>17.850000000000001</v>
      </c>
      <c r="D22" s="13">
        <f t="shared" si="0"/>
        <v>0.90125046261082897</v>
      </c>
      <c r="E22" s="16"/>
      <c r="F22" s="16">
        <f>D22/$E3</f>
        <v>6.2980992339811657</v>
      </c>
      <c r="G22" s="16"/>
      <c r="H22" s="16"/>
    </row>
  </sheetData>
  <mergeCells count="2">
    <mergeCell ref="B1:C1"/>
    <mergeCell ref="P1:Q1"/>
  </mergeCells>
  <phoneticPr fontId="9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46"/>
  <sheetViews>
    <sheetView workbookViewId="0">
      <selection activeCell="K6" sqref="K6"/>
    </sheetView>
  </sheetViews>
  <sheetFormatPr defaultColWidth="8.85546875" defaultRowHeight="14.6"/>
  <cols>
    <col min="1" max="4" width="8.85546875" style="2"/>
    <col min="5" max="5" width="8.35546875" style="2" bestFit="1" customWidth="1"/>
    <col min="6" max="16384" width="8.85546875" style="2"/>
  </cols>
  <sheetData>
    <row r="1" spans="1:14" ht="15.9">
      <c r="A1"/>
      <c r="B1"/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s="19" t="s">
        <v>8</v>
      </c>
    </row>
    <row r="2" spans="1:14" ht="15.9">
      <c r="A2" t="s">
        <v>9</v>
      </c>
      <c r="B2" t="s">
        <v>10</v>
      </c>
      <c r="C2">
        <v>0.11</v>
      </c>
      <c r="D2">
        <v>6</v>
      </c>
      <c r="E2">
        <v>25000</v>
      </c>
      <c r="F2">
        <f t="shared" ref="F2:F9" si="0">D2*E2</f>
        <v>150000</v>
      </c>
      <c r="G2">
        <f t="shared" ref="G2:G9" si="1">(F2/C2)</f>
        <v>1363636.3636363635</v>
      </c>
      <c r="H2">
        <f t="shared" ref="H2:H9" si="2">LOG10(G2)</f>
        <v>6.134698573897456</v>
      </c>
      <c r="I2">
        <f>AVERAGE(H2:H5)</f>
        <v>6.6021303988656417</v>
      </c>
      <c r="J2">
        <f>STDEV(H2:H5)/SQRT(COUNT(H2:H5))</f>
        <v>0.15823913878730841</v>
      </c>
      <c r="L2" s="1"/>
      <c r="M2" s="1" t="s">
        <v>10</v>
      </c>
      <c r="N2" s="1" t="s">
        <v>11</v>
      </c>
    </row>
    <row r="3" spans="1:14" ht="15.9">
      <c r="A3"/>
      <c r="B3"/>
      <c r="C3">
        <v>0.11</v>
      </c>
      <c r="D3">
        <v>27</v>
      </c>
      <c r="E3">
        <v>25000</v>
      </c>
      <c r="F3">
        <f t="shared" si="0"/>
        <v>675000</v>
      </c>
      <c r="G3">
        <f t="shared" si="1"/>
        <v>6136363.6363636367</v>
      </c>
      <c r="H3">
        <f t="shared" si="2"/>
        <v>6.7879110876727999</v>
      </c>
      <c r="I3"/>
      <c r="J3"/>
      <c r="L3" s="5" t="s">
        <v>9</v>
      </c>
      <c r="M3" s="1">
        <f>I2</f>
        <v>6.6021303988656417</v>
      </c>
      <c r="N3" s="1">
        <f>I6</f>
        <v>6.4680381416961312</v>
      </c>
    </row>
    <row r="4" spans="1:14" ht="15.9">
      <c r="A4"/>
      <c r="B4"/>
      <c r="C4">
        <v>0.09</v>
      </c>
      <c r="D4">
        <v>23</v>
      </c>
      <c r="E4">
        <v>25000</v>
      </c>
      <c r="F4">
        <f t="shared" si="0"/>
        <v>575000</v>
      </c>
      <c r="G4">
        <f t="shared" si="1"/>
        <v>6388888.888888889</v>
      </c>
      <c r="H4">
        <f t="shared" si="2"/>
        <v>6.8054253352503054</v>
      </c>
      <c r="I4"/>
      <c r="J4"/>
      <c r="L4" s="1" t="s">
        <v>12</v>
      </c>
      <c r="M4" s="1">
        <f>I11</f>
        <v>8.3885268867119969</v>
      </c>
      <c r="N4" s="1">
        <f>I20</f>
        <v>8.3233295795171571</v>
      </c>
    </row>
    <row r="5" spans="1:14" ht="15.9">
      <c r="A5"/>
      <c r="B5"/>
      <c r="C5">
        <v>0.12</v>
      </c>
      <c r="D5">
        <v>23</v>
      </c>
      <c r="E5">
        <v>25000</v>
      </c>
      <c r="F5">
        <f t="shared" si="0"/>
        <v>575000</v>
      </c>
      <c r="G5">
        <f t="shared" si="1"/>
        <v>4791666.666666667</v>
      </c>
      <c r="H5">
        <f t="shared" si="2"/>
        <v>6.6804865986420054</v>
      </c>
      <c r="I5"/>
      <c r="J5"/>
      <c r="L5" s="1" t="s">
        <v>13</v>
      </c>
      <c r="M5" s="1">
        <f>I30</f>
        <v>8.8963718665153628</v>
      </c>
      <c r="N5" s="1">
        <f>I38</f>
        <v>8.85065406937189</v>
      </c>
    </row>
    <row r="6" spans="1:14" ht="15.9">
      <c r="A6"/>
      <c r="B6" t="s">
        <v>11</v>
      </c>
      <c r="C6">
        <v>0.12</v>
      </c>
      <c r="D6">
        <v>20</v>
      </c>
      <c r="E6">
        <v>25000</v>
      </c>
      <c r="F6">
        <f t="shared" si="0"/>
        <v>500000</v>
      </c>
      <c r="G6">
        <f t="shared" si="1"/>
        <v>4166666.666666667</v>
      </c>
      <c r="H6">
        <f t="shared" si="2"/>
        <v>6.6197887582883936</v>
      </c>
      <c r="I6">
        <f>AVERAGE(H6:H9)</f>
        <v>6.4680381416961312</v>
      </c>
      <c r="J6">
        <f>STDEV(H6:H9)/SQRT(COUNT(H6:H9))</f>
        <v>0.17716702248625535</v>
      </c>
      <c r="K6" s="2">
        <f>TTEST(H2:H5,H6:H9,2,2)</f>
        <v>0.59287970759451314</v>
      </c>
      <c r="L6" s="1"/>
      <c r="M6" s="1"/>
      <c r="N6" s="1"/>
    </row>
    <row r="7" spans="1:14" ht="15.9">
      <c r="A7"/>
      <c r="B7"/>
      <c r="C7">
        <v>0.11</v>
      </c>
      <c r="D7">
        <v>20</v>
      </c>
      <c r="E7">
        <v>25000</v>
      </c>
      <c r="F7">
        <f t="shared" si="0"/>
        <v>500000</v>
      </c>
      <c r="G7">
        <f t="shared" si="1"/>
        <v>4545454.5454545459</v>
      </c>
      <c r="H7">
        <f t="shared" si="2"/>
        <v>6.6575773191777934</v>
      </c>
      <c r="I7"/>
      <c r="J7"/>
      <c r="L7" s="1"/>
      <c r="M7" s="1" t="s">
        <v>10</v>
      </c>
      <c r="N7" s="1" t="s">
        <v>11</v>
      </c>
    </row>
    <row r="8" spans="1:14" ht="15.9">
      <c r="A8"/>
      <c r="B8"/>
      <c r="C8">
        <v>0.13</v>
      </c>
      <c r="D8">
        <v>45</v>
      </c>
      <c r="E8">
        <v>2500</v>
      </c>
      <c r="F8">
        <f t="shared" si="0"/>
        <v>112500</v>
      </c>
      <c r="G8">
        <f t="shared" si="1"/>
        <v>865384.61538461538</v>
      </c>
      <c r="H8">
        <f t="shared" si="2"/>
        <v>5.9372091701405445</v>
      </c>
      <c r="I8"/>
      <c r="J8"/>
      <c r="L8" s="5" t="s">
        <v>9</v>
      </c>
      <c r="M8" s="1">
        <f>J2</f>
        <v>0.15823913878730841</v>
      </c>
      <c r="N8" s="1">
        <f>J6</f>
        <v>0.17716702248625535</v>
      </c>
    </row>
    <row r="9" spans="1:14" ht="15.9">
      <c r="A9"/>
      <c r="B9"/>
      <c r="C9">
        <v>0.11</v>
      </c>
      <c r="D9">
        <v>20</v>
      </c>
      <c r="E9">
        <v>25000</v>
      </c>
      <c r="F9">
        <f t="shared" si="0"/>
        <v>500000</v>
      </c>
      <c r="G9">
        <f t="shared" si="1"/>
        <v>4545454.5454545459</v>
      </c>
      <c r="H9">
        <f t="shared" si="2"/>
        <v>6.6575773191777934</v>
      </c>
      <c r="I9"/>
      <c r="J9"/>
      <c r="L9" s="1" t="s">
        <v>12</v>
      </c>
      <c r="M9" s="1">
        <f>J11</f>
        <v>0.17048520932146449</v>
      </c>
      <c r="N9" s="1">
        <f>J20</f>
        <v>0.21858816575584403</v>
      </c>
    </row>
    <row r="10" spans="1:14" ht="15.9">
      <c r="A10"/>
      <c r="B10"/>
      <c r="C10"/>
      <c r="D10"/>
      <c r="E10"/>
      <c r="F10"/>
      <c r="G10"/>
      <c r="H10"/>
      <c r="I10"/>
      <c r="J10"/>
      <c r="L10" s="1" t="s">
        <v>13</v>
      </c>
      <c r="M10" s="1">
        <f>J30</f>
        <v>0.25072707486759355</v>
      </c>
      <c r="N10" s="1">
        <f>J38</f>
        <v>0.18525780971462033</v>
      </c>
    </row>
    <row r="11" spans="1:14" ht="15.9">
      <c r="A11" t="s">
        <v>12</v>
      </c>
      <c r="B11" t="s">
        <v>10</v>
      </c>
      <c r="C11">
        <v>0.32</v>
      </c>
      <c r="D11">
        <v>72</v>
      </c>
      <c r="E11">
        <v>2500000</v>
      </c>
      <c r="F11">
        <f t="shared" ref="F11:F28" si="3">D11*E11</f>
        <v>180000000</v>
      </c>
      <c r="G11">
        <f t="shared" ref="G11:G28" si="4">(F11/C11)</f>
        <v>562500000</v>
      </c>
      <c r="H11">
        <f t="shared" ref="H11:H28" si="5">LOG10(G11)</f>
        <v>8.7501225267834002</v>
      </c>
      <c r="I11">
        <f>AVERAGE(H11:H19)</f>
        <v>8.3885268867119969</v>
      </c>
      <c r="J11">
        <f>STDEV(H11:H19)/SQRT(COUNT(H11:H19))</f>
        <v>0.17048520932146449</v>
      </c>
    </row>
    <row r="12" spans="1:14" ht="15.9">
      <c r="A12"/>
      <c r="B12"/>
      <c r="C12">
        <v>0.3</v>
      </c>
      <c r="D12">
        <v>150</v>
      </c>
      <c r="E12">
        <v>2500000</v>
      </c>
      <c r="F12">
        <f t="shared" si="3"/>
        <v>375000000</v>
      </c>
      <c r="G12">
        <f t="shared" si="4"/>
        <v>1250000000</v>
      </c>
      <c r="H12">
        <f t="shared" si="5"/>
        <v>9.0969100130080562</v>
      </c>
      <c r="I12"/>
      <c r="J12"/>
    </row>
    <row r="13" spans="1:14" ht="15.9">
      <c r="A13"/>
      <c r="B13"/>
      <c r="C13">
        <v>0.42</v>
      </c>
      <c r="D13">
        <v>68</v>
      </c>
      <c r="E13">
        <v>2500000</v>
      </c>
      <c r="F13">
        <f t="shared" si="3"/>
        <v>170000000</v>
      </c>
      <c r="G13">
        <f t="shared" si="4"/>
        <v>404761904.76190478</v>
      </c>
      <c r="H13">
        <f t="shared" si="5"/>
        <v>8.6071996309803733</v>
      </c>
      <c r="I13"/>
      <c r="J13"/>
    </row>
    <row r="14" spans="1:14" ht="15.9">
      <c r="A14"/>
      <c r="B14"/>
      <c r="C14">
        <v>0.15</v>
      </c>
      <c r="D14">
        <v>42</v>
      </c>
      <c r="E14">
        <v>2500000</v>
      </c>
      <c r="F14">
        <f t="shared" si="3"/>
        <v>105000000</v>
      </c>
      <c r="G14">
        <f t="shared" si="4"/>
        <v>700000000</v>
      </c>
      <c r="H14">
        <f t="shared" si="5"/>
        <v>8.8450980400142569</v>
      </c>
      <c r="I14"/>
      <c r="J14"/>
    </row>
    <row r="15" spans="1:14" ht="15.9">
      <c r="A15"/>
      <c r="B15"/>
      <c r="C15">
        <v>0.19</v>
      </c>
      <c r="D15">
        <v>9</v>
      </c>
      <c r="E15">
        <v>2500000</v>
      </c>
      <c r="F15">
        <f t="shared" si="3"/>
        <v>22500000</v>
      </c>
      <c r="G15">
        <f t="shared" si="4"/>
        <v>118421052.63157895</v>
      </c>
      <c r="H15">
        <f t="shared" si="5"/>
        <v>8.0734289171585338</v>
      </c>
      <c r="I15"/>
      <c r="J15"/>
    </row>
    <row r="16" spans="1:14" ht="15.9">
      <c r="A16"/>
      <c r="B16"/>
      <c r="C16">
        <v>0.17</v>
      </c>
      <c r="D16">
        <v>2</v>
      </c>
      <c r="E16">
        <v>25000000</v>
      </c>
      <c r="F16">
        <f t="shared" si="3"/>
        <v>50000000</v>
      </c>
      <c r="G16">
        <f t="shared" si="4"/>
        <v>294117647.05882353</v>
      </c>
      <c r="H16">
        <f t="shared" si="5"/>
        <v>8.4685210829577446</v>
      </c>
      <c r="I16"/>
      <c r="J16"/>
    </row>
    <row r="17" spans="1:11" ht="15.9">
      <c r="A17"/>
      <c r="B17"/>
      <c r="C17" s="2">
        <v>0.24</v>
      </c>
      <c r="D17" s="2">
        <v>5</v>
      </c>
      <c r="E17" s="2">
        <v>2500000</v>
      </c>
      <c r="F17" s="2">
        <f t="shared" si="3"/>
        <v>12500000</v>
      </c>
      <c r="G17" s="2">
        <f t="shared" si="4"/>
        <v>52083333.333333336</v>
      </c>
      <c r="H17" s="2">
        <f t="shared" si="5"/>
        <v>7.7166987712964508</v>
      </c>
      <c r="I17"/>
      <c r="J17"/>
    </row>
    <row r="18" spans="1:11" ht="15.9">
      <c r="A18"/>
      <c r="B18"/>
      <c r="C18" s="2">
        <v>0.31</v>
      </c>
      <c r="D18" s="2">
        <v>28</v>
      </c>
      <c r="E18" s="2">
        <v>2500000</v>
      </c>
      <c r="F18" s="2">
        <f t="shared" si="3"/>
        <v>70000000</v>
      </c>
      <c r="G18" s="2">
        <f t="shared" si="4"/>
        <v>225806451.61290324</v>
      </c>
      <c r="H18" s="2">
        <f t="shared" si="5"/>
        <v>8.3537363461799838</v>
      </c>
      <c r="I18"/>
      <c r="J18"/>
    </row>
    <row r="19" spans="1:11" ht="15.9">
      <c r="A19"/>
      <c r="B19"/>
      <c r="C19" s="2">
        <v>0.26</v>
      </c>
      <c r="D19" s="2">
        <v>4</v>
      </c>
      <c r="E19" s="2">
        <v>2500000</v>
      </c>
      <c r="F19" s="2">
        <f t="shared" si="3"/>
        <v>10000000</v>
      </c>
      <c r="G19" s="2">
        <f t="shared" si="4"/>
        <v>38461538.461538464</v>
      </c>
      <c r="H19" s="2">
        <f t="shared" si="5"/>
        <v>7.5850266520291818</v>
      </c>
      <c r="I19"/>
      <c r="J19"/>
    </row>
    <row r="20" spans="1:11" ht="15.9">
      <c r="A20"/>
      <c r="B20" t="s">
        <v>11</v>
      </c>
      <c r="C20">
        <v>0.6</v>
      </c>
      <c r="D20">
        <v>163</v>
      </c>
      <c r="E20">
        <v>2500000</v>
      </c>
      <c r="F20">
        <f t="shared" si="3"/>
        <v>407500000</v>
      </c>
      <c r="G20">
        <f t="shared" si="4"/>
        <v>679166666.66666675</v>
      </c>
      <c r="H20">
        <f t="shared" si="5"/>
        <v>8.8319763626923518</v>
      </c>
      <c r="I20">
        <f>AVERAGE(H20:H28)</f>
        <v>8.3233295795171571</v>
      </c>
      <c r="J20">
        <f>STDEV(H20:H28)/SQRT(COUNT(H20:H28))</f>
        <v>0.21858816575584403</v>
      </c>
      <c r="K20" s="2">
        <f>TTEST(H11:H19,H20:H28,2,2)</f>
        <v>0.81704485792412074</v>
      </c>
    </row>
    <row r="21" spans="1:11" ht="15.9">
      <c r="A21"/>
      <c r="B21"/>
      <c r="C21">
        <v>0.52</v>
      </c>
      <c r="D21">
        <v>138</v>
      </c>
      <c r="E21">
        <v>2500000</v>
      </c>
      <c r="F21">
        <f t="shared" si="3"/>
        <v>345000000</v>
      </c>
      <c r="G21">
        <f t="shared" si="4"/>
        <v>663461538.46153843</v>
      </c>
      <c r="H21">
        <f t="shared" si="5"/>
        <v>8.821815751438475</v>
      </c>
      <c r="I21"/>
      <c r="J21"/>
    </row>
    <row r="22" spans="1:11" ht="15.9">
      <c r="A22"/>
      <c r="B22"/>
      <c r="C22">
        <v>0.3</v>
      </c>
      <c r="D22">
        <v>172</v>
      </c>
      <c r="E22">
        <v>2500000</v>
      </c>
      <c r="F22">
        <f t="shared" si="3"/>
        <v>430000000</v>
      </c>
      <c r="G22">
        <f t="shared" si="4"/>
        <v>1433333333.3333335</v>
      </c>
      <c r="H22">
        <f t="shared" si="5"/>
        <v>9.1563472008599245</v>
      </c>
      <c r="I22"/>
      <c r="J22"/>
    </row>
    <row r="23" spans="1:11" ht="15.9">
      <c r="A23"/>
      <c r="B23"/>
      <c r="C23">
        <v>0.15</v>
      </c>
      <c r="D23">
        <v>14</v>
      </c>
      <c r="E23">
        <v>250000</v>
      </c>
      <c r="F23">
        <f t="shared" si="3"/>
        <v>3500000</v>
      </c>
      <c r="G23">
        <f t="shared" si="4"/>
        <v>23333333.333333336</v>
      </c>
      <c r="H23">
        <f t="shared" si="5"/>
        <v>7.3679767852945943</v>
      </c>
      <c r="I23"/>
      <c r="J23"/>
    </row>
    <row r="24" spans="1:11" ht="15.9">
      <c r="A24"/>
      <c r="B24"/>
      <c r="C24">
        <v>0.09</v>
      </c>
      <c r="D24">
        <v>16</v>
      </c>
      <c r="E24">
        <v>2500000</v>
      </c>
      <c r="F24">
        <f t="shared" si="3"/>
        <v>40000000</v>
      </c>
      <c r="G24">
        <f t="shared" si="4"/>
        <v>444444444.44444448</v>
      </c>
      <c r="H24">
        <f t="shared" si="5"/>
        <v>8.6478174818886373</v>
      </c>
      <c r="I24"/>
      <c r="J24"/>
    </row>
    <row r="25" spans="1:11" ht="15.9">
      <c r="A25"/>
      <c r="B25"/>
      <c r="C25">
        <v>0.06</v>
      </c>
      <c r="D25">
        <v>12</v>
      </c>
      <c r="E25">
        <v>2500000</v>
      </c>
      <c r="F25">
        <f t="shared" si="3"/>
        <v>30000000</v>
      </c>
      <c r="G25">
        <f t="shared" si="4"/>
        <v>500000000</v>
      </c>
      <c r="H25">
        <f t="shared" si="5"/>
        <v>8.6989700043360187</v>
      </c>
      <c r="I25"/>
      <c r="J25"/>
    </row>
    <row r="26" spans="1:11" ht="15.9">
      <c r="A26"/>
      <c r="B26"/>
      <c r="C26" s="2">
        <v>0.26</v>
      </c>
      <c r="D26" s="2">
        <v>6</v>
      </c>
      <c r="E26" s="2">
        <v>2500000</v>
      </c>
      <c r="F26" s="2">
        <f t="shared" si="3"/>
        <v>15000000</v>
      </c>
      <c r="G26" s="2">
        <f t="shared" si="4"/>
        <v>57692307.692307688</v>
      </c>
      <c r="H26" s="2">
        <f t="shared" si="5"/>
        <v>7.7611179110848632</v>
      </c>
      <c r="I26"/>
      <c r="J26"/>
    </row>
    <row r="27" spans="1:11" ht="15.9">
      <c r="A27"/>
      <c r="B27"/>
      <c r="C27" s="2">
        <v>0.26</v>
      </c>
      <c r="D27" s="2">
        <v>15</v>
      </c>
      <c r="E27" s="2">
        <v>2500000</v>
      </c>
      <c r="F27" s="2">
        <f t="shared" si="3"/>
        <v>37500000</v>
      </c>
      <c r="G27" s="2">
        <f t="shared" si="4"/>
        <v>144230769.23076922</v>
      </c>
      <c r="H27" s="2">
        <f t="shared" si="5"/>
        <v>8.1590579197569006</v>
      </c>
      <c r="I27"/>
      <c r="J27"/>
    </row>
    <row r="28" spans="1:11" ht="15.9">
      <c r="A28"/>
      <c r="B28"/>
      <c r="C28" s="2">
        <v>0.24</v>
      </c>
      <c r="D28" s="2">
        <v>28</v>
      </c>
      <c r="E28" s="2">
        <v>250000</v>
      </c>
      <c r="F28" s="2">
        <f t="shared" si="3"/>
        <v>7000000</v>
      </c>
      <c r="G28" s="2">
        <f t="shared" si="4"/>
        <v>29166666.666666668</v>
      </c>
      <c r="H28" s="2">
        <f t="shared" si="5"/>
        <v>7.4648867983026506</v>
      </c>
      <c r="I28"/>
      <c r="J28"/>
    </row>
    <row r="29" spans="1:11" ht="15.9">
      <c r="A29"/>
      <c r="B29"/>
      <c r="I29"/>
      <c r="J29"/>
    </row>
    <row r="30" spans="1:11" ht="15.9">
      <c r="A30" t="s">
        <v>13</v>
      </c>
      <c r="B30" t="s">
        <v>10</v>
      </c>
      <c r="C30">
        <v>0.25</v>
      </c>
      <c r="D30">
        <v>31</v>
      </c>
      <c r="E30">
        <v>25000000</v>
      </c>
      <c r="F30">
        <f t="shared" ref="F30:F46" si="6">D30*E30</f>
        <v>775000000</v>
      </c>
      <c r="G30">
        <f t="shared" ref="G30:G46" si="7">(F30/C30)</f>
        <v>3100000000</v>
      </c>
      <c r="H30">
        <f t="shared" ref="H30:H46" si="8">LOG10(G30)</f>
        <v>9.4913616938342731</v>
      </c>
      <c r="I30">
        <f>AVERAGE(H30:H37)</f>
        <v>8.8963718665153628</v>
      </c>
      <c r="J30">
        <f>STDEV(H30:H37)/SQRT(COUNT(H30:H37))</f>
        <v>0.25072707486759355</v>
      </c>
    </row>
    <row r="31" spans="1:11" ht="15.9">
      <c r="A31"/>
      <c r="B31"/>
      <c r="C31">
        <v>0.32</v>
      </c>
      <c r="D31">
        <v>40</v>
      </c>
      <c r="E31">
        <v>25000000</v>
      </c>
      <c r="F31">
        <f t="shared" si="6"/>
        <v>1000000000</v>
      </c>
      <c r="G31">
        <f t="shared" si="7"/>
        <v>3125000000</v>
      </c>
      <c r="H31">
        <f t="shared" si="8"/>
        <v>9.4948500216800937</v>
      </c>
      <c r="I31"/>
      <c r="J31"/>
    </row>
    <row r="32" spans="1:11" ht="15.9">
      <c r="A32"/>
      <c r="B32"/>
      <c r="C32">
        <v>0.31</v>
      </c>
      <c r="D32">
        <v>8</v>
      </c>
      <c r="E32">
        <v>250000000</v>
      </c>
      <c r="F32">
        <f t="shared" si="6"/>
        <v>2000000000</v>
      </c>
      <c r="G32">
        <f t="shared" si="7"/>
        <v>6451612903.2258062</v>
      </c>
      <c r="H32">
        <f t="shared" si="8"/>
        <v>9.8096683018297082</v>
      </c>
      <c r="I32"/>
      <c r="J32"/>
    </row>
    <row r="33" spans="1:11" ht="15.9">
      <c r="A33"/>
      <c r="B33"/>
      <c r="C33">
        <v>0.13</v>
      </c>
      <c r="D33">
        <v>8</v>
      </c>
      <c r="E33">
        <v>25000000</v>
      </c>
      <c r="F33">
        <f t="shared" si="6"/>
        <v>200000000</v>
      </c>
      <c r="G33">
        <f t="shared" si="7"/>
        <v>1538461538.4615383</v>
      </c>
      <c r="H33">
        <f t="shared" si="8"/>
        <v>9.1870866433571443</v>
      </c>
      <c r="I33"/>
      <c r="J33"/>
    </row>
    <row r="34" spans="1:11" ht="15.9">
      <c r="A34"/>
      <c r="B34"/>
      <c r="C34">
        <v>0.17</v>
      </c>
      <c r="D34">
        <v>20</v>
      </c>
      <c r="E34">
        <v>2500000</v>
      </c>
      <c r="F34">
        <f t="shared" si="6"/>
        <v>50000000</v>
      </c>
      <c r="G34">
        <f t="shared" si="7"/>
        <v>294117647.05882353</v>
      </c>
      <c r="H34">
        <f t="shared" si="8"/>
        <v>8.4685210829577446</v>
      </c>
      <c r="I34"/>
      <c r="J34"/>
    </row>
    <row r="35" spans="1:11" ht="15.9">
      <c r="A35"/>
      <c r="B35"/>
      <c r="C35" s="2">
        <v>0.18</v>
      </c>
      <c r="D35" s="2">
        <v>5</v>
      </c>
      <c r="E35" s="2">
        <v>2500000</v>
      </c>
      <c r="F35" s="2">
        <f t="shared" si="6"/>
        <v>12500000</v>
      </c>
      <c r="G35" s="2">
        <f t="shared" si="7"/>
        <v>69444444.444444448</v>
      </c>
      <c r="H35" s="2">
        <f t="shared" si="8"/>
        <v>7.8416375079047507</v>
      </c>
      <c r="I35"/>
      <c r="J35"/>
    </row>
    <row r="36" spans="1:11" ht="15.9">
      <c r="A36"/>
      <c r="B36"/>
      <c r="C36" s="2">
        <v>0.23</v>
      </c>
      <c r="D36" s="2">
        <v>5</v>
      </c>
      <c r="E36" s="2">
        <v>25000000</v>
      </c>
      <c r="F36" s="2">
        <f t="shared" si="6"/>
        <v>125000000</v>
      </c>
      <c r="G36" s="2">
        <f t="shared" si="7"/>
        <v>543478260.86956525</v>
      </c>
      <c r="H36" s="2">
        <f t="shared" si="8"/>
        <v>8.7351821769904632</v>
      </c>
      <c r="I36"/>
      <c r="J36"/>
    </row>
    <row r="37" spans="1:11" ht="15.9">
      <c r="A37"/>
      <c r="B37"/>
      <c r="C37" s="2">
        <v>0.18</v>
      </c>
      <c r="D37" s="2">
        <v>10</v>
      </c>
      <c r="E37" s="2">
        <v>2500000</v>
      </c>
      <c r="F37" s="2">
        <f t="shared" si="6"/>
        <v>25000000</v>
      </c>
      <c r="G37" s="2">
        <f t="shared" si="7"/>
        <v>138888888.8888889</v>
      </c>
      <c r="H37" s="2">
        <f t="shared" si="8"/>
        <v>8.142667503568731</v>
      </c>
      <c r="I37"/>
      <c r="J37"/>
    </row>
    <row r="38" spans="1:11" ht="15.9">
      <c r="A38"/>
      <c r="B38" t="s">
        <v>11</v>
      </c>
      <c r="C38">
        <v>0.35</v>
      </c>
      <c r="D38">
        <v>36</v>
      </c>
      <c r="E38">
        <v>25000000</v>
      </c>
      <c r="F38">
        <f t="shared" si="6"/>
        <v>900000000</v>
      </c>
      <c r="G38">
        <f t="shared" si="7"/>
        <v>2571428571.4285717</v>
      </c>
      <c r="H38">
        <f t="shared" si="8"/>
        <v>9.4101744650890495</v>
      </c>
      <c r="I38">
        <f>AVERAGE(H38:H46)</f>
        <v>8.85065406937189</v>
      </c>
      <c r="J38">
        <f>STDEV(H38:H46)/SQRT(COUNT(H38:H46))</f>
        <v>0.18525780971462033</v>
      </c>
      <c r="K38" s="2">
        <f>TTEST(H30:H37,H38:H46,2,2)</f>
        <v>0.88363942251670236</v>
      </c>
    </row>
    <row r="39" spans="1:11" ht="15.9">
      <c r="A39"/>
      <c r="B39"/>
      <c r="C39">
        <v>0.32</v>
      </c>
      <c r="D39">
        <v>18</v>
      </c>
      <c r="E39">
        <v>25000000</v>
      </c>
      <c r="F39">
        <f t="shared" si="6"/>
        <v>450000000</v>
      </c>
      <c r="G39">
        <f t="shared" si="7"/>
        <v>1406250000</v>
      </c>
      <c r="H39">
        <f t="shared" si="8"/>
        <v>9.1480625354554377</v>
      </c>
      <c r="I39"/>
      <c r="J39"/>
    </row>
    <row r="40" spans="1:11" ht="15.9">
      <c r="A40"/>
      <c r="B40"/>
      <c r="C40">
        <v>0.28000000000000003</v>
      </c>
      <c r="D40">
        <v>40</v>
      </c>
      <c r="E40">
        <v>25000000</v>
      </c>
      <c r="F40">
        <f t="shared" si="6"/>
        <v>1000000000</v>
      </c>
      <c r="G40">
        <f t="shared" si="7"/>
        <v>3571428571.4285712</v>
      </c>
      <c r="H40">
        <f t="shared" si="8"/>
        <v>9.5528419686577806</v>
      </c>
      <c r="I40"/>
      <c r="J40"/>
    </row>
    <row r="41" spans="1:11" ht="15.9">
      <c r="A41"/>
      <c r="B41"/>
      <c r="C41">
        <v>0.23</v>
      </c>
      <c r="D41">
        <v>82</v>
      </c>
      <c r="E41">
        <v>2500000</v>
      </c>
      <c r="F41">
        <f t="shared" si="6"/>
        <v>205000000</v>
      </c>
      <c r="G41">
        <f t="shared" si="7"/>
        <v>891304347.82608688</v>
      </c>
      <c r="H41">
        <f t="shared" si="8"/>
        <v>8.9500260250381611</v>
      </c>
      <c r="I41"/>
      <c r="J41"/>
    </row>
    <row r="42" spans="1:11" ht="15.9">
      <c r="A42"/>
      <c r="B42"/>
      <c r="C42">
        <v>0.21</v>
      </c>
      <c r="D42">
        <v>12</v>
      </c>
      <c r="E42">
        <v>25000000</v>
      </c>
      <c r="F42">
        <f t="shared" si="6"/>
        <v>300000000</v>
      </c>
      <c r="G42">
        <f t="shared" si="7"/>
        <v>1428571428.5714285</v>
      </c>
      <c r="H42">
        <f t="shared" si="8"/>
        <v>9.1549019599857431</v>
      </c>
      <c r="I42"/>
      <c r="J42"/>
    </row>
    <row r="43" spans="1:11" ht="15.9">
      <c r="A43"/>
      <c r="B43"/>
      <c r="C43">
        <v>0.19</v>
      </c>
      <c r="D43">
        <v>4</v>
      </c>
      <c r="E43">
        <v>25000000</v>
      </c>
      <c r="F43">
        <f t="shared" si="6"/>
        <v>100000000</v>
      </c>
      <c r="G43">
        <f t="shared" si="7"/>
        <v>526315789.47368419</v>
      </c>
      <c r="H43">
        <f t="shared" si="8"/>
        <v>8.7212463990471711</v>
      </c>
      <c r="I43"/>
      <c r="J43"/>
    </row>
    <row r="44" spans="1:11" ht="15.9">
      <c r="A44"/>
      <c r="B44"/>
      <c r="C44" s="2">
        <v>0.21</v>
      </c>
      <c r="D44" s="2">
        <v>6</v>
      </c>
      <c r="E44" s="2">
        <v>2500000</v>
      </c>
      <c r="F44" s="2">
        <f t="shared" si="6"/>
        <v>15000000</v>
      </c>
      <c r="G44" s="2">
        <f t="shared" si="7"/>
        <v>71428571.428571433</v>
      </c>
      <c r="H44" s="2">
        <f t="shared" si="8"/>
        <v>7.8538719643217618</v>
      </c>
      <c r="I44"/>
      <c r="J44"/>
    </row>
    <row r="45" spans="1:11" ht="15.9">
      <c r="A45"/>
      <c r="B45"/>
      <c r="C45" s="2">
        <v>0.24</v>
      </c>
      <c r="D45" s="2">
        <v>15</v>
      </c>
      <c r="E45" s="2">
        <v>2500000</v>
      </c>
      <c r="F45" s="2">
        <f t="shared" si="6"/>
        <v>37500000</v>
      </c>
      <c r="G45" s="2">
        <f t="shared" si="7"/>
        <v>156250000</v>
      </c>
      <c r="H45" s="2">
        <f t="shared" si="8"/>
        <v>8.1938200260161125</v>
      </c>
      <c r="I45"/>
      <c r="J45"/>
    </row>
    <row r="46" spans="1:11" ht="15.9">
      <c r="A46"/>
      <c r="B46"/>
      <c r="C46" s="2">
        <v>0.16</v>
      </c>
      <c r="D46" s="2">
        <v>3</v>
      </c>
      <c r="E46" s="2">
        <v>25000000</v>
      </c>
      <c r="F46" s="2">
        <f t="shared" si="6"/>
        <v>75000000</v>
      </c>
      <c r="G46" s="2">
        <f t="shared" si="7"/>
        <v>468750000</v>
      </c>
      <c r="H46" s="2">
        <f t="shared" si="8"/>
        <v>8.6709412807357751</v>
      </c>
      <c r="I46"/>
      <c r="J46"/>
    </row>
  </sheetData>
  <phoneticPr fontId="9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21"/>
  <sheetViews>
    <sheetView topLeftCell="B1" workbookViewId="0">
      <selection activeCell="I24" sqref="I24"/>
    </sheetView>
  </sheetViews>
  <sheetFormatPr defaultRowHeight="15.9"/>
  <cols>
    <col min="16" max="16" width="16.640625" customWidth="1"/>
  </cols>
  <sheetData>
    <row r="1" spans="1:17">
      <c r="A1" s="6"/>
      <c r="B1" s="6"/>
      <c r="C1" s="6"/>
      <c r="D1" s="6" t="s">
        <v>57</v>
      </c>
      <c r="E1" s="6" t="s">
        <v>21</v>
      </c>
      <c r="F1" s="6"/>
      <c r="G1" s="6"/>
      <c r="H1" s="6"/>
      <c r="I1" s="6"/>
      <c r="J1" s="6"/>
      <c r="K1" s="6"/>
      <c r="L1" s="6"/>
      <c r="M1" s="6"/>
      <c r="N1" s="6"/>
      <c r="P1" s="33" t="s">
        <v>48</v>
      </c>
      <c r="Q1" s="33"/>
    </row>
    <row r="2" spans="1:17">
      <c r="A2" s="6" t="s">
        <v>58</v>
      </c>
      <c r="B2" s="6" t="s">
        <v>114</v>
      </c>
      <c r="C2" s="6" t="s">
        <v>23</v>
      </c>
      <c r="D2" s="6">
        <v>19.5</v>
      </c>
      <c r="E2" s="6">
        <v>21</v>
      </c>
      <c r="F2" s="6">
        <f>POWER(2,D2-E2)</f>
        <v>0.35355339059327379</v>
      </c>
      <c r="G2" s="6">
        <f>AVERAGE(F2:F4)</f>
        <v>0.34232939058410677</v>
      </c>
      <c r="H2" s="6">
        <f>G2/G2</f>
        <v>1</v>
      </c>
      <c r="I2" s="6">
        <f>STDEV(F2:F4)/COUNT(F2:F4)</f>
        <v>3.3012020578423548E-2</v>
      </c>
      <c r="J2" s="6">
        <f>I2/G2</f>
        <v>9.6433497930446727E-2</v>
      </c>
      <c r="K2" s="6"/>
      <c r="L2" s="6" t="s">
        <v>23</v>
      </c>
      <c r="M2" s="6">
        <f>H2</f>
        <v>1</v>
      </c>
      <c r="N2" s="6">
        <f>J2</f>
        <v>9.6433497930446727E-2</v>
      </c>
      <c r="P2" t="s">
        <v>49</v>
      </c>
      <c r="Q2" t="s">
        <v>50</v>
      </c>
    </row>
    <row r="3" spans="1:17">
      <c r="A3" s="6"/>
      <c r="B3" s="6"/>
      <c r="C3" s="6"/>
      <c r="D3" s="6">
        <v>19.61</v>
      </c>
      <c r="E3" s="6">
        <v>20.81</v>
      </c>
      <c r="F3" s="6">
        <f t="shared" ref="F3:F21" si="0">POWER(2,D3-E3)</f>
        <v>0.43527528164806228</v>
      </c>
      <c r="G3" s="6"/>
      <c r="H3" s="6"/>
      <c r="I3" s="6"/>
      <c r="J3" s="6"/>
      <c r="K3" s="6"/>
      <c r="L3" s="6" t="s">
        <v>59</v>
      </c>
      <c r="M3" s="6">
        <f>H6</f>
        <v>0.46392819403697372</v>
      </c>
      <c r="N3" s="6">
        <f>J6</f>
        <v>6.2647495783001161E-2</v>
      </c>
      <c r="P3" t="s">
        <v>99</v>
      </c>
      <c r="Q3">
        <v>0.41494189999999997</v>
      </c>
    </row>
    <row r="4" spans="1:17">
      <c r="A4" s="6"/>
      <c r="B4" s="6"/>
      <c r="C4" s="6"/>
      <c r="D4" s="6">
        <v>19.07</v>
      </c>
      <c r="E4" s="6">
        <v>21.14</v>
      </c>
      <c r="F4" s="6">
        <f t="shared" si="0"/>
        <v>0.23815949951098433</v>
      </c>
      <c r="G4" s="6"/>
      <c r="H4" s="6"/>
      <c r="I4" s="6"/>
      <c r="J4" s="6"/>
      <c r="K4" s="6"/>
      <c r="L4" s="6" t="s">
        <v>10</v>
      </c>
      <c r="M4" s="6">
        <f>H10</f>
        <v>1.8325676499597796</v>
      </c>
      <c r="N4" s="6">
        <f>J10</f>
        <v>0.11812323029846458</v>
      </c>
      <c r="P4" t="s">
        <v>100</v>
      </c>
      <c r="Q4">
        <v>0.10758909999999999</v>
      </c>
    </row>
    <row r="5" spans="1:17">
      <c r="A5" s="6"/>
      <c r="B5" s="6"/>
      <c r="C5" s="6"/>
      <c r="D5" s="6">
        <v>18.57</v>
      </c>
      <c r="E5" s="6">
        <v>18.36</v>
      </c>
      <c r="F5" s="6">
        <f t="shared" si="0"/>
        <v>1.156688183905288</v>
      </c>
      <c r="G5" s="6"/>
      <c r="H5" s="6"/>
      <c r="I5" s="6"/>
      <c r="J5" s="6"/>
      <c r="K5" s="6"/>
      <c r="L5" s="6" t="s">
        <v>60</v>
      </c>
      <c r="M5" s="6">
        <f>H14</f>
        <v>0.90121949365169196</v>
      </c>
      <c r="N5" s="6">
        <f>J14</f>
        <v>4.9083496085192795E-2</v>
      </c>
      <c r="P5" t="s">
        <v>101</v>
      </c>
      <c r="Q5">
        <v>0.35266009999999998</v>
      </c>
    </row>
    <row r="6" spans="1:17">
      <c r="A6" s="6"/>
      <c r="B6" s="6"/>
      <c r="C6" s="6" t="s">
        <v>61</v>
      </c>
      <c r="D6" s="6">
        <v>17.47</v>
      </c>
      <c r="E6" s="6">
        <v>19.68</v>
      </c>
      <c r="F6" s="6">
        <f t="shared" si="0"/>
        <v>0.21613430782696619</v>
      </c>
      <c r="G6" s="6">
        <f t="shared" ref="G6" si="1">AVERAGE(F6:F9)</f>
        <v>0.15881625593946244</v>
      </c>
      <c r="H6" s="6">
        <f>G6/G2</f>
        <v>0.46392819403697372</v>
      </c>
      <c r="I6" s="6">
        <f t="shared" ref="I6" si="2">STDEV(F6:F9)/COUNT(F6:F9)</f>
        <v>2.1446079053015186E-2</v>
      </c>
      <c r="J6" s="6">
        <f>I6/G2</f>
        <v>6.2647495783001161E-2</v>
      </c>
      <c r="K6" s="6"/>
      <c r="L6" s="6" t="s">
        <v>62</v>
      </c>
      <c r="M6" s="6">
        <f>H18</f>
        <v>2.7243175258196</v>
      </c>
      <c r="N6" s="6">
        <f>J18</f>
        <v>0.13145420654794815</v>
      </c>
      <c r="P6" t="s">
        <v>102</v>
      </c>
      <c r="Q6">
        <v>0.99997119999999995</v>
      </c>
    </row>
    <row r="7" spans="1:17">
      <c r="A7" s="6"/>
      <c r="B7" s="6"/>
      <c r="C7" s="6"/>
      <c r="D7" s="6">
        <v>17.21</v>
      </c>
      <c r="E7" s="6">
        <v>19.22</v>
      </c>
      <c r="F7" s="6">
        <f t="shared" si="0"/>
        <v>0.24827312385925929</v>
      </c>
      <c r="G7" s="6"/>
      <c r="H7" s="6"/>
      <c r="I7" s="6"/>
      <c r="J7" s="6"/>
      <c r="K7" s="6"/>
      <c r="L7" s="6"/>
      <c r="M7" s="6"/>
      <c r="N7" s="6"/>
      <c r="P7" t="s">
        <v>103</v>
      </c>
      <c r="Q7">
        <v>0.86776399999999998</v>
      </c>
    </row>
    <row r="8" spans="1:17">
      <c r="A8" s="6"/>
      <c r="B8" s="6"/>
      <c r="C8" s="6"/>
      <c r="D8" s="6">
        <v>17.2</v>
      </c>
      <c r="E8" s="6">
        <v>20.8</v>
      </c>
      <c r="F8" s="6">
        <f t="shared" si="0"/>
        <v>8.2469244423305818E-2</v>
      </c>
      <c r="G8" s="6"/>
      <c r="H8" s="6"/>
      <c r="I8" s="6"/>
      <c r="J8" s="6"/>
      <c r="K8" s="6"/>
      <c r="L8" s="6"/>
      <c r="M8" s="6"/>
      <c r="N8" s="6"/>
      <c r="P8" t="s">
        <v>104</v>
      </c>
      <c r="Q8">
        <v>9.5627000000000004E-3</v>
      </c>
    </row>
    <row r="9" spans="1:17">
      <c r="A9" s="6"/>
      <c r="B9" s="6"/>
      <c r="C9" s="6"/>
      <c r="D9" s="6">
        <v>17.71</v>
      </c>
      <c r="E9" s="6">
        <v>21.21</v>
      </c>
      <c r="F9" s="6">
        <f t="shared" si="0"/>
        <v>8.8388347648318447E-2</v>
      </c>
      <c r="G9" s="6"/>
      <c r="H9" s="6"/>
      <c r="I9" s="6"/>
      <c r="J9" s="6"/>
      <c r="K9" s="6"/>
      <c r="L9" s="6"/>
      <c r="M9" s="6"/>
      <c r="N9" s="6"/>
      <c r="P9" t="s">
        <v>105</v>
      </c>
      <c r="Q9">
        <v>0.29466540000000002</v>
      </c>
    </row>
    <row r="10" spans="1:17">
      <c r="A10" s="6"/>
      <c r="B10" s="6"/>
      <c r="C10" s="6" t="s">
        <v>10</v>
      </c>
      <c r="D10" s="6">
        <v>17.09</v>
      </c>
      <c r="E10" s="6">
        <v>17.46</v>
      </c>
      <c r="F10" s="6">
        <f t="shared" si="0"/>
        <v>0.77378249677119437</v>
      </c>
      <c r="G10" s="6">
        <f t="shared" ref="G10" si="3">AVERAGE(F10:F13)</f>
        <v>0.62734176681488008</v>
      </c>
      <c r="H10" s="6">
        <f>G10/G2</f>
        <v>1.8325676499597796</v>
      </c>
      <c r="I10" s="6">
        <f t="shared" ref="I10" si="4">STDEV(F10:F13)/COUNT(F10:F13)</f>
        <v>4.0437053441899476E-2</v>
      </c>
      <c r="J10" s="6">
        <f>I10/G2</f>
        <v>0.11812323029846458</v>
      </c>
      <c r="K10" s="6"/>
      <c r="L10" s="6"/>
      <c r="M10" s="6"/>
      <c r="N10" s="6"/>
      <c r="P10" t="s">
        <v>106</v>
      </c>
      <c r="Q10">
        <v>1.6224E-3</v>
      </c>
    </row>
    <row r="11" spans="1:17">
      <c r="A11" s="6"/>
      <c r="B11" s="6"/>
      <c r="C11" s="6"/>
      <c r="D11" s="6">
        <v>17.190000000000001</v>
      </c>
      <c r="E11" s="6">
        <v>18.14</v>
      </c>
      <c r="F11" s="6">
        <f t="shared" si="0"/>
        <v>0.51763246192068901</v>
      </c>
      <c r="G11" s="6"/>
      <c r="H11" s="6"/>
      <c r="I11" s="6"/>
      <c r="J11" s="6"/>
      <c r="K11" s="6"/>
      <c r="L11" s="6"/>
      <c r="M11" s="6"/>
      <c r="N11" s="6"/>
      <c r="P11" t="s">
        <v>107</v>
      </c>
      <c r="Q11">
        <v>6.0671799999999998E-2</v>
      </c>
    </row>
    <row r="12" spans="1:17">
      <c r="A12" s="6"/>
      <c r="B12" s="6"/>
      <c r="C12" s="6"/>
      <c r="D12" s="6">
        <v>17.05</v>
      </c>
      <c r="E12" s="6">
        <v>17.45</v>
      </c>
      <c r="F12" s="6">
        <f t="shared" si="0"/>
        <v>0.75785828325519988</v>
      </c>
      <c r="G12" s="6"/>
      <c r="H12" s="6"/>
      <c r="I12" s="6"/>
      <c r="J12" s="6"/>
      <c r="K12" s="6"/>
      <c r="L12" s="6"/>
      <c r="M12" s="6"/>
      <c r="N12" s="6"/>
      <c r="P12" t="s">
        <v>108</v>
      </c>
      <c r="Q12">
        <v>0.33285510000000001</v>
      </c>
    </row>
    <row r="13" spans="1:17">
      <c r="A13" s="6"/>
      <c r="B13" s="6"/>
      <c r="C13" s="6"/>
      <c r="D13" s="6">
        <v>17.38</v>
      </c>
      <c r="E13" s="6">
        <v>18.5</v>
      </c>
      <c r="F13" s="6">
        <f t="shared" si="0"/>
        <v>0.4600938253124372</v>
      </c>
      <c r="G13" s="6"/>
      <c r="H13" s="6"/>
      <c r="I13" s="6"/>
      <c r="J13" s="6"/>
      <c r="K13" s="6"/>
      <c r="L13" s="6"/>
      <c r="M13" s="6"/>
      <c r="N13" s="6"/>
    </row>
    <row r="14" spans="1:17">
      <c r="A14" s="6"/>
      <c r="B14" s="6"/>
      <c r="C14" s="6" t="s">
        <v>60</v>
      </c>
      <c r="D14" s="6">
        <v>18.27</v>
      </c>
      <c r="E14" s="6">
        <v>20.21</v>
      </c>
      <c r="F14" s="6">
        <f t="shared" si="0"/>
        <v>0.26061644021028013</v>
      </c>
      <c r="G14" s="6">
        <f t="shared" ref="G14" si="5">AVERAGE(F14:F17)</f>
        <v>0.308513920044301</v>
      </c>
      <c r="H14" s="6">
        <f>G14/G2</f>
        <v>0.90121949365169196</v>
      </c>
      <c r="I14" s="6">
        <f t="shared" ref="I14" si="6">STDEV(F14:F17)/COUNT(F14:F17)</f>
        <v>1.6802723302581441E-2</v>
      </c>
      <c r="J14" s="6">
        <f>I14/G2</f>
        <v>4.9083496085192795E-2</v>
      </c>
      <c r="K14" s="6"/>
      <c r="L14" s="6"/>
      <c r="M14" s="6"/>
      <c r="N14" s="6"/>
    </row>
    <row r="15" spans="1:17">
      <c r="A15" s="6"/>
      <c r="B15" s="6"/>
      <c r="C15" s="6"/>
      <c r="D15" s="6">
        <v>18.12</v>
      </c>
      <c r="E15" s="6">
        <v>19.86</v>
      </c>
      <c r="F15" s="6">
        <f t="shared" si="0"/>
        <v>0.29936967615473253</v>
      </c>
      <c r="G15" s="6"/>
      <c r="H15" s="6"/>
      <c r="I15" s="6"/>
      <c r="J15" s="6"/>
      <c r="K15" s="6"/>
      <c r="L15" s="6"/>
      <c r="M15" s="6"/>
      <c r="N15" s="6"/>
    </row>
    <row r="16" spans="1:17">
      <c r="A16" s="6"/>
      <c r="B16" s="6"/>
      <c r="C16" s="6"/>
      <c r="D16" s="6">
        <v>17.739999999999998</v>
      </c>
      <c r="E16" s="6">
        <v>19.64</v>
      </c>
      <c r="F16" s="6">
        <f t="shared" si="0"/>
        <v>0.26794336563407289</v>
      </c>
      <c r="G16" s="6"/>
      <c r="H16" s="6"/>
      <c r="I16" s="6"/>
      <c r="J16" s="6"/>
      <c r="K16" s="6"/>
      <c r="L16" s="6"/>
      <c r="M16" s="6"/>
      <c r="N16" s="6"/>
    </row>
    <row r="17" spans="1:14">
      <c r="A17" s="6"/>
      <c r="B17" s="6"/>
      <c r="C17" s="6"/>
      <c r="D17" s="6">
        <v>17.420000000000002</v>
      </c>
      <c r="E17" s="6">
        <v>18.72</v>
      </c>
      <c r="F17" s="6">
        <f t="shared" si="0"/>
        <v>0.40612619817811857</v>
      </c>
      <c r="G17" s="6"/>
      <c r="H17" s="6"/>
      <c r="I17" s="6"/>
      <c r="J17" s="6"/>
      <c r="K17" s="6"/>
      <c r="L17" s="6"/>
      <c r="M17" s="6"/>
      <c r="N17" s="6"/>
    </row>
    <row r="18" spans="1:14">
      <c r="A18" s="6"/>
      <c r="B18" s="6"/>
      <c r="C18" s="6" t="s">
        <v>62</v>
      </c>
      <c r="D18" s="6">
        <v>17.13</v>
      </c>
      <c r="E18" s="6">
        <v>17.18</v>
      </c>
      <c r="F18" s="6">
        <f t="shared" si="0"/>
        <v>0.96593632892484504</v>
      </c>
      <c r="G18" s="6">
        <f t="shared" ref="G18" si="7">AVERAGE(F18:F21)</f>
        <v>0.93261395837142524</v>
      </c>
      <c r="H18" s="6">
        <f>G18/G2</f>
        <v>2.7243175258196</v>
      </c>
      <c r="I18" s="6">
        <f t="shared" ref="I18" si="8">STDEV(F18:F21)/COUNT(F18:F21)</f>
        <v>4.500063841727639E-2</v>
      </c>
      <c r="J18" s="6">
        <f>I18/G2</f>
        <v>0.13145420654794815</v>
      </c>
      <c r="K18" s="6"/>
      <c r="L18" s="6"/>
      <c r="M18" s="6"/>
      <c r="N18" s="6"/>
    </row>
    <row r="19" spans="1:14">
      <c r="A19" s="6"/>
      <c r="B19" s="6"/>
      <c r="C19" s="6"/>
      <c r="D19" s="6">
        <v>17.010000000000002</v>
      </c>
      <c r="E19" s="6">
        <v>16.78</v>
      </c>
      <c r="F19" s="6">
        <f t="shared" si="0"/>
        <v>1.1728349492318793</v>
      </c>
      <c r="G19" s="6"/>
      <c r="H19" s="6"/>
      <c r="I19" s="6"/>
      <c r="J19" s="6"/>
      <c r="K19" s="6"/>
      <c r="L19" s="6"/>
      <c r="M19" s="6"/>
      <c r="N19" s="6"/>
    </row>
    <row r="20" spans="1:14">
      <c r="A20" s="6"/>
      <c r="B20" s="6"/>
      <c r="C20" s="6"/>
      <c r="D20" s="6">
        <v>17.11</v>
      </c>
      <c r="E20" s="6">
        <v>17.48</v>
      </c>
      <c r="F20" s="6">
        <f t="shared" si="0"/>
        <v>0.77378249677119437</v>
      </c>
      <c r="G20" s="6"/>
      <c r="H20" s="6"/>
      <c r="I20" s="6"/>
      <c r="J20" s="6"/>
      <c r="K20" s="6"/>
      <c r="L20" s="6"/>
      <c r="M20" s="6"/>
      <c r="N20" s="6"/>
    </row>
    <row r="21" spans="1:14">
      <c r="A21" s="6"/>
      <c r="B21" s="6"/>
      <c r="C21" s="6"/>
      <c r="D21" s="6">
        <v>17.420000000000002</v>
      </c>
      <c r="E21" s="6">
        <v>17.71</v>
      </c>
      <c r="F21" s="6">
        <f t="shared" si="0"/>
        <v>0.81790205855778164</v>
      </c>
      <c r="G21" s="6"/>
      <c r="H21" s="6"/>
      <c r="I21" s="6"/>
      <c r="J21" s="6"/>
      <c r="K21" s="6"/>
      <c r="L21" s="6"/>
      <c r="M21" s="6"/>
      <c r="N21" s="6"/>
    </row>
  </sheetData>
  <mergeCells count="1">
    <mergeCell ref="P1:Q1"/>
  </mergeCells>
  <phoneticPr fontId="9"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21"/>
  <sheetViews>
    <sheetView workbookViewId="0">
      <selection activeCell="M10" sqref="M10"/>
    </sheetView>
  </sheetViews>
  <sheetFormatPr defaultRowHeight="15.9"/>
  <cols>
    <col min="15" max="15" width="15.78515625" customWidth="1"/>
  </cols>
  <sheetData>
    <row r="1" spans="1:16">
      <c r="A1" s="6"/>
      <c r="B1" s="6"/>
      <c r="C1" s="6" t="s">
        <v>57</v>
      </c>
      <c r="D1" s="6" t="s">
        <v>21</v>
      </c>
      <c r="E1" s="6"/>
      <c r="F1" s="6"/>
      <c r="G1" s="6"/>
      <c r="H1" s="6"/>
      <c r="I1" s="6"/>
      <c r="J1" s="6"/>
      <c r="K1" s="6"/>
      <c r="L1" s="6"/>
      <c r="M1" s="6"/>
      <c r="O1" s="33" t="s">
        <v>48</v>
      </c>
      <c r="P1" s="33"/>
    </row>
    <row r="2" spans="1:16">
      <c r="A2" s="6" t="s">
        <v>63</v>
      </c>
      <c r="B2" s="6" t="s">
        <v>23</v>
      </c>
      <c r="C2" s="6">
        <v>19.5</v>
      </c>
      <c r="D2" s="6">
        <v>24.96</v>
      </c>
      <c r="E2" s="6">
        <f>POWER(2,C2-D2)</f>
        <v>2.2718320583129847E-2</v>
      </c>
      <c r="F2" s="6">
        <f>AVERAGE(E2:E5)</f>
        <v>1.9001961431240718E-2</v>
      </c>
      <c r="G2" s="6">
        <f>F2/F2</f>
        <v>1</v>
      </c>
      <c r="H2" s="6">
        <f>STDEV(E2:E5)/COUNT(E2:E5)</f>
        <v>1.1753292332165822E-3</v>
      </c>
      <c r="I2" s="6">
        <f>H2/F2</f>
        <v>6.1853048037675135E-2</v>
      </c>
      <c r="J2" s="6"/>
      <c r="K2" s="6" t="s">
        <v>23</v>
      </c>
      <c r="L2" s="6">
        <f>G2</f>
        <v>1</v>
      </c>
      <c r="M2" s="6">
        <f>I2</f>
        <v>6.1853048037675135E-2</v>
      </c>
      <c r="O2" t="s">
        <v>49</v>
      </c>
      <c r="P2" t="s">
        <v>50</v>
      </c>
    </row>
    <row r="3" spans="1:16">
      <c r="A3" s="6"/>
      <c r="B3" s="6"/>
      <c r="C3" s="6">
        <v>19.61</v>
      </c>
      <c r="D3" s="6">
        <v>25.08</v>
      </c>
      <c r="E3" s="6">
        <f t="shared" ref="E3:E21" si="0">POWER(2,C3-D3)</f>
        <v>2.2561393680039017E-2</v>
      </c>
      <c r="F3" s="6"/>
      <c r="G3" s="6"/>
      <c r="H3" s="6"/>
      <c r="I3" s="6"/>
      <c r="J3" s="6"/>
      <c r="K3" s="6" t="s">
        <v>59</v>
      </c>
      <c r="L3" s="6">
        <f>G6</f>
        <v>1.3732470523604829</v>
      </c>
      <c r="M3" s="6">
        <f>I6</f>
        <v>5.2482841679059811E-2</v>
      </c>
      <c r="O3" t="s">
        <v>99</v>
      </c>
      <c r="P3">
        <v>3.2299999999999999E-5</v>
      </c>
    </row>
    <row r="4" spans="1:16">
      <c r="A4" s="6"/>
      <c r="B4" s="6"/>
      <c r="C4" s="6">
        <v>19.07</v>
      </c>
      <c r="D4" s="6">
        <v>24.87</v>
      </c>
      <c r="E4" s="6">
        <f t="shared" si="0"/>
        <v>1.7948411796828663E-2</v>
      </c>
      <c r="F4" s="6"/>
      <c r="G4" s="6"/>
      <c r="H4" s="6"/>
      <c r="I4" s="6"/>
      <c r="J4" s="6"/>
      <c r="K4" s="6" t="s">
        <v>10</v>
      </c>
      <c r="L4" s="6">
        <f>G10</f>
        <v>1.3519804485317664</v>
      </c>
      <c r="M4" s="6">
        <f>I10</f>
        <v>3.1894236741569125E-2</v>
      </c>
      <c r="O4" t="s">
        <v>100</v>
      </c>
      <c r="P4">
        <v>3.6248599999999999E-2</v>
      </c>
    </row>
    <row r="5" spans="1:16">
      <c r="A5" s="6"/>
      <c r="B5" s="6"/>
      <c r="C5" s="6">
        <v>18.57</v>
      </c>
      <c r="D5" s="6">
        <v>24.86</v>
      </c>
      <c r="E5" s="6">
        <f t="shared" si="0"/>
        <v>1.2779719664965338E-2</v>
      </c>
      <c r="F5" s="6"/>
      <c r="G5" s="6"/>
      <c r="H5" s="6"/>
      <c r="I5" s="6"/>
      <c r="J5" s="6"/>
      <c r="K5" s="6" t="s">
        <v>60</v>
      </c>
      <c r="L5" s="6">
        <f>G14</f>
        <v>1.9086996406295538</v>
      </c>
      <c r="M5" s="6">
        <f>I14</f>
        <v>3.1924704429700024E-2</v>
      </c>
      <c r="O5" t="s">
        <v>101</v>
      </c>
      <c r="P5">
        <v>1.1627E-2</v>
      </c>
    </row>
    <row r="6" spans="1:16">
      <c r="A6" s="6"/>
      <c r="B6" s="6" t="s">
        <v>61</v>
      </c>
      <c r="C6" s="6">
        <v>17.47</v>
      </c>
      <c r="D6" s="6">
        <v>22.68</v>
      </c>
      <c r="E6" s="6">
        <f t="shared" si="0"/>
        <v>2.7016788478370777E-2</v>
      </c>
      <c r="F6" s="6">
        <f t="shared" ref="F6" si="1">AVERAGE(E6:E9)</f>
        <v>2.6094387524518901E-2</v>
      </c>
      <c r="G6" s="6">
        <f>F6/F2</f>
        <v>1.3732470523604829</v>
      </c>
      <c r="H6" s="6">
        <f t="shared" ref="H6" si="2">STDEV(E6:E9)/COUNT(E6:E9)</f>
        <v>9.9727693338740736E-4</v>
      </c>
      <c r="I6" s="6">
        <f>H6/F2</f>
        <v>5.2482841679059811E-2</v>
      </c>
      <c r="J6" s="6"/>
      <c r="K6" s="6" t="s">
        <v>62</v>
      </c>
      <c r="L6" s="6">
        <f>G18</f>
        <v>1.4546544858838195</v>
      </c>
      <c r="M6" s="6">
        <f>I18</f>
        <v>3.625855115896142E-2</v>
      </c>
      <c r="O6" t="s">
        <v>102</v>
      </c>
      <c r="P6">
        <v>4.8534599999999997E-2</v>
      </c>
    </row>
    <row r="7" spans="1:16">
      <c r="A7" s="6"/>
      <c r="B7" s="6"/>
      <c r="C7" s="6">
        <v>17.21</v>
      </c>
      <c r="D7" s="6">
        <v>22.59</v>
      </c>
      <c r="E7" s="6">
        <f t="shared" si="0"/>
        <v>2.4013674707625218E-2</v>
      </c>
      <c r="F7" s="6"/>
      <c r="G7" s="6"/>
      <c r="H7" s="6"/>
      <c r="I7" s="6"/>
      <c r="J7" s="6"/>
      <c r="K7" s="6"/>
      <c r="L7" s="6"/>
      <c r="M7" s="6"/>
      <c r="O7" t="s">
        <v>103</v>
      </c>
      <c r="P7">
        <v>5.1228000000000003E-3</v>
      </c>
    </row>
    <row r="8" spans="1:16">
      <c r="A8" s="6"/>
      <c r="B8" s="6"/>
      <c r="C8" s="6">
        <v>17.2</v>
      </c>
      <c r="D8" s="6">
        <v>22.2</v>
      </c>
      <c r="E8" s="6">
        <f t="shared" si="0"/>
        <v>3.125E-2</v>
      </c>
      <c r="F8" s="6"/>
      <c r="G8" s="6"/>
      <c r="H8" s="6"/>
      <c r="I8" s="6"/>
      <c r="J8" s="6"/>
      <c r="K8" s="6"/>
      <c r="L8" s="6"/>
      <c r="M8" s="6"/>
      <c r="O8" t="s">
        <v>104</v>
      </c>
      <c r="P8">
        <v>1.7571199999999999E-2</v>
      </c>
    </row>
    <row r="9" spans="1:16">
      <c r="A9" s="6"/>
      <c r="B9" s="6"/>
      <c r="C9" s="6">
        <v>17.71</v>
      </c>
      <c r="D9" s="6">
        <v>23.21</v>
      </c>
      <c r="E9" s="6">
        <f t="shared" si="0"/>
        <v>2.2097086912079608E-2</v>
      </c>
      <c r="F9" s="6"/>
      <c r="G9" s="6"/>
      <c r="H9" s="6"/>
      <c r="I9" s="6"/>
      <c r="J9" s="6"/>
      <c r="K9" s="6"/>
      <c r="L9" s="6"/>
      <c r="M9" s="6"/>
      <c r="O9" t="s">
        <v>105</v>
      </c>
      <c r="P9">
        <v>3.7219000000000002E-3</v>
      </c>
    </row>
    <row r="10" spans="1:16">
      <c r="A10" s="6"/>
      <c r="B10" s="6" t="s">
        <v>10</v>
      </c>
      <c r="C10" s="6">
        <v>17.09</v>
      </c>
      <c r="D10" s="6">
        <v>22.55</v>
      </c>
      <c r="E10" s="6">
        <f t="shared" si="0"/>
        <v>2.2718320583129847E-2</v>
      </c>
      <c r="F10" s="6">
        <f t="shared" ref="F10" si="3">AVERAGE(E10:E13)</f>
        <v>2.569028033879215E-2</v>
      </c>
      <c r="G10" s="6">
        <f>F10/F2</f>
        <v>1.3519804485317664</v>
      </c>
      <c r="H10" s="6">
        <f t="shared" ref="H10" si="4">STDEV(E10:E13)/COUNT(E10:E13)</f>
        <v>6.0605305644215711E-4</v>
      </c>
      <c r="I10" s="6">
        <f>H10/F2</f>
        <v>3.1894236741569125E-2</v>
      </c>
      <c r="J10" s="6"/>
      <c r="K10" s="6"/>
      <c r="L10" s="6"/>
      <c r="M10" s="6"/>
      <c r="O10" t="s">
        <v>106</v>
      </c>
      <c r="P10">
        <v>0.96176850000000003</v>
      </c>
    </row>
    <row r="11" spans="1:16">
      <c r="A11" s="6"/>
      <c r="B11" s="6"/>
      <c r="C11" s="6">
        <v>17.190000000000001</v>
      </c>
      <c r="D11" s="6">
        <v>22.5</v>
      </c>
      <c r="E11" s="6">
        <f t="shared" si="0"/>
        <v>2.5207554975691472E-2</v>
      </c>
      <c r="F11" s="6"/>
      <c r="G11" s="6"/>
      <c r="H11" s="6"/>
      <c r="I11" s="6"/>
      <c r="J11" s="6"/>
      <c r="K11" s="6"/>
      <c r="L11" s="6"/>
      <c r="M11" s="6"/>
      <c r="O11" t="s">
        <v>107</v>
      </c>
      <c r="P11">
        <v>0.99977490000000002</v>
      </c>
    </row>
    <row r="12" spans="1:16">
      <c r="A12" s="6"/>
      <c r="B12" s="6"/>
      <c r="C12" s="6">
        <v>17.05</v>
      </c>
      <c r="D12" s="6">
        <v>22.3</v>
      </c>
      <c r="E12" s="6">
        <f t="shared" si="0"/>
        <v>2.6278012976678582E-2</v>
      </c>
      <c r="F12" s="6"/>
      <c r="G12" s="6"/>
      <c r="H12" s="6"/>
      <c r="I12" s="6"/>
      <c r="J12" s="6"/>
      <c r="K12" s="6"/>
      <c r="L12" s="6"/>
      <c r="M12" s="6"/>
      <c r="O12" t="s">
        <v>108</v>
      </c>
      <c r="P12">
        <v>0.9159564</v>
      </c>
    </row>
    <row r="13" spans="1:16">
      <c r="A13" s="6"/>
      <c r="B13" s="6"/>
      <c r="C13" s="6">
        <v>17.38</v>
      </c>
      <c r="D13" s="6">
        <v>22.51</v>
      </c>
      <c r="E13" s="6">
        <f t="shared" si="0"/>
        <v>2.8557232819668717E-2</v>
      </c>
      <c r="F13" s="6"/>
      <c r="G13" s="6"/>
      <c r="H13" s="6"/>
      <c r="I13" s="6"/>
      <c r="J13" s="6"/>
      <c r="K13" s="6"/>
      <c r="L13" s="6"/>
      <c r="M13" s="6"/>
    </row>
    <row r="14" spans="1:16">
      <c r="A14" s="6"/>
      <c r="B14" s="6" t="s">
        <v>60</v>
      </c>
      <c r="C14" s="6">
        <v>18.27</v>
      </c>
      <c r="D14" s="6">
        <v>23.06</v>
      </c>
      <c r="E14" s="6">
        <f t="shared" si="0"/>
        <v>3.6146505747040258E-2</v>
      </c>
      <c r="F14" s="6">
        <f t="shared" ref="F14" si="5">AVERAGE(E14:E17)</f>
        <v>3.6269036955065802E-2</v>
      </c>
      <c r="G14" s="6">
        <f>F14/F2</f>
        <v>1.9086996406295538</v>
      </c>
      <c r="H14" s="6">
        <f t="shared" ref="H14" si="6">STDEV(E14:E17)/COUNT(E14:E17)</f>
        <v>6.066320022769195E-4</v>
      </c>
      <c r="I14" s="6">
        <f>H14/F2</f>
        <v>3.1924704429700024E-2</v>
      </c>
      <c r="J14" s="6"/>
      <c r="K14" s="6"/>
      <c r="L14" s="6"/>
      <c r="M14" s="6"/>
    </row>
    <row r="15" spans="1:16">
      <c r="A15" s="6"/>
      <c r="B15" s="6"/>
      <c r="C15" s="6">
        <v>18.12</v>
      </c>
      <c r="D15" s="6">
        <v>22.93</v>
      </c>
      <c r="E15" s="6">
        <f t="shared" si="0"/>
        <v>3.564886612088828E-2</v>
      </c>
      <c r="F15" s="6"/>
      <c r="G15" s="6"/>
      <c r="H15" s="6"/>
      <c r="I15" s="6"/>
      <c r="J15" s="6"/>
      <c r="K15" s="6"/>
      <c r="L15" s="6"/>
      <c r="M15" s="6"/>
    </row>
    <row r="16" spans="1:16">
      <c r="A16" s="6"/>
      <c r="B16" s="6"/>
      <c r="C16" s="6">
        <v>17.739999999999998</v>
      </c>
      <c r="D16" s="6">
        <v>22.4</v>
      </c>
      <c r="E16" s="6">
        <f t="shared" si="0"/>
        <v>3.9554893561571255E-2</v>
      </c>
      <c r="F16" s="6"/>
      <c r="G16" s="6"/>
      <c r="H16" s="6"/>
      <c r="I16" s="6"/>
      <c r="J16" s="6"/>
      <c r="K16" s="6"/>
      <c r="L16" s="6"/>
      <c r="M16" s="6"/>
    </row>
    <row r="17" spans="1:13">
      <c r="A17" s="6"/>
      <c r="B17" s="6"/>
      <c r="C17" s="6">
        <v>17.420000000000002</v>
      </c>
      <c r="D17" s="6">
        <v>22.31</v>
      </c>
      <c r="E17" s="6">
        <f t="shared" si="0"/>
        <v>3.372588239076342E-2</v>
      </c>
      <c r="F17" s="6"/>
      <c r="G17" s="6"/>
      <c r="H17" s="6"/>
      <c r="I17" s="6"/>
      <c r="J17" s="6"/>
      <c r="K17" s="6"/>
      <c r="L17" s="6"/>
      <c r="M17" s="6"/>
    </row>
    <row r="18" spans="1:13">
      <c r="A18" s="6"/>
      <c r="B18" s="6" t="s">
        <v>62</v>
      </c>
      <c r="C18" s="6">
        <v>17.13</v>
      </c>
      <c r="D18" s="6">
        <v>22.27</v>
      </c>
      <c r="E18" s="6">
        <f t="shared" si="0"/>
        <v>2.835997360366127E-2</v>
      </c>
      <c r="F18" s="6">
        <f t="shared" ref="F18" si="7">AVERAGE(E18:E21)</f>
        <v>2.7641288436545633E-2</v>
      </c>
      <c r="G18" s="6">
        <f>F18/F2</f>
        <v>1.4546544858838195</v>
      </c>
      <c r="H18" s="6">
        <f t="shared" ref="H18" si="8">STDEV(E18:E21)/COUNT(E18:E21)</f>
        <v>6.8898359067525339E-4</v>
      </c>
      <c r="I18" s="6">
        <f>H18/F2</f>
        <v>3.625855115896142E-2</v>
      </c>
      <c r="J18" s="6"/>
      <c r="K18" s="6"/>
      <c r="L18" s="6"/>
      <c r="M18" s="6"/>
    </row>
    <row r="19" spans="1:13">
      <c r="A19" s="6"/>
      <c r="B19" s="6"/>
      <c r="C19" s="6">
        <v>17.010000000000002</v>
      </c>
      <c r="D19" s="6">
        <v>22.03</v>
      </c>
      <c r="E19" s="6">
        <f t="shared" si="0"/>
        <v>3.0819772015417482E-2</v>
      </c>
      <c r="F19" s="6"/>
      <c r="G19" s="6"/>
      <c r="H19" s="6"/>
      <c r="I19" s="6"/>
      <c r="J19" s="6"/>
      <c r="K19" s="6"/>
      <c r="L19" s="6"/>
      <c r="M19" s="6"/>
    </row>
    <row r="20" spans="1:13">
      <c r="A20" s="6"/>
      <c r="B20" s="6"/>
      <c r="C20" s="6">
        <v>17.11</v>
      </c>
      <c r="D20" s="6">
        <v>22.31</v>
      </c>
      <c r="E20" s="6">
        <f t="shared" si="0"/>
        <v>2.7204705103003893E-2</v>
      </c>
      <c r="F20" s="6"/>
      <c r="G20" s="6"/>
      <c r="H20" s="6"/>
      <c r="I20" s="6"/>
      <c r="J20" s="6"/>
      <c r="K20" s="6"/>
      <c r="L20" s="6"/>
      <c r="M20" s="6"/>
    </row>
    <row r="21" spans="1:13">
      <c r="A21" s="6"/>
      <c r="B21" s="6"/>
      <c r="C21" s="6">
        <v>17.420000000000002</v>
      </c>
      <c r="D21" s="6">
        <v>22.79</v>
      </c>
      <c r="E21" s="6">
        <f t="shared" si="0"/>
        <v>2.418070302409989E-2</v>
      </c>
      <c r="F21" s="6"/>
      <c r="G21" s="6"/>
      <c r="H21" s="6"/>
      <c r="I21" s="6"/>
      <c r="J21" s="6"/>
      <c r="K21" s="6"/>
      <c r="L21" s="6"/>
      <c r="M21" s="6"/>
    </row>
  </sheetData>
  <mergeCells count="1">
    <mergeCell ref="O1:P1"/>
  </mergeCells>
  <phoneticPr fontId="9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P21"/>
  <sheetViews>
    <sheetView zoomScale="70" zoomScaleNormal="70" workbookViewId="0">
      <selection activeCell="H13" sqref="H13"/>
    </sheetView>
  </sheetViews>
  <sheetFormatPr defaultRowHeight="15.9"/>
  <cols>
    <col min="15" max="15" width="18" customWidth="1"/>
  </cols>
  <sheetData>
    <row r="1" spans="1:16">
      <c r="A1" s="6"/>
      <c r="B1" s="6"/>
      <c r="C1" s="6" t="s">
        <v>57</v>
      </c>
      <c r="D1" s="6" t="s">
        <v>21</v>
      </c>
      <c r="E1" s="6"/>
      <c r="F1" s="6"/>
      <c r="G1" s="6"/>
      <c r="H1" s="6"/>
      <c r="I1" s="6"/>
      <c r="J1" s="6"/>
      <c r="K1" s="6"/>
      <c r="L1" s="6"/>
      <c r="M1" s="6"/>
      <c r="O1" s="33" t="s">
        <v>48</v>
      </c>
      <c r="P1" s="33"/>
    </row>
    <row r="2" spans="1:16">
      <c r="A2" s="6" t="s">
        <v>109</v>
      </c>
      <c r="B2" s="6" t="s">
        <v>23</v>
      </c>
      <c r="C2" s="6">
        <v>19.5</v>
      </c>
      <c r="D2" s="6">
        <v>32.979999999999997</v>
      </c>
      <c r="E2" s="6">
        <f>POWER(2,C2-D2)</f>
        <v>8.7521682618153698E-5</v>
      </c>
      <c r="F2" s="6">
        <f>AVERAGE(E2:E5)</f>
        <v>3.7476544324396247E-4</v>
      </c>
      <c r="G2" s="6">
        <f>F2/F2</f>
        <v>1</v>
      </c>
      <c r="H2" s="6">
        <f>STDEV(E2:E5)/COUNT(E2:E5)</f>
        <v>7.1641695545223929E-5</v>
      </c>
      <c r="I2" s="6">
        <f>H2/F2</f>
        <v>0.19116409166516204</v>
      </c>
      <c r="J2" s="6"/>
      <c r="K2" s="6" t="s">
        <v>23</v>
      </c>
      <c r="L2" s="6">
        <f>G2</f>
        <v>1</v>
      </c>
      <c r="M2" s="6">
        <f>I2</f>
        <v>0.19116409166516204</v>
      </c>
      <c r="O2" t="s">
        <v>49</v>
      </c>
      <c r="P2" t="s">
        <v>50</v>
      </c>
    </row>
    <row r="3" spans="1:16">
      <c r="A3" s="6"/>
      <c r="B3" s="6"/>
      <c r="C3" s="6">
        <v>19.61</v>
      </c>
      <c r="D3" s="6">
        <v>32.130000000000003</v>
      </c>
      <c r="E3" s="6">
        <f t="shared" ref="E3:E21" si="0">POWER(2,C3-D3)</f>
        <v>1.7025679520878928E-4</v>
      </c>
      <c r="F3" s="6"/>
      <c r="G3" s="6"/>
      <c r="H3" s="6"/>
      <c r="I3" s="6"/>
      <c r="J3" s="6"/>
      <c r="K3" s="6" t="s">
        <v>59</v>
      </c>
      <c r="L3" s="6">
        <f>G6</f>
        <v>11.197370930897689</v>
      </c>
      <c r="M3" s="6">
        <f>I6</f>
        <v>0.74218064981138643</v>
      </c>
      <c r="O3" t="s">
        <v>99</v>
      </c>
      <c r="P3">
        <v>0.97959700000000005</v>
      </c>
    </row>
    <row r="4" spans="1:16">
      <c r="A4" s="6"/>
      <c r="B4" s="6"/>
      <c r="C4" s="6">
        <v>19.07</v>
      </c>
      <c r="D4" s="6">
        <v>29.67</v>
      </c>
      <c r="E4" s="6">
        <f t="shared" si="0"/>
        <v>6.442909720570767E-4</v>
      </c>
      <c r="F4" s="6"/>
      <c r="G4" s="6"/>
      <c r="H4" s="6"/>
      <c r="I4" s="6"/>
      <c r="J4" s="6"/>
      <c r="K4" s="6" t="s">
        <v>10</v>
      </c>
      <c r="L4" s="6">
        <f>G10</f>
        <v>152.68304633029572</v>
      </c>
      <c r="M4" s="6">
        <f>I10</f>
        <v>32.884742082732124</v>
      </c>
      <c r="O4" t="s">
        <v>100</v>
      </c>
      <c r="P4">
        <v>0.99999819999999995</v>
      </c>
    </row>
    <row r="5" spans="1:16">
      <c r="A5" s="6"/>
      <c r="B5" s="6"/>
      <c r="C5" s="6">
        <v>18.57</v>
      </c>
      <c r="D5" s="6">
        <v>29.28</v>
      </c>
      <c r="E5" s="6">
        <f t="shared" si="0"/>
        <v>5.9699232309183017E-4</v>
      </c>
      <c r="F5" s="6"/>
      <c r="G5" s="6"/>
      <c r="H5" s="6"/>
      <c r="I5" s="6"/>
      <c r="J5" s="6"/>
      <c r="K5" s="6" t="s">
        <v>60</v>
      </c>
      <c r="L5" s="6">
        <f>G14</f>
        <v>108.05548583565947</v>
      </c>
      <c r="M5" s="6">
        <f>I14</f>
        <v>32.182985073846886</v>
      </c>
      <c r="O5" t="s">
        <v>101</v>
      </c>
      <c r="P5">
        <v>3.7258999999999999E-3</v>
      </c>
    </row>
    <row r="6" spans="1:16">
      <c r="A6" s="6"/>
      <c r="B6" s="6" t="s">
        <v>61</v>
      </c>
      <c r="C6" s="6">
        <v>17.47</v>
      </c>
      <c r="D6" s="6">
        <v>25.33</v>
      </c>
      <c r="E6" s="6">
        <f t="shared" si="0"/>
        <v>4.3043168588930121E-3</v>
      </c>
      <c r="F6" s="6">
        <f t="shared" ref="F6" si="1">AVERAGE(E6:E9)</f>
        <v>4.196387680084933E-3</v>
      </c>
      <c r="G6" s="6">
        <f>F6/F2</f>
        <v>11.197370930897689</v>
      </c>
      <c r="H6" s="6">
        <f t="shared" ref="H6" si="2">STDEV(E6:E9)/COUNT(E6:E9)</f>
        <v>2.7814366019365632E-4</v>
      </c>
      <c r="I6" s="6">
        <f>H6/F2</f>
        <v>0.74218064981138643</v>
      </c>
      <c r="J6" s="6"/>
      <c r="K6" s="6" t="s">
        <v>62</v>
      </c>
      <c r="L6" s="6">
        <f>G18</f>
        <v>871.32705501843839</v>
      </c>
      <c r="M6" s="6">
        <f>I18</f>
        <v>128.2759081666411</v>
      </c>
      <c r="O6" t="s">
        <v>102</v>
      </c>
      <c r="P6">
        <v>0.93059800000000004</v>
      </c>
    </row>
    <row r="7" spans="1:16">
      <c r="A7" s="6"/>
      <c r="B7" s="6"/>
      <c r="C7" s="6">
        <v>17.21</v>
      </c>
      <c r="D7" s="6">
        <v>24.66</v>
      </c>
      <c r="E7" s="6">
        <f t="shared" si="0"/>
        <v>5.7190847497876037E-3</v>
      </c>
      <c r="F7" s="6"/>
      <c r="G7" s="6"/>
      <c r="H7" s="6"/>
      <c r="I7" s="6"/>
      <c r="J7" s="6"/>
      <c r="K7" s="6"/>
      <c r="L7" s="6"/>
      <c r="M7" s="6"/>
      <c r="O7" t="s">
        <v>103</v>
      </c>
      <c r="P7">
        <v>0.98107999999999995</v>
      </c>
    </row>
    <row r="8" spans="1:16">
      <c r="A8" s="6"/>
      <c r="B8" s="6"/>
      <c r="C8" s="6">
        <v>17.2</v>
      </c>
      <c r="D8" s="6">
        <v>25.48</v>
      </c>
      <c r="E8" s="6">
        <f t="shared" si="0"/>
        <v>3.2171524112014566E-3</v>
      </c>
      <c r="F8" s="6"/>
      <c r="G8" s="6"/>
      <c r="H8" s="6"/>
      <c r="I8" s="6"/>
      <c r="J8" s="6"/>
      <c r="K8" s="6"/>
      <c r="L8" s="6"/>
      <c r="M8" s="6"/>
      <c r="O8" t="s">
        <v>104</v>
      </c>
      <c r="P8">
        <v>5.7800999999999998E-3</v>
      </c>
    </row>
    <row r="9" spans="1:16">
      <c r="A9" s="6"/>
      <c r="B9" s="6"/>
      <c r="C9" s="6">
        <v>17.71</v>
      </c>
      <c r="D9" s="6">
        <v>25.85</v>
      </c>
      <c r="E9" s="6">
        <f t="shared" si="0"/>
        <v>3.5449967004576597E-3</v>
      </c>
      <c r="F9" s="6"/>
      <c r="G9" s="6"/>
      <c r="H9" s="6"/>
      <c r="I9" s="6"/>
      <c r="J9" s="6"/>
      <c r="K9" s="6"/>
      <c r="L9" s="6"/>
      <c r="M9" s="6"/>
      <c r="O9" t="s">
        <v>105</v>
      </c>
      <c r="P9">
        <v>0.99902389999999996</v>
      </c>
    </row>
    <row r="10" spans="1:16">
      <c r="A10" s="6"/>
      <c r="B10" s="6" t="s">
        <v>10</v>
      </c>
      <c r="C10" s="6">
        <v>17.09</v>
      </c>
      <c r="D10" s="6">
        <v>20.2</v>
      </c>
      <c r="E10" s="6">
        <f t="shared" si="0"/>
        <v>0.1158235077362964</v>
      </c>
      <c r="F10" s="6">
        <f t="shared" ref="F10" si="3">AVERAGE(E10:E13)</f>
        <v>5.7220329533811731E-2</v>
      </c>
      <c r="G10" s="6">
        <f>F10/F2</f>
        <v>152.68304633029572</v>
      </c>
      <c r="H10" s="6">
        <f t="shared" ref="H10" si="4">STDEV(E10:E13)/COUNT(E10:E13)</f>
        <v>1.232406494259849E-2</v>
      </c>
      <c r="I10" s="6">
        <f>H10/F2</f>
        <v>32.884742082732124</v>
      </c>
      <c r="J10" s="6"/>
      <c r="K10" s="6"/>
      <c r="L10" s="6"/>
      <c r="M10" s="6"/>
      <c r="O10" t="s">
        <v>106</v>
      </c>
      <c r="P10">
        <v>2.1250000000000002E-3</v>
      </c>
    </row>
    <row r="11" spans="1:16">
      <c r="A11" s="6"/>
      <c r="B11" s="6"/>
      <c r="C11" s="6">
        <v>17.190000000000001</v>
      </c>
      <c r="D11" s="6">
        <v>20.87</v>
      </c>
      <c r="E11" s="6">
        <f t="shared" si="0"/>
        <v>7.8020659306350756E-2</v>
      </c>
      <c r="F11" s="6"/>
      <c r="G11" s="6"/>
      <c r="H11" s="6"/>
      <c r="I11" s="6"/>
      <c r="J11" s="6"/>
      <c r="K11" s="6"/>
      <c r="L11" s="6"/>
      <c r="M11" s="6"/>
      <c r="O11" t="s">
        <v>107</v>
      </c>
      <c r="P11">
        <v>0.92844979999999999</v>
      </c>
    </row>
    <row r="12" spans="1:16">
      <c r="A12" s="6"/>
      <c r="B12" s="6"/>
      <c r="C12" s="6">
        <v>17.05</v>
      </c>
      <c r="D12" s="6">
        <v>22.15</v>
      </c>
      <c r="E12" s="6">
        <f t="shared" si="0"/>
        <v>2.915728098552528E-2</v>
      </c>
      <c r="F12" s="6"/>
      <c r="G12" s="6"/>
      <c r="H12" s="6"/>
      <c r="I12" s="6"/>
      <c r="J12" s="6"/>
      <c r="K12" s="6"/>
      <c r="L12" s="6"/>
      <c r="M12" s="6"/>
      <c r="O12" t="s">
        <v>108</v>
      </c>
      <c r="P12">
        <v>9.2163000000000002E-3</v>
      </c>
    </row>
    <row r="13" spans="1:16">
      <c r="A13" s="6"/>
      <c r="B13" s="6"/>
      <c r="C13" s="6">
        <v>17.38</v>
      </c>
      <c r="D13" s="6">
        <v>24.79</v>
      </c>
      <c r="E13" s="6">
        <f t="shared" si="0"/>
        <v>5.8798701070744809E-3</v>
      </c>
      <c r="F13" s="6"/>
      <c r="G13" s="6"/>
      <c r="H13" s="6"/>
      <c r="I13" s="6"/>
      <c r="J13" s="6"/>
      <c r="K13" s="6"/>
      <c r="L13" s="6"/>
      <c r="M13" s="6"/>
    </row>
    <row r="14" spans="1:16">
      <c r="A14" s="6"/>
      <c r="B14" s="6" t="s">
        <v>60</v>
      </c>
      <c r="C14" s="6">
        <v>18.27</v>
      </c>
      <c r="D14" s="6">
        <v>24.04</v>
      </c>
      <c r="E14" s="6">
        <f t="shared" si="0"/>
        <v>1.832554608174811E-2</v>
      </c>
      <c r="F14" s="6">
        <f t="shared" ref="F14" si="5">AVERAGE(E14:E17)</f>
        <v>4.049546204414263E-2</v>
      </c>
      <c r="G14" s="6">
        <f>F14/F2</f>
        <v>108.05548583565947</v>
      </c>
      <c r="H14" s="6">
        <f t="shared" ref="H14" si="6">STDEV(E14:E17)/COUNT(E14:E17)</f>
        <v>1.2061070666114056E-2</v>
      </c>
      <c r="I14" s="6">
        <f>H14/F2</f>
        <v>32.182985073846886</v>
      </c>
      <c r="J14" s="6"/>
      <c r="K14" s="6"/>
      <c r="L14" s="6"/>
      <c r="M14" s="6"/>
    </row>
    <row r="15" spans="1:16">
      <c r="A15" s="6"/>
      <c r="B15" s="6"/>
      <c r="C15" s="6">
        <v>18.12</v>
      </c>
      <c r="D15" s="6">
        <v>24.58</v>
      </c>
      <c r="E15" s="6">
        <f t="shared" si="0"/>
        <v>1.1359160291564953E-2</v>
      </c>
      <c r="F15" s="6"/>
      <c r="G15" s="6"/>
      <c r="H15" s="6"/>
      <c r="I15" s="6"/>
      <c r="J15" s="6"/>
      <c r="K15" s="6"/>
      <c r="L15" s="6"/>
      <c r="M15" s="6"/>
    </row>
    <row r="16" spans="1:16">
      <c r="A16" s="6"/>
      <c r="B16" s="6"/>
      <c r="C16" s="6">
        <v>17.739999999999998</v>
      </c>
      <c r="D16" s="6">
        <v>23.41</v>
      </c>
      <c r="E16" s="6">
        <f t="shared" si="0"/>
        <v>1.9640833976903548E-2</v>
      </c>
      <c r="F16" s="6"/>
      <c r="G16" s="6"/>
      <c r="H16" s="6"/>
      <c r="I16" s="6"/>
      <c r="J16" s="6"/>
      <c r="K16" s="6"/>
      <c r="L16" s="6"/>
      <c r="M16" s="6"/>
    </row>
    <row r="17" spans="1:13">
      <c r="A17" s="6"/>
      <c r="B17" s="6"/>
      <c r="C17" s="6">
        <v>17.420000000000002</v>
      </c>
      <c r="D17" s="6">
        <v>20.57</v>
      </c>
      <c r="E17" s="6">
        <f t="shared" si="0"/>
        <v>0.11265630782635391</v>
      </c>
      <c r="F17" s="6"/>
      <c r="G17" s="6"/>
      <c r="H17" s="6"/>
      <c r="I17" s="6"/>
      <c r="J17" s="6"/>
      <c r="K17" s="6"/>
      <c r="L17" s="6"/>
      <c r="M17" s="6"/>
    </row>
    <row r="18" spans="1:13">
      <c r="A18" s="6"/>
      <c r="B18" s="6" t="s">
        <v>62</v>
      </c>
      <c r="C18" s="6">
        <v>17.13</v>
      </c>
      <c r="D18" s="6">
        <v>19.05</v>
      </c>
      <c r="E18" s="6">
        <f t="shared" si="0"/>
        <v>0.26425451014034479</v>
      </c>
      <c r="F18" s="6">
        <f t="shared" ref="F18" si="7">AVERAGE(E18:E21)</f>
        <v>0.32654326998444155</v>
      </c>
      <c r="G18" s="6">
        <f>F18/F2</f>
        <v>871.32705501843839</v>
      </c>
      <c r="H18" s="6">
        <f t="shared" ref="H18" si="8">STDEV(E18:E21)/COUNT(E18:E21)</f>
        <v>4.807337758159308E-2</v>
      </c>
      <c r="I18" s="6">
        <f>H18/F2</f>
        <v>128.2759081666411</v>
      </c>
      <c r="J18" s="6"/>
      <c r="K18" s="6"/>
      <c r="L18" s="6"/>
      <c r="M18" s="6"/>
    </row>
    <row r="19" spans="1:13">
      <c r="A19" s="6"/>
      <c r="B19" s="6"/>
      <c r="C19" s="6">
        <v>17.010000000000002</v>
      </c>
      <c r="D19" s="6">
        <v>17.72</v>
      </c>
      <c r="E19" s="6">
        <f t="shared" si="0"/>
        <v>0.61132013884603542</v>
      </c>
      <c r="F19" s="6"/>
      <c r="G19" s="6"/>
      <c r="H19" s="6"/>
      <c r="I19" s="6"/>
      <c r="J19" s="6"/>
      <c r="K19" s="6"/>
      <c r="L19" s="6"/>
      <c r="M19" s="6"/>
    </row>
    <row r="20" spans="1:13">
      <c r="A20" s="6"/>
      <c r="B20" s="6"/>
      <c r="C20" s="6">
        <v>17.11</v>
      </c>
      <c r="D20" s="6">
        <v>19.170000000000002</v>
      </c>
      <c r="E20" s="6">
        <f t="shared" si="0"/>
        <v>0.23981602983131572</v>
      </c>
      <c r="F20" s="6"/>
      <c r="G20" s="6"/>
      <c r="H20" s="6"/>
      <c r="I20" s="6"/>
      <c r="J20" s="6"/>
      <c r="K20" s="6"/>
      <c r="L20" s="6"/>
      <c r="M20" s="6"/>
    </row>
    <row r="21" spans="1:13">
      <c r="A21" s="6"/>
      <c r="B21" s="6"/>
      <c r="C21" s="6">
        <v>17.420000000000002</v>
      </c>
      <c r="D21" s="6">
        <v>19.809999999999999</v>
      </c>
      <c r="E21" s="6">
        <f t="shared" si="0"/>
        <v>0.19078240112007028</v>
      </c>
      <c r="F21" s="6"/>
      <c r="G21" s="6"/>
      <c r="H21" s="6"/>
      <c r="I21" s="6"/>
      <c r="J21" s="6"/>
      <c r="K21" s="6"/>
      <c r="L21" s="6"/>
      <c r="M21" s="6"/>
    </row>
  </sheetData>
  <mergeCells count="1">
    <mergeCell ref="O1:P1"/>
  </mergeCells>
  <phoneticPr fontId="9"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P21"/>
  <sheetViews>
    <sheetView workbookViewId="0">
      <selection activeCell="M11" sqref="M11"/>
    </sheetView>
  </sheetViews>
  <sheetFormatPr defaultRowHeight="15.9"/>
  <cols>
    <col min="15" max="15" width="17.42578125" customWidth="1"/>
  </cols>
  <sheetData>
    <row r="1" spans="1:16">
      <c r="A1" s="6"/>
      <c r="B1" s="6"/>
      <c r="C1" s="6" t="s">
        <v>57</v>
      </c>
      <c r="D1" s="6" t="s">
        <v>21</v>
      </c>
      <c r="E1" s="6"/>
      <c r="F1" s="6"/>
      <c r="G1" s="6"/>
      <c r="H1" s="6"/>
      <c r="I1" s="6"/>
      <c r="J1" s="6"/>
      <c r="K1" s="6"/>
      <c r="L1" s="6"/>
      <c r="M1" s="6"/>
      <c r="O1" s="33" t="s">
        <v>48</v>
      </c>
      <c r="P1" s="33"/>
    </row>
    <row r="2" spans="1:16">
      <c r="A2" s="6" t="s">
        <v>29</v>
      </c>
      <c r="B2" s="6" t="s">
        <v>23</v>
      </c>
      <c r="C2" s="6">
        <v>19.5</v>
      </c>
      <c r="D2" s="6">
        <v>30.26</v>
      </c>
      <c r="E2" s="6">
        <f>POWER(2,C2-D2)</f>
        <v>5.7665657296363741E-4</v>
      </c>
      <c r="F2" s="6">
        <f>AVERAGE(E2:E4)</f>
        <v>5.2430729319919659E-4</v>
      </c>
      <c r="G2" s="6">
        <f>F2/F2</f>
        <v>1</v>
      </c>
      <c r="H2" s="6">
        <f>STDEV(E2:E4)/COUNT(E2:E4)</f>
        <v>1.9336446541165849E-5</v>
      </c>
      <c r="I2" s="6">
        <f>H2/F2</f>
        <v>3.6879987732345888E-2</v>
      </c>
      <c r="J2" s="6"/>
      <c r="K2" s="6" t="s">
        <v>23</v>
      </c>
      <c r="L2" s="6">
        <f>G2</f>
        <v>1</v>
      </c>
      <c r="M2" s="6">
        <f>I2</f>
        <v>3.6879987732345888E-2</v>
      </c>
      <c r="O2" t="s">
        <v>49</v>
      </c>
      <c r="P2" t="s">
        <v>50</v>
      </c>
    </row>
    <row r="3" spans="1:16">
      <c r="A3" s="6"/>
      <c r="B3" s="6"/>
      <c r="C3" s="6">
        <v>19.61</v>
      </c>
      <c r="D3" s="6">
        <v>30.69</v>
      </c>
      <c r="E3" s="6">
        <f t="shared" ref="E3:E21" si="0">POWER(2,C3-D3)</f>
        <v>4.6194221031523172E-4</v>
      </c>
      <c r="F3" s="6"/>
      <c r="G3" s="6"/>
      <c r="H3" s="6"/>
      <c r="I3" s="6"/>
      <c r="J3" s="6"/>
      <c r="K3" s="6" t="s">
        <v>59</v>
      </c>
      <c r="L3" s="6">
        <f>G6</f>
        <v>55.718772581907778</v>
      </c>
      <c r="M3" s="6">
        <f>I6</f>
        <v>7.2047372071703366</v>
      </c>
      <c r="O3" t="s">
        <v>99</v>
      </c>
      <c r="P3">
        <v>0.91083510000000001</v>
      </c>
    </row>
    <row r="4" spans="1:16">
      <c r="A4" s="6"/>
      <c r="B4" s="6"/>
      <c r="C4" s="6">
        <v>19.07</v>
      </c>
      <c r="D4" s="6">
        <v>29.94</v>
      </c>
      <c r="E4" s="6">
        <f t="shared" si="0"/>
        <v>5.3432309631872043E-4</v>
      </c>
      <c r="F4" s="6"/>
      <c r="G4" s="6"/>
      <c r="H4" s="6"/>
      <c r="I4" s="6"/>
      <c r="J4" s="6"/>
      <c r="K4" s="6" t="s">
        <v>10</v>
      </c>
      <c r="L4" s="6">
        <f>G10</f>
        <v>839.87900493324446</v>
      </c>
      <c r="M4" s="6">
        <f>I10</f>
        <v>85.012972313251353</v>
      </c>
      <c r="O4" t="s">
        <v>100</v>
      </c>
      <c r="P4">
        <v>0.99984399999999996</v>
      </c>
    </row>
    <row r="5" spans="1:16">
      <c r="A5" s="6"/>
      <c r="B5" s="6"/>
      <c r="C5" s="6">
        <v>18.57</v>
      </c>
      <c r="D5" s="6">
        <v>23.57</v>
      </c>
      <c r="E5" s="6">
        <f t="shared" si="0"/>
        <v>3.125E-2</v>
      </c>
      <c r="F5" s="6"/>
      <c r="G5" s="6"/>
      <c r="H5" s="6"/>
      <c r="I5" s="6"/>
      <c r="J5" s="6"/>
      <c r="K5" s="6" t="s">
        <v>60</v>
      </c>
      <c r="L5" s="6">
        <f>G14</f>
        <v>210.41672470628129</v>
      </c>
      <c r="M5" s="6">
        <f>I14</f>
        <v>21.545411920487389</v>
      </c>
      <c r="O5" t="s">
        <v>101</v>
      </c>
      <c r="P5">
        <v>5.2099999999999999E-5</v>
      </c>
    </row>
    <row r="6" spans="1:16">
      <c r="A6" s="6"/>
      <c r="B6" s="6" t="s">
        <v>61</v>
      </c>
      <c r="C6" s="6">
        <v>17.47</v>
      </c>
      <c r="D6" s="6">
        <v>22.66</v>
      </c>
      <c r="E6" s="6">
        <f>POWER(2,C6-D6)</f>
        <v>2.7393928791126079E-2</v>
      </c>
      <c r="F6" s="6">
        <f>AVERAGE(E6:E9)</f>
        <v>2.9213758832801678E-2</v>
      </c>
      <c r="G6" s="6">
        <f>F6/F2</f>
        <v>55.718772581907778</v>
      </c>
      <c r="H6" s="6">
        <f>STDEV(E6:E9)/COUNT(E6:E9)</f>
        <v>3.7774962633030187E-3</v>
      </c>
      <c r="I6" s="6">
        <f>H6/F2</f>
        <v>7.2047372071703366</v>
      </c>
      <c r="J6" s="6"/>
      <c r="K6" s="6" t="s">
        <v>62</v>
      </c>
      <c r="L6" s="6">
        <f>G18</f>
        <v>1588.9087435596721</v>
      </c>
      <c r="M6" s="6">
        <f>I18</f>
        <v>131.47930232206042</v>
      </c>
      <c r="O6" t="s">
        <v>102</v>
      </c>
      <c r="P6">
        <v>1.8364700000000001E-2</v>
      </c>
    </row>
    <row r="7" spans="1:16">
      <c r="A7" s="6"/>
      <c r="B7" s="6"/>
      <c r="C7" s="6">
        <v>17.21</v>
      </c>
      <c r="D7" s="6">
        <v>21.5</v>
      </c>
      <c r="E7" s="6">
        <f>POWER(2,C7-D7)</f>
        <v>5.111887865986136E-2</v>
      </c>
      <c r="F7" s="6"/>
      <c r="G7" s="6"/>
      <c r="H7" s="6"/>
      <c r="I7" s="6"/>
      <c r="J7" s="6"/>
      <c r="K7" s="6"/>
      <c r="L7" s="6"/>
      <c r="M7" s="6"/>
      <c r="O7" t="s">
        <v>103</v>
      </c>
      <c r="P7">
        <v>0.9416717</v>
      </c>
    </row>
    <row r="8" spans="1:16">
      <c r="A8" s="6"/>
      <c r="B8" s="6"/>
      <c r="C8" s="6">
        <v>17.2</v>
      </c>
      <c r="D8" s="6">
        <v>22.92</v>
      </c>
      <c r="E8" s="6">
        <f>POWER(2,C8-D8)</f>
        <v>1.8971795068672581E-2</v>
      </c>
      <c r="F8" s="6"/>
      <c r="G8" s="6"/>
      <c r="H8" s="6"/>
      <c r="I8" s="6"/>
      <c r="J8" s="6"/>
      <c r="K8" s="6"/>
      <c r="L8" s="6"/>
      <c r="M8" s="6"/>
      <c r="O8" t="s">
        <v>104</v>
      </c>
      <c r="P8">
        <v>9.1500000000000001E-5</v>
      </c>
    </row>
    <row r="9" spans="1:16">
      <c r="A9" s="6"/>
      <c r="B9" s="6"/>
      <c r="C9" s="6">
        <v>17.71</v>
      </c>
      <c r="D9" s="6">
        <v>23.4</v>
      </c>
      <c r="E9" s="6">
        <f>POWER(2,C9-D9)</f>
        <v>1.9370432811546694E-2</v>
      </c>
      <c r="F9" s="6"/>
      <c r="G9" s="6"/>
      <c r="H9" s="6"/>
      <c r="I9" s="6"/>
      <c r="J9" s="6"/>
      <c r="K9" s="6"/>
      <c r="L9" s="6"/>
      <c r="M9" s="6"/>
      <c r="O9" t="s">
        <v>105</v>
      </c>
      <c r="P9">
        <v>5.7784200000000001E-2</v>
      </c>
    </row>
    <row r="10" spans="1:16">
      <c r="A10" s="6"/>
      <c r="B10" s="6" t="s">
        <v>10</v>
      </c>
      <c r="C10" s="6">
        <v>17.09</v>
      </c>
      <c r="D10" s="6">
        <v>17.809999999999999</v>
      </c>
      <c r="E10" s="6">
        <f t="shared" si="0"/>
        <v>0.60709744219752393</v>
      </c>
      <c r="F10" s="6">
        <f t="shared" ref="F10" si="1">AVERAGE(E10:E13)</f>
        <v>0.44035468769138408</v>
      </c>
      <c r="G10" s="6">
        <f>F10/F2</f>
        <v>839.87900493324446</v>
      </c>
      <c r="H10" s="6">
        <f t="shared" ref="H10" si="2">STDEV(E10:E13)/COUNT(E10:E13)</f>
        <v>4.4572921400379058E-2</v>
      </c>
      <c r="I10" s="6">
        <f>H10/F2</f>
        <v>85.012972313251353</v>
      </c>
      <c r="J10" s="6"/>
      <c r="K10" s="6"/>
      <c r="L10" s="6"/>
      <c r="M10" s="6"/>
      <c r="O10" t="s">
        <v>106</v>
      </c>
      <c r="P10">
        <v>2.8500000000000002E-5</v>
      </c>
    </row>
    <row r="11" spans="1:16">
      <c r="A11" s="6"/>
      <c r="B11" s="6"/>
      <c r="C11" s="6">
        <v>17.190000000000001</v>
      </c>
      <c r="D11" s="6">
        <v>17.989999999999998</v>
      </c>
      <c r="E11" s="6">
        <f t="shared" si="0"/>
        <v>0.57434917749851866</v>
      </c>
      <c r="F11" s="6"/>
      <c r="G11" s="6"/>
      <c r="H11" s="6"/>
      <c r="I11" s="6"/>
      <c r="J11" s="6"/>
      <c r="K11" s="6"/>
      <c r="L11" s="6"/>
      <c r="M11" s="6"/>
      <c r="O11" t="s">
        <v>107</v>
      </c>
      <c r="P11">
        <v>1.45872E-2</v>
      </c>
    </row>
    <row r="12" spans="1:16">
      <c r="A12" s="6"/>
      <c r="B12" s="6"/>
      <c r="C12" s="6">
        <v>17.05</v>
      </c>
      <c r="D12" s="6">
        <v>18.62</v>
      </c>
      <c r="E12" s="6">
        <f t="shared" si="0"/>
        <v>0.3368083942164225</v>
      </c>
      <c r="F12" s="6"/>
      <c r="G12" s="6"/>
      <c r="H12" s="6"/>
      <c r="I12" s="6"/>
      <c r="J12" s="6"/>
      <c r="K12" s="6"/>
      <c r="L12" s="6"/>
      <c r="M12" s="6"/>
      <c r="O12" t="s">
        <v>108</v>
      </c>
      <c r="P12">
        <v>2.0015000000000002E-2</v>
      </c>
    </row>
    <row r="13" spans="1:16">
      <c r="A13" s="6"/>
      <c r="B13" s="6"/>
      <c r="C13" s="6">
        <v>17.38</v>
      </c>
      <c r="D13" s="6">
        <v>19.420000000000002</v>
      </c>
      <c r="E13" s="6">
        <f t="shared" si="0"/>
        <v>0.24316373685307091</v>
      </c>
      <c r="F13" s="6"/>
      <c r="G13" s="6"/>
      <c r="H13" s="6"/>
      <c r="I13" s="6"/>
      <c r="J13" s="6"/>
      <c r="K13" s="6"/>
      <c r="L13" s="6"/>
      <c r="M13" s="6"/>
    </row>
    <row r="14" spans="1:16">
      <c r="A14" s="6"/>
      <c r="B14" s="6" t="s">
        <v>60</v>
      </c>
      <c r="C14" s="6">
        <v>18.27</v>
      </c>
      <c r="D14" s="6">
        <v>21.51</v>
      </c>
      <c r="E14" s="6">
        <f t="shared" si="0"/>
        <v>0.10584316404531574</v>
      </c>
      <c r="F14" s="6">
        <f t="shared" ref="F14" si="3">AVERAGE(E14:E17)</f>
        <v>0.11032302337459085</v>
      </c>
      <c r="G14" s="6">
        <f>F14/F2</f>
        <v>210.41672470628129</v>
      </c>
      <c r="H14" s="6">
        <f t="shared" ref="H14" si="4">STDEV(E14:E17)/COUNT(E14:E17)</f>
        <v>1.1296416604892447E-2</v>
      </c>
      <c r="I14" s="6">
        <f>H14/F2</f>
        <v>21.545411920487389</v>
      </c>
      <c r="J14" s="6"/>
      <c r="K14" s="6"/>
      <c r="L14" s="6"/>
      <c r="M14" s="6"/>
    </row>
    <row r="15" spans="1:16">
      <c r="A15" s="6"/>
      <c r="B15" s="6"/>
      <c r="C15" s="6">
        <v>18.12</v>
      </c>
      <c r="D15" s="6">
        <v>22.1</v>
      </c>
      <c r="E15" s="6">
        <f t="shared" si="0"/>
        <v>6.3372467486876805E-2</v>
      </c>
      <c r="F15" s="6"/>
      <c r="G15" s="6"/>
      <c r="H15" s="6"/>
      <c r="I15" s="6"/>
      <c r="J15" s="6"/>
      <c r="K15" s="6"/>
      <c r="L15" s="6"/>
      <c r="M15" s="6"/>
    </row>
    <row r="16" spans="1:16">
      <c r="A16" s="6"/>
      <c r="B16" s="6"/>
      <c r="C16" s="6">
        <v>17.739999999999998</v>
      </c>
      <c r="D16" s="6">
        <v>21.06</v>
      </c>
      <c r="E16" s="6">
        <f t="shared" si="0"/>
        <v>0.10013373469870276</v>
      </c>
      <c r="F16" s="6"/>
      <c r="G16" s="6"/>
      <c r="H16" s="6"/>
      <c r="I16" s="6"/>
      <c r="J16" s="6"/>
      <c r="K16" s="6"/>
      <c r="L16" s="6"/>
      <c r="M16" s="6"/>
    </row>
    <row r="17" spans="1:13">
      <c r="A17" s="6"/>
      <c r="B17" s="6"/>
      <c r="C17" s="6">
        <v>17.420000000000002</v>
      </c>
      <c r="D17" s="6">
        <v>19.96</v>
      </c>
      <c r="E17" s="6">
        <f t="shared" si="0"/>
        <v>0.17194272726746809</v>
      </c>
      <c r="F17" s="6"/>
      <c r="G17" s="6"/>
      <c r="H17" s="6"/>
      <c r="I17" s="6"/>
      <c r="J17" s="6"/>
      <c r="K17" s="6"/>
      <c r="L17" s="6"/>
      <c r="M17" s="6"/>
    </row>
    <row r="18" spans="1:13">
      <c r="A18" s="6"/>
      <c r="B18" s="6" t="s">
        <v>62</v>
      </c>
      <c r="C18" s="6">
        <v>17.13</v>
      </c>
      <c r="D18" s="6">
        <v>17.739999999999998</v>
      </c>
      <c r="E18" s="6">
        <f t="shared" si="0"/>
        <v>0.65519670192918189</v>
      </c>
      <c r="F18" s="6">
        <f t="shared" ref="F18" si="5">AVERAGE(E18:E21)</f>
        <v>0.83307644247630808</v>
      </c>
      <c r="G18" s="6">
        <f>F18/F2</f>
        <v>1588.9087435596721</v>
      </c>
      <c r="H18" s="6">
        <f t="shared" ref="H18" si="6">STDEV(E18:E21)/COUNT(E18:E21)</f>
        <v>6.8935557112198342E-2</v>
      </c>
      <c r="I18" s="6">
        <f>H18/F2</f>
        <v>131.47930232206042</v>
      </c>
      <c r="J18" s="6"/>
      <c r="K18" s="6"/>
      <c r="L18" s="6"/>
      <c r="M18" s="6"/>
    </row>
    <row r="19" spans="1:13">
      <c r="A19" s="6"/>
      <c r="B19" s="6"/>
      <c r="C19" s="6">
        <v>17.010000000000002</v>
      </c>
      <c r="D19" s="6">
        <v>16.7</v>
      </c>
      <c r="E19" s="6">
        <f t="shared" si="0"/>
        <v>1.2397076999389884</v>
      </c>
      <c r="F19" s="6"/>
      <c r="G19" s="6"/>
      <c r="H19" s="6"/>
      <c r="I19" s="6"/>
      <c r="J19" s="6"/>
      <c r="K19" s="6"/>
      <c r="L19" s="6"/>
      <c r="M19" s="6"/>
    </row>
    <row r="20" spans="1:13">
      <c r="A20" s="6"/>
      <c r="B20" s="6"/>
      <c r="C20" s="6">
        <v>17.11</v>
      </c>
      <c r="D20" s="6">
        <v>17.690000000000001</v>
      </c>
      <c r="E20" s="6">
        <f t="shared" si="0"/>
        <v>0.66896377739305524</v>
      </c>
      <c r="F20" s="6"/>
      <c r="G20" s="6"/>
      <c r="H20" s="6"/>
      <c r="I20" s="6"/>
      <c r="J20" s="6"/>
      <c r="K20" s="6"/>
      <c r="L20" s="6"/>
      <c r="M20" s="6"/>
    </row>
    <row r="21" spans="1:13">
      <c r="A21" s="6"/>
      <c r="B21" s="6"/>
      <c r="C21" s="6">
        <v>17.420000000000002</v>
      </c>
      <c r="D21" s="6">
        <v>17.8</v>
      </c>
      <c r="E21" s="6">
        <f t="shared" si="0"/>
        <v>0.76843759064400663</v>
      </c>
      <c r="F21" s="6"/>
      <c r="G21" s="6"/>
      <c r="H21" s="6"/>
      <c r="I21" s="6"/>
      <c r="J21" s="6"/>
      <c r="K21" s="6"/>
      <c r="L21" s="6"/>
      <c r="M21" s="6"/>
    </row>
  </sheetData>
  <mergeCells count="1">
    <mergeCell ref="O1:P1"/>
  </mergeCells>
  <phoneticPr fontId="9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36"/>
  <sheetViews>
    <sheetView workbookViewId="0">
      <selection activeCell="D27" sqref="D27"/>
    </sheetView>
  </sheetViews>
  <sheetFormatPr defaultColWidth="8.85546875" defaultRowHeight="14.6"/>
  <cols>
    <col min="1" max="5" width="8.85546875" style="20"/>
    <col min="6" max="6" width="11.85546875" style="20" bestFit="1" customWidth="1"/>
    <col min="7" max="16384" width="8.85546875" style="20"/>
  </cols>
  <sheetData>
    <row r="1" spans="1:10">
      <c r="C1" s="20" t="s">
        <v>115</v>
      </c>
      <c r="D1" s="20" t="s">
        <v>116</v>
      </c>
      <c r="E1" s="20" t="s">
        <v>7</v>
      </c>
      <c r="F1" s="20" t="s">
        <v>8</v>
      </c>
    </row>
    <row r="2" spans="1:10">
      <c r="A2" s="20" t="s">
        <v>117</v>
      </c>
      <c r="B2" s="20" t="s">
        <v>10</v>
      </c>
      <c r="C2" s="20">
        <f>(0.74+0.78)/2</f>
        <v>0.76</v>
      </c>
      <c r="D2" s="20">
        <f>AVERAGE(C2:C5)</f>
        <v>0.75875000000000004</v>
      </c>
      <c r="E2" s="20">
        <f>STDEV(C2:C5)/SQRT(COUNT(C2:C5))</f>
        <v>2.239559108396114E-2</v>
      </c>
      <c r="I2" s="20" t="s">
        <v>10</v>
      </c>
      <c r="J2" s="20" t="s">
        <v>11</v>
      </c>
    </row>
    <row r="3" spans="1:10">
      <c r="C3" s="20">
        <f>(0.77+0.81)/2</f>
        <v>0.79</v>
      </c>
      <c r="H3" s="20" t="s">
        <v>117</v>
      </c>
      <c r="I3" s="20">
        <f>D2</f>
        <v>0.75875000000000004</v>
      </c>
      <c r="J3" s="20">
        <f>D6</f>
        <v>0.51124999999999998</v>
      </c>
    </row>
    <row r="4" spans="1:10">
      <c r="C4" s="20">
        <f>(0.66+0.73)/2</f>
        <v>0.69500000000000006</v>
      </c>
      <c r="H4" s="20" t="s">
        <v>118</v>
      </c>
      <c r="I4" s="20">
        <f>D11</f>
        <v>1.0874999999999999</v>
      </c>
      <c r="J4" s="20">
        <f>D15</f>
        <v>0.90749999999999997</v>
      </c>
    </row>
    <row r="5" spans="1:10">
      <c r="C5" s="20">
        <f>(0.8+0.78)/2</f>
        <v>0.79</v>
      </c>
      <c r="H5" s="20" t="s">
        <v>119</v>
      </c>
      <c r="I5" s="20">
        <f>D20</f>
        <v>1.635</v>
      </c>
      <c r="J5" s="20">
        <f>D24</f>
        <v>1.4400000000000002</v>
      </c>
    </row>
    <row r="6" spans="1:10">
      <c r="B6" s="20" t="s">
        <v>11</v>
      </c>
      <c r="C6" s="20">
        <f>(0.48+0.51)/2</f>
        <v>0.495</v>
      </c>
      <c r="D6" s="20">
        <f>AVERAGE(C6:C9)</f>
        <v>0.51124999999999998</v>
      </c>
      <c r="E6" s="20">
        <f>STDEV(C6:C9)/SQRT(COUNT(C6:C9))</f>
        <v>1.4630874888399523E-2</v>
      </c>
      <c r="F6" s="20">
        <f>TTEST(C2:C5,C6:C9,2,2)</f>
        <v>9.0076143755472786E-5</v>
      </c>
      <c r="H6" s="20" t="s">
        <v>31</v>
      </c>
      <c r="I6" s="20">
        <f>D29</f>
        <v>2.6</v>
      </c>
      <c r="J6" s="20">
        <f>D33</f>
        <v>2.3125</v>
      </c>
    </row>
    <row r="7" spans="1:10">
      <c r="C7" s="20">
        <f>(0.47+0.49)/2</f>
        <v>0.48</v>
      </c>
    </row>
    <row r="8" spans="1:10">
      <c r="C8" s="20">
        <f>(0.57+0.52)/2</f>
        <v>0.54499999999999993</v>
      </c>
      <c r="I8" s="20" t="s">
        <v>10</v>
      </c>
      <c r="J8" s="20" t="s">
        <v>11</v>
      </c>
    </row>
    <row r="9" spans="1:10">
      <c r="C9" s="20">
        <f>(0.52+0.53)/2</f>
        <v>0.52500000000000002</v>
      </c>
      <c r="H9" s="20" t="s">
        <v>117</v>
      </c>
      <c r="I9" s="20">
        <f>E2</f>
        <v>2.239559108396114E-2</v>
      </c>
      <c r="J9" s="20">
        <f>E6</f>
        <v>1.4630874888399523E-2</v>
      </c>
    </row>
    <row r="10" spans="1:10">
      <c r="H10" s="20" t="s">
        <v>118</v>
      </c>
      <c r="I10" s="20">
        <f>E11</f>
        <v>2.2500000000000062E-2</v>
      </c>
      <c r="J10" s="20">
        <f>E15</f>
        <v>2.2499999999999964E-2</v>
      </c>
    </row>
    <row r="11" spans="1:10">
      <c r="A11" s="20" t="s">
        <v>118</v>
      </c>
      <c r="B11" s="20" t="s">
        <v>10</v>
      </c>
      <c r="C11" s="20">
        <f>0.35*3</f>
        <v>1.0499999999999998</v>
      </c>
      <c r="D11" s="20">
        <f>AVERAGE(C11:C14)</f>
        <v>1.0874999999999999</v>
      </c>
      <c r="E11" s="20">
        <f>STDEV(C11:C14)/SQRT(COUNT(C11:C14))</f>
        <v>2.2500000000000062E-2</v>
      </c>
      <c r="H11" s="20" t="s">
        <v>119</v>
      </c>
      <c r="I11" s="20">
        <f>E20</f>
        <v>8.7034475927646071E-2</v>
      </c>
      <c r="J11" s="20">
        <f>E24</f>
        <v>7.9372539331937733E-2</v>
      </c>
    </row>
    <row r="12" spans="1:10">
      <c r="C12" s="20">
        <f>0.35*3</f>
        <v>1.0499999999999998</v>
      </c>
      <c r="H12" s="20" t="s">
        <v>31</v>
      </c>
      <c r="I12" s="20">
        <f>E29</f>
        <v>0.20716338157760028</v>
      </c>
      <c r="J12" s="20">
        <f>E33</f>
        <v>0.27566208178371798</v>
      </c>
    </row>
    <row r="13" spans="1:10">
      <c r="C13" s="20">
        <f>0.38*3</f>
        <v>1.1400000000000001</v>
      </c>
    </row>
    <row r="14" spans="1:10">
      <c r="C14" s="20">
        <f>0.37*3</f>
        <v>1.1099999999999999</v>
      </c>
    </row>
    <row r="15" spans="1:10">
      <c r="B15" s="20" t="s">
        <v>11</v>
      </c>
      <c r="C15" s="20">
        <f>0.31*3</f>
        <v>0.92999999999999994</v>
      </c>
      <c r="D15" s="20">
        <f>AVERAGE(C15:C18)</f>
        <v>0.90749999999999997</v>
      </c>
      <c r="E15" s="20">
        <f>STDEV(C15:C18)/SQRT(COUNT(C15:C18))</f>
        <v>2.2499999999999964E-2</v>
      </c>
      <c r="F15" s="20">
        <f>TTEST(C11:C14,C15:C18,2,2)</f>
        <v>1.3107319180392998E-3</v>
      </c>
    </row>
    <row r="16" spans="1:10">
      <c r="C16" s="20">
        <f>0.28*3</f>
        <v>0.84000000000000008</v>
      </c>
    </row>
    <row r="17" spans="1:6">
      <c r="C17" s="20">
        <f>0.31*3</f>
        <v>0.92999999999999994</v>
      </c>
    </row>
    <row r="18" spans="1:6">
      <c r="C18" s="20">
        <f>0.31*3</f>
        <v>0.92999999999999994</v>
      </c>
    </row>
    <row r="20" spans="1:6">
      <c r="A20" s="20" t="s">
        <v>119</v>
      </c>
      <c r="B20" s="20" t="s">
        <v>10</v>
      </c>
      <c r="C20" s="20">
        <f>0.52*3</f>
        <v>1.56</v>
      </c>
      <c r="D20" s="20">
        <f>AVERAGE(C20:C23)</f>
        <v>1.635</v>
      </c>
      <c r="E20" s="20">
        <f>STDEV(C20:C23)/SQRT(COUNT(C20:C23))</f>
        <v>8.7034475927646071E-2</v>
      </c>
    </row>
    <row r="21" spans="1:6">
      <c r="C21" s="20">
        <f>0.63*3</f>
        <v>1.8900000000000001</v>
      </c>
    </row>
    <row r="22" spans="1:6">
      <c r="C22" s="20">
        <f>0.5*3</f>
        <v>1.5</v>
      </c>
    </row>
    <row r="23" spans="1:6">
      <c r="C23" s="20">
        <f>0.53*3</f>
        <v>1.59</v>
      </c>
    </row>
    <row r="24" spans="1:6">
      <c r="B24" s="20" t="s">
        <v>11</v>
      </c>
      <c r="C24" s="20">
        <f>0.43*3</f>
        <v>1.29</v>
      </c>
      <c r="D24" s="20">
        <f>AVERAGE(C24:C27)</f>
        <v>1.4400000000000002</v>
      </c>
      <c r="E24" s="20">
        <f>STDEV(C24:C27)/SQRT(COUNT(C24:C27))</f>
        <v>7.9372539331937733E-2</v>
      </c>
      <c r="F24" s="20">
        <f>TTEST(C20:C23,C24:C27,2,2)</f>
        <v>0.14891204998024848</v>
      </c>
    </row>
    <row r="25" spans="1:6">
      <c r="C25" s="20">
        <f>0.45*3</f>
        <v>1.35</v>
      </c>
    </row>
    <row r="26" spans="1:6">
      <c r="C26" s="20">
        <f>0.49*3</f>
        <v>1.47</v>
      </c>
    </row>
    <row r="27" spans="1:6">
      <c r="C27" s="20">
        <f>0.55*3</f>
        <v>1.6500000000000001</v>
      </c>
    </row>
    <row r="29" spans="1:6">
      <c r="A29" s="20" t="s">
        <v>120</v>
      </c>
      <c r="B29" s="20" t="s">
        <v>121</v>
      </c>
      <c r="C29" s="20">
        <f>0.54*5</f>
        <v>2.7</v>
      </c>
      <c r="D29" s="20">
        <f>AVERAGE(C29:C32)</f>
        <v>2.6</v>
      </c>
      <c r="E29" s="20">
        <f>STDEV(C29:C32)/SQRT(COUNT(C29:C32))</f>
        <v>0.20716338157760028</v>
      </c>
    </row>
    <row r="30" spans="1:6">
      <c r="C30" s="20">
        <f>0.4*5</f>
        <v>2</v>
      </c>
    </row>
    <row r="31" spans="1:6">
      <c r="C31" s="20">
        <f>0.59*5</f>
        <v>2.9499999999999997</v>
      </c>
    </row>
    <row r="32" spans="1:6">
      <c r="C32" s="20">
        <f>0.55*5</f>
        <v>2.75</v>
      </c>
    </row>
    <row r="33" spans="2:6">
      <c r="B33" s="20" t="s">
        <v>11</v>
      </c>
      <c r="C33" s="20">
        <f>0.48*5</f>
        <v>2.4</v>
      </c>
      <c r="D33" s="20">
        <f>AVERAGE(C33:C36)</f>
        <v>2.3125</v>
      </c>
      <c r="E33" s="20">
        <f>STDEV(C33:C36)/SQRT(COUNT(C33:C36))</f>
        <v>0.27566208178371798</v>
      </c>
      <c r="F33" s="20">
        <f>TTEST(C29:C32,C33:C36,2,2)</f>
        <v>0.43634973029983232</v>
      </c>
    </row>
    <row r="34" spans="2:6">
      <c r="C34" s="20">
        <f>0.4*5</f>
        <v>2</v>
      </c>
    </row>
    <row r="35" spans="2:6">
      <c r="C35" s="20">
        <f>0.36*5</f>
        <v>1.7999999999999998</v>
      </c>
    </row>
    <row r="36" spans="2:6">
      <c r="C36" s="20">
        <f>0.61*5</f>
        <v>3.05</v>
      </c>
    </row>
  </sheetData>
  <phoneticPr fontId="9"/>
  <pageMargins left="0.7" right="0.7" top="0.75" bottom="0.75" header="0.3" footer="0.3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R21"/>
  <sheetViews>
    <sheetView topLeftCell="C1" workbookViewId="0">
      <selection activeCell="K2" sqref="K2:O4"/>
    </sheetView>
  </sheetViews>
  <sheetFormatPr defaultColWidth="8.85546875" defaultRowHeight="14.6"/>
  <cols>
    <col min="1" max="1" width="11.35546875" style="20" customWidth="1"/>
    <col min="2" max="16" width="8.85546875" style="20"/>
    <col min="17" max="17" width="17" style="20" customWidth="1"/>
    <col min="18" max="16384" width="8.85546875" style="20"/>
  </cols>
  <sheetData>
    <row r="1" spans="1:18" ht="15.9">
      <c r="C1" s="21" t="s">
        <v>122</v>
      </c>
      <c r="D1" s="22" t="s">
        <v>123</v>
      </c>
      <c r="E1" s="23" t="s">
        <v>66</v>
      </c>
      <c r="F1" s="23" t="s">
        <v>67</v>
      </c>
      <c r="G1" s="23" t="s">
        <v>68</v>
      </c>
      <c r="H1" s="23" t="s">
        <v>69</v>
      </c>
      <c r="I1" s="23" t="s">
        <v>70</v>
      </c>
      <c r="Q1" s="24" t="s">
        <v>48</v>
      </c>
      <c r="R1" s="24"/>
    </row>
    <row r="2" spans="1:18" ht="15.9">
      <c r="A2" s="25" t="s">
        <v>124</v>
      </c>
      <c r="B2" s="25" t="s">
        <v>23</v>
      </c>
      <c r="C2" s="25">
        <v>18.510000000000002</v>
      </c>
      <c r="D2" s="25">
        <v>17.98</v>
      </c>
      <c r="E2" s="25">
        <f>POWER(2, C2-D2)</f>
        <v>1.4439291955224973</v>
      </c>
      <c r="F2" s="20">
        <f>AVERAGE(E2:E5)</f>
        <v>1.4968428042174851</v>
      </c>
      <c r="G2" s="23">
        <f>E2/F2</f>
        <v>0.96464985598628061</v>
      </c>
      <c r="H2" s="23">
        <f>AVERAGE(G2:G5)</f>
        <v>1</v>
      </c>
      <c r="I2" s="23">
        <f>STDEV(G2:G5)/SQRT(COUNT(G2:G5))</f>
        <v>0.12006673948004089</v>
      </c>
      <c r="K2" s="26" t="s">
        <v>125</v>
      </c>
      <c r="L2" s="26" t="s">
        <v>71</v>
      </c>
      <c r="M2" s="26" t="s">
        <v>72</v>
      </c>
      <c r="N2" s="26" t="s">
        <v>73</v>
      </c>
      <c r="O2" s="26" t="s">
        <v>74</v>
      </c>
      <c r="Q2" s="27" t="s">
        <v>49</v>
      </c>
      <c r="R2" s="27" t="s">
        <v>50</v>
      </c>
    </row>
    <row r="3" spans="1:18" ht="15.9">
      <c r="B3" s="25"/>
      <c r="C3" s="25">
        <v>18.510000000000002</v>
      </c>
      <c r="D3" s="25">
        <v>18.309999999999999</v>
      </c>
      <c r="E3" s="25">
        <f t="shared" ref="E3:E21" si="0">POWER(2, C3-D3)</f>
        <v>1.1486983549970373</v>
      </c>
      <c r="G3" s="23">
        <f>E3/F2</f>
        <v>0.76741415448601524</v>
      </c>
      <c r="H3" s="23"/>
      <c r="I3" s="23"/>
      <c r="K3" s="28">
        <f>H2</f>
        <v>1</v>
      </c>
      <c r="L3" s="28">
        <f>H6</f>
        <v>0.89931769521811133</v>
      </c>
      <c r="M3" s="28">
        <f>H10</f>
        <v>0.10239933769597204</v>
      </c>
      <c r="N3" s="28">
        <f>H14</f>
        <v>0.9530500094535963</v>
      </c>
      <c r="O3" s="28">
        <f>H18</f>
        <v>1.2730099442069638E-2</v>
      </c>
      <c r="Q3" s="20" t="s">
        <v>89</v>
      </c>
      <c r="R3" s="20">
        <v>0.86983089999999996</v>
      </c>
    </row>
    <row r="4" spans="1:18" ht="15.9">
      <c r="B4" s="25"/>
      <c r="C4" s="25">
        <v>18.8</v>
      </c>
      <c r="D4" s="25">
        <v>18.32</v>
      </c>
      <c r="E4" s="25">
        <f t="shared" si="0"/>
        <v>1.3947436663504058</v>
      </c>
      <c r="G4" s="23">
        <f>E4/F2</f>
        <v>0.93179034058926824</v>
      </c>
      <c r="H4" s="23"/>
      <c r="I4" s="23"/>
      <c r="K4" s="28">
        <f>I2</f>
        <v>0.12006673948004089</v>
      </c>
      <c r="L4" s="28">
        <f>I6</f>
        <v>0.11054175530564342</v>
      </c>
      <c r="M4" s="28">
        <f>I10</f>
        <v>7.323029185206378E-3</v>
      </c>
      <c r="N4" s="28">
        <f>I14</f>
        <v>3.2914668509501623E-2</v>
      </c>
      <c r="O4" s="28">
        <f>I18</f>
        <v>4.9666726730278714E-3</v>
      </c>
      <c r="Q4" s="20" t="s">
        <v>90</v>
      </c>
      <c r="R4" s="20">
        <v>0.98608499999999999</v>
      </c>
    </row>
    <row r="5" spans="1:18">
      <c r="B5" s="25"/>
      <c r="C5" s="25">
        <v>19.54</v>
      </c>
      <c r="D5" s="25">
        <v>18.54</v>
      </c>
      <c r="E5" s="25">
        <f t="shared" si="0"/>
        <v>2</v>
      </c>
      <c r="G5" s="23">
        <f>E5/F2</f>
        <v>1.336145648938436</v>
      </c>
      <c r="H5" s="23"/>
      <c r="I5" s="23"/>
      <c r="Q5" s="20" t="s">
        <v>91</v>
      </c>
      <c r="R5" s="20">
        <v>1.7200000000000001E-5</v>
      </c>
    </row>
    <row r="6" spans="1:18">
      <c r="B6" s="25" t="s">
        <v>126</v>
      </c>
      <c r="C6" s="25">
        <v>18.309999999999999</v>
      </c>
      <c r="D6" s="25">
        <v>18.11</v>
      </c>
      <c r="E6" s="25">
        <f t="shared" si="0"/>
        <v>1.1486983549970344</v>
      </c>
      <c r="G6" s="23">
        <f>E6/F2</f>
        <v>0.76741415448601324</v>
      </c>
      <c r="H6" s="23">
        <f>AVERAGE(G6:G9)</f>
        <v>0.89931769521811133</v>
      </c>
      <c r="I6" s="23">
        <f>STDEV(G6:G9)/SQRT(COUNT(G6:G9))</f>
        <v>0.11054175530564342</v>
      </c>
      <c r="Q6" s="20" t="s">
        <v>92</v>
      </c>
      <c r="R6" s="20">
        <v>5.8000000000000004E-6</v>
      </c>
    </row>
    <row r="7" spans="1:18">
      <c r="B7" s="25"/>
      <c r="C7" s="25">
        <v>18.600000000000001</v>
      </c>
      <c r="D7" s="25">
        <v>18.37</v>
      </c>
      <c r="E7" s="25">
        <f t="shared" si="0"/>
        <v>1.1728349492318793</v>
      </c>
      <c r="G7" s="23">
        <f>E7/F2</f>
        <v>0.78353915716955347</v>
      </c>
      <c r="H7" s="23"/>
      <c r="I7" s="23"/>
      <c r="Q7" s="20" t="s">
        <v>93</v>
      </c>
      <c r="R7" s="20">
        <v>0.98668789999999995</v>
      </c>
    </row>
    <row r="8" spans="1:18">
      <c r="B8" s="25"/>
      <c r="C8" s="25">
        <v>18.93</v>
      </c>
      <c r="D8" s="25">
        <v>18.05</v>
      </c>
      <c r="E8" s="25">
        <f t="shared" si="0"/>
        <v>1.840375301249749</v>
      </c>
      <c r="G8" s="23">
        <f>E8/F2</f>
        <v>1.2295047255893079</v>
      </c>
      <c r="H8" s="23"/>
      <c r="I8" s="23"/>
      <c r="Q8" s="20" t="s">
        <v>94</v>
      </c>
      <c r="R8" s="20">
        <v>3.1999999999999999E-5</v>
      </c>
    </row>
    <row r="9" spans="1:18">
      <c r="B9" s="25"/>
      <c r="C9" s="25">
        <v>18.510000000000002</v>
      </c>
      <c r="D9" s="25">
        <v>18.22</v>
      </c>
      <c r="E9" s="25">
        <f t="shared" si="0"/>
        <v>1.2226402776920708</v>
      </c>
      <c r="G9" s="23">
        <f>E9/F2</f>
        <v>0.81681274362757084</v>
      </c>
      <c r="H9" s="23"/>
      <c r="I9" s="23"/>
      <c r="Q9" s="20" t="s">
        <v>95</v>
      </c>
      <c r="R9" s="20">
        <v>9.5000000000000005E-6</v>
      </c>
    </row>
    <row r="10" spans="1:18">
      <c r="B10" s="25" t="s">
        <v>25</v>
      </c>
      <c r="C10" s="25">
        <v>18</v>
      </c>
      <c r="D10" s="25">
        <v>20.74</v>
      </c>
      <c r="E10" s="25">
        <f t="shared" si="0"/>
        <v>0.14968483807736627</v>
      </c>
      <c r="G10" s="23">
        <f>E10/F2</f>
        <v>0.10000037255456364</v>
      </c>
      <c r="H10" s="23">
        <f>AVERAGE(G10:G13)</f>
        <v>0.10239933769597204</v>
      </c>
      <c r="I10" s="23">
        <f>STDEV(G10:G13)/SQRT(COUNT(G10:G13))</f>
        <v>7.323029185206378E-3</v>
      </c>
      <c r="Q10" s="20" t="s">
        <v>96</v>
      </c>
      <c r="R10" s="20">
        <v>1.5299999999999999E-5</v>
      </c>
    </row>
    <row r="11" spans="1:18">
      <c r="B11" s="25"/>
      <c r="C11" s="25">
        <v>17.78</v>
      </c>
      <c r="D11" s="25">
        <v>20.38</v>
      </c>
      <c r="E11" s="25">
        <f t="shared" si="0"/>
        <v>0.16493848884661202</v>
      </c>
      <c r="G11" s="23">
        <f>E11/F2</f>
        <v>0.11019092210744072</v>
      </c>
      <c r="H11" s="23"/>
      <c r="I11" s="23"/>
      <c r="Q11" s="20" t="s">
        <v>97</v>
      </c>
      <c r="R11" s="20">
        <v>4.7999999999999998E-6</v>
      </c>
    </row>
    <row r="12" spans="1:18">
      <c r="B12" s="25"/>
      <c r="C12" s="25">
        <v>17.989999999999998</v>
      </c>
      <c r="D12" s="25">
        <v>20.51</v>
      </c>
      <c r="E12" s="25">
        <f t="shared" si="0"/>
        <v>0.17434295829380031</v>
      </c>
      <c r="G12" s="23">
        <f>E12/F2</f>
        <v>0.11647379257365825</v>
      </c>
      <c r="H12" s="23"/>
      <c r="I12" s="23"/>
      <c r="Q12" s="20" t="s">
        <v>98</v>
      </c>
      <c r="R12" s="20">
        <v>0.91891469999999997</v>
      </c>
    </row>
    <row r="13" spans="1:18">
      <c r="B13" s="25"/>
      <c r="C13" s="25">
        <v>17.79</v>
      </c>
      <c r="D13" s="25">
        <v>20.8</v>
      </c>
      <c r="E13" s="25">
        <f t="shared" si="0"/>
        <v>0.12413656192962937</v>
      </c>
      <c r="G13" s="23">
        <f>E13/F2</f>
        <v>8.2932263548225499E-2</v>
      </c>
      <c r="H13" s="23"/>
      <c r="I13" s="23"/>
    </row>
    <row r="14" spans="1:18">
      <c r="B14" s="25" t="s">
        <v>127</v>
      </c>
      <c r="C14" s="25">
        <v>18.8</v>
      </c>
      <c r="D14" s="25">
        <v>18.3</v>
      </c>
      <c r="E14" s="25">
        <f t="shared" si="0"/>
        <v>1.4142135623730951</v>
      </c>
      <c r="G14" s="23">
        <f>E14/F2</f>
        <v>0.94479764901726837</v>
      </c>
      <c r="H14" s="23">
        <f>AVERAGE(G14:G17)</f>
        <v>0.9530500094535963</v>
      </c>
      <c r="I14" s="23">
        <f>STDEV(G14:G17)/SQRT(COUNT(G14:G17))</f>
        <v>3.2914668509501623E-2</v>
      </c>
    </row>
    <row r="15" spans="1:18">
      <c r="B15" s="25"/>
      <c r="C15" s="25">
        <v>19.45</v>
      </c>
      <c r="D15" s="25">
        <v>18.95</v>
      </c>
      <c r="E15" s="25">
        <f t="shared" si="0"/>
        <v>1.4142135623730951</v>
      </c>
      <c r="G15" s="23">
        <f>E15/F2</f>
        <v>0.94479764901726837</v>
      </c>
      <c r="H15" s="23"/>
      <c r="I15" s="23"/>
    </row>
    <row r="16" spans="1:18">
      <c r="B16" s="25"/>
      <c r="C16" s="25">
        <v>19.23</v>
      </c>
      <c r="D16" s="25">
        <v>18.59</v>
      </c>
      <c r="E16" s="25">
        <f t="shared" si="0"/>
        <v>1.5583291593210002</v>
      </c>
      <c r="G16" s="23">
        <f>E16/F2</f>
        <v>1.0410773629203227</v>
      </c>
      <c r="H16" s="23"/>
      <c r="I16" s="23"/>
    </row>
    <row r="17" spans="2:9">
      <c r="B17" s="25"/>
      <c r="C17" s="25">
        <v>18.89</v>
      </c>
      <c r="D17" s="25">
        <v>18.489999999999998</v>
      </c>
      <c r="E17" s="25">
        <f t="shared" si="0"/>
        <v>1.3195079107728962</v>
      </c>
      <c r="G17" s="23">
        <f>E17/F2</f>
        <v>0.88152737685952576</v>
      </c>
      <c r="H17" s="23"/>
      <c r="I17" s="23"/>
    </row>
    <row r="18" spans="2:9">
      <c r="B18" s="25" t="s">
        <v>27</v>
      </c>
      <c r="C18" s="25">
        <v>18.12</v>
      </c>
      <c r="D18" s="25">
        <v>24.48</v>
      </c>
      <c r="E18" s="25">
        <f t="shared" si="0"/>
        <v>1.2174446557195316E-2</v>
      </c>
      <c r="G18" s="23">
        <f>E18/F2</f>
        <v>8.1334168978150229E-3</v>
      </c>
      <c r="H18" s="23">
        <f>AVERAGE(G18:G21)</f>
        <v>1.2730099442069638E-2</v>
      </c>
      <c r="I18" s="23">
        <f>STDEV(G18:G21)/SQRT(COUNT(G18:G21))</f>
        <v>4.9666726730278714E-3</v>
      </c>
    </row>
    <row r="19" spans="2:9">
      <c r="B19" s="25"/>
      <c r="C19" s="25">
        <v>18.309999999999999</v>
      </c>
      <c r="D19" s="25">
        <v>23.95</v>
      </c>
      <c r="E19" s="25">
        <f t="shared" si="0"/>
        <v>2.0053529649420376E-2</v>
      </c>
      <c r="G19" s="23">
        <f>E19/F2</f>
        <v>1.3397218193465479E-2</v>
      </c>
      <c r="H19" s="23"/>
      <c r="I19" s="23"/>
    </row>
    <row r="20" spans="2:9">
      <c r="B20" s="25"/>
      <c r="C20" s="25">
        <v>18.36</v>
      </c>
      <c r="D20" s="25">
        <v>23.03</v>
      </c>
      <c r="E20" s="25">
        <f t="shared" si="0"/>
        <v>3.9281667953807102E-2</v>
      </c>
      <c r="G20" s="23">
        <f>E20/F2</f>
        <v>2.6243014859761878E-2</v>
      </c>
      <c r="H20" s="23"/>
      <c r="I20" s="23"/>
    </row>
    <row r="21" spans="2:9">
      <c r="B21" s="25"/>
      <c r="C21" s="25">
        <v>17.7</v>
      </c>
      <c r="D21" s="25">
        <v>25.43</v>
      </c>
      <c r="E21" s="25">
        <f t="shared" si="0"/>
        <v>4.7101868269170339E-3</v>
      </c>
      <c r="G21" s="23">
        <f>E21/F2</f>
        <v>3.1467478172361668E-3</v>
      </c>
      <c r="H21" s="23"/>
      <c r="I21" s="23"/>
    </row>
  </sheetData>
  <phoneticPr fontId="9"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21"/>
  <sheetViews>
    <sheetView workbookViewId="0">
      <selection activeCell="K2" sqref="K2:O4"/>
    </sheetView>
  </sheetViews>
  <sheetFormatPr defaultColWidth="8.85546875" defaultRowHeight="14.6"/>
  <cols>
    <col min="1" max="1" width="11.5703125" style="29" customWidth="1"/>
    <col min="2" max="16" width="8.85546875" style="29"/>
    <col min="17" max="17" width="16" style="29" customWidth="1"/>
    <col min="18" max="16384" width="8.85546875" style="29"/>
  </cols>
  <sheetData>
    <row r="1" spans="1:18" ht="15.9">
      <c r="C1" s="21" t="s">
        <v>128</v>
      </c>
      <c r="D1" s="30" t="s">
        <v>129</v>
      </c>
      <c r="E1" s="23" t="s">
        <v>66</v>
      </c>
      <c r="F1" s="23" t="s">
        <v>67</v>
      </c>
      <c r="G1" s="23" t="s">
        <v>68</v>
      </c>
      <c r="H1" s="23" t="s">
        <v>69</v>
      </c>
      <c r="I1" s="23" t="s">
        <v>70</v>
      </c>
      <c r="Q1" s="34" t="s">
        <v>48</v>
      </c>
      <c r="R1" s="34"/>
    </row>
    <row r="2" spans="1:18" ht="15.9">
      <c r="A2" s="30" t="s">
        <v>130</v>
      </c>
      <c r="B2" s="30" t="s">
        <v>23</v>
      </c>
      <c r="C2" s="30">
        <v>18.510000000000002</v>
      </c>
      <c r="D2" s="30">
        <v>19.91</v>
      </c>
      <c r="E2" s="30">
        <f>POWER(2, C2-D2)</f>
        <v>0.37892914162759994</v>
      </c>
      <c r="F2" s="29">
        <f>AVERAGE(E2:E5)</f>
        <v>0.39256616557096735</v>
      </c>
      <c r="G2" s="23">
        <f>E2/F2</f>
        <v>0.9652618459272132</v>
      </c>
      <c r="H2" s="23">
        <f>AVERAGE(G2:G5)</f>
        <v>1.0000000000000002</v>
      </c>
      <c r="I2" s="23">
        <f>STDEV(G2:G5)/SQRT(COUNT(G2:G5))</f>
        <v>0.16368492888084099</v>
      </c>
      <c r="K2" s="26" t="s">
        <v>131</v>
      </c>
      <c r="L2" s="26" t="s">
        <v>132</v>
      </c>
      <c r="M2" s="26" t="s">
        <v>133</v>
      </c>
      <c r="N2" s="26" t="s">
        <v>134</v>
      </c>
      <c r="O2" s="26" t="s">
        <v>135</v>
      </c>
      <c r="Q2" s="27" t="s">
        <v>49</v>
      </c>
      <c r="R2" s="27" t="s">
        <v>136</v>
      </c>
    </row>
    <row r="3" spans="1:18" ht="15.9">
      <c r="B3" s="30"/>
      <c r="C3" s="30">
        <v>18.510000000000002</v>
      </c>
      <c r="D3" s="30">
        <v>20.059999999999999</v>
      </c>
      <c r="E3" s="30">
        <f t="shared" ref="E3:E21" si="0">POWER(2, C3-D3)</f>
        <v>0.34151006418859958</v>
      </c>
      <c r="G3" s="23">
        <f>E3/F2</f>
        <v>0.86994268518248563</v>
      </c>
      <c r="H3" s="23"/>
      <c r="I3" s="23"/>
      <c r="K3" s="28">
        <f>H2</f>
        <v>1.0000000000000002</v>
      </c>
      <c r="L3" s="28">
        <f>H6</f>
        <v>1.0112628465414726</v>
      </c>
      <c r="M3" s="28">
        <f>H10</f>
        <v>0.64020055802557452</v>
      </c>
      <c r="N3" s="28">
        <f>H14</f>
        <v>0.93670520120021261</v>
      </c>
      <c r="O3" s="28">
        <f>H18</f>
        <v>0.21921605103937422</v>
      </c>
      <c r="Q3" s="29" t="s">
        <v>89</v>
      </c>
      <c r="R3" s="29">
        <v>1</v>
      </c>
    </row>
    <row r="4" spans="1:18" ht="15.9">
      <c r="B4" s="30"/>
      <c r="C4" s="30">
        <v>18.8</v>
      </c>
      <c r="D4" s="30">
        <v>20.66</v>
      </c>
      <c r="E4" s="30">
        <f t="shared" si="0"/>
        <v>0.27547627896915283</v>
      </c>
      <c r="G4" s="23">
        <f>E4/F2</f>
        <v>0.70173209799801961</v>
      </c>
      <c r="H4" s="23"/>
      <c r="I4" s="23"/>
      <c r="K4" s="28">
        <f>I2</f>
        <v>0.16368492888084099</v>
      </c>
      <c r="L4" s="28">
        <f>I6</f>
        <v>0.13608328225437769</v>
      </c>
      <c r="M4" s="28">
        <f>I10</f>
        <v>6.1915790467535689E-2</v>
      </c>
      <c r="N4" s="28">
        <f>I14</f>
        <v>8.7323734721672652E-2</v>
      </c>
      <c r="O4" s="28">
        <f>I18</f>
        <v>3.443077031638176E-2</v>
      </c>
      <c r="Q4" s="29" t="s">
        <v>90</v>
      </c>
      <c r="R4" s="29">
        <v>0.9913168</v>
      </c>
    </row>
    <row r="5" spans="1:18">
      <c r="B5" s="30"/>
      <c r="C5" s="30">
        <v>19.54</v>
      </c>
      <c r="D5" s="30">
        <v>20.34</v>
      </c>
      <c r="E5" s="30">
        <f t="shared" si="0"/>
        <v>0.57434917749851722</v>
      </c>
      <c r="G5" s="23">
        <f>E5/F2</f>
        <v>1.463063370892282</v>
      </c>
      <c r="H5" s="23"/>
      <c r="I5" s="23"/>
      <c r="Q5" s="29" t="s">
        <v>91</v>
      </c>
      <c r="R5" s="29">
        <v>0.24110329999999999</v>
      </c>
    </row>
    <row r="6" spans="1:18">
      <c r="B6" s="30" t="s">
        <v>24</v>
      </c>
      <c r="C6" s="30">
        <v>18.309999999999999</v>
      </c>
      <c r="D6" s="30">
        <v>19.86</v>
      </c>
      <c r="E6" s="30">
        <f t="shared" si="0"/>
        <v>0.34151006418859875</v>
      </c>
      <c r="G6" s="23">
        <f>E6/F2</f>
        <v>0.86994268518248352</v>
      </c>
      <c r="H6" s="23">
        <f>AVERAGE(G6:G9)</f>
        <v>1.0112628465414726</v>
      </c>
      <c r="I6" s="23">
        <f>STDEV(G6:G9)/SQRT(COUNT(G6:G9))</f>
        <v>0.13608328225437769</v>
      </c>
      <c r="Q6" s="29" t="s">
        <v>92</v>
      </c>
      <c r="R6" s="29">
        <v>2.8494000000000002E-3</v>
      </c>
    </row>
    <row r="7" spans="1:18">
      <c r="B7" s="30"/>
      <c r="C7" s="30">
        <v>18.600000000000001</v>
      </c>
      <c r="D7" s="30">
        <v>20.04</v>
      </c>
      <c r="E7" s="30">
        <f t="shared" si="0"/>
        <v>0.36856730432277585</v>
      </c>
      <c r="G7" s="23">
        <f>E7/F2</f>
        <v>0.93886670998941946</v>
      </c>
      <c r="H7" s="23"/>
      <c r="I7" s="23"/>
      <c r="Q7" s="29" t="s">
        <v>93</v>
      </c>
      <c r="R7" s="29">
        <v>0.98858270000000004</v>
      </c>
    </row>
    <row r="8" spans="1:18">
      <c r="B8" s="30"/>
      <c r="C8" s="30">
        <v>18.93</v>
      </c>
      <c r="D8" s="30">
        <v>19.78</v>
      </c>
      <c r="E8" s="30">
        <f t="shared" si="0"/>
        <v>0.55478473603392198</v>
      </c>
      <c r="G8" s="23">
        <f>E8/F2</f>
        <v>1.4132260614641001</v>
      </c>
      <c r="H8" s="23"/>
      <c r="I8" s="23"/>
      <c r="Q8" s="29" t="s">
        <v>94</v>
      </c>
      <c r="R8" s="29">
        <v>0.18442629999999999</v>
      </c>
    </row>
    <row r="9" spans="1:18">
      <c r="B9" s="30"/>
      <c r="C9" s="30">
        <v>18.510000000000002</v>
      </c>
      <c r="D9" s="30">
        <v>20.14</v>
      </c>
      <c r="E9" s="30">
        <f t="shared" si="0"/>
        <v>0.32308820765937335</v>
      </c>
      <c r="G9" s="23">
        <f>E9/F2</f>
        <v>0.82301592952988734</v>
      </c>
      <c r="H9" s="23"/>
      <c r="I9" s="23"/>
      <c r="Q9" s="29" t="s">
        <v>95</v>
      </c>
      <c r="R9" s="29">
        <v>1.4496000000000001E-3</v>
      </c>
    </row>
    <row r="10" spans="1:18">
      <c r="B10" s="30" t="s">
        <v>137</v>
      </c>
      <c r="C10" s="30">
        <v>18</v>
      </c>
      <c r="D10" s="30">
        <v>19.75</v>
      </c>
      <c r="E10" s="30">
        <f t="shared" si="0"/>
        <v>0.29730177875068026</v>
      </c>
      <c r="G10" s="23">
        <f>E10/F2</f>
        <v>0.7573290946209541</v>
      </c>
      <c r="H10" s="23">
        <f>AVERAGE(G10:G13)</f>
        <v>0.64020055802557452</v>
      </c>
      <c r="I10" s="23">
        <f>STDEV(G10:G13)/SQRT(COUNT(G10:G13))</f>
        <v>6.1915790467535689E-2</v>
      </c>
      <c r="Q10" s="29" t="s">
        <v>96</v>
      </c>
      <c r="R10" s="29">
        <v>0.36913079999999998</v>
      </c>
    </row>
    <row r="11" spans="1:18">
      <c r="B11" s="30"/>
      <c r="C11" s="30">
        <v>17.78</v>
      </c>
      <c r="D11" s="30">
        <v>19.68</v>
      </c>
      <c r="E11" s="30">
        <f t="shared" si="0"/>
        <v>0.26794336563407356</v>
      </c>
      <c r="G11" s="23">
        <f>E11/F2</f>
        <v>0.6825431968757768</v>
      </c>
      <c r="H11" s="23"/>
      <c r="I11" s="23"/>
      <c r="Q11" s="29" t="s">
        <v>97</v>
      </c>
      <c r="R11" s="29">
        <v>3.4393000000000002E-3</v>
      </c>
    </row>
    <row r="12" spans="1:18">
      <c r="B12" s="30"/>
      <c r="C12" s="30">
        <v>17.989999999999998</v>
      </c>
      <c r="D12" s="30">
        <v>19.95</v>
      </c>
      <c r="E12" s="30">
        <f t="shared" si="0"/>
        <v>0.25702845666401652</v>
      </c>
      <c r="G12" s="23">
        <f>E12/F2</f>
        <v>0.65473919865249164</v>
      </c>
      <c r="H12" s="23"/>
      <c r="I12" s="23"/>
      <c r="Q12" s="29" t="s">
        <v>98</v>
      </c>
      <c r="R12" s="29">
        <v>0.1091462</v>
      </c>
    </row>
    <row r="13" spans="1:18">
      <c r="B13" s="30"/>
      <c r="C13" s="30">
        <v>17.79</v>
      </c>
      <c r="D13" s="30">
        <v>20.239999999999998</v>
      </c>
      <c r="E13" s="30">
        <f t="shared" si="0"/>
        <v>0.18301071199320323</v>
      </c>
      <c r="G13" s="23">
        <f>E13/F2</f>
        <v>0.46619074195307569</v>
      </c>
      <c r="H13" s="23"/>
      <c r="I13" s="23"/>
    </row>
    <row r="14" spans="1:18">
      <c r="B14" s="30" t="s">
        <v>138</v>
      </c>
      <c r="C14" s="30">
        <v>18.8</v>
      </c>
      <c r="D14" s="30">
        <v>20.55</v>
      </c>
      <c r="E14" s="30">
        <f t="shared" si="0"/>
        <v>0.29730177875068026</v>
      </c>
      <c r="G14" s="23">
        <f>E14/F2</f>
        <v>0.7573290946209541</v>
      </c>
      <c r="H14" s="23">
        <f>AVERAGE(G14:G17)</f>
        <v>0.93670520120021261</v>
      </c>
      <c r="I14" s="23">
        <f>STDEV(G14:G17)/SQRT(COUNT(G14:G17))</f>
        <v>8.7323734721672652E-2</v>
      </c>
    </row>
    <row r="15" spans="1:18">
      <c r="B15" s="30"/>
      <c r="C15" s="30">
        <v>19.45</v>
      </c>
      <c r="D15" s="30">
        <v>21.09</v>
      </c>
      <c r="E15" s="30">
        <f t="shared" si="0"/>
        <v>0.32085647439072595</v>
      </c>
      <c r="G15" s="23">
        <f>E15/F2</f>
        <v>0.81733094324126654</v>
      </c>
      <c r="H15" s="23"/>
      <c r="I15" s="23"/>
    </row>
    <row r="16" spans="1:18">
      <c r="B16" s="30"/>
      <c r="C16" s="30">
        <v>19.23</v>
      </c>
      <c r="D16" s="30">
        <v>20.440000000000001</v>
      </c>
      <c r="E16" s="30">
        <f t="shared" si="0"/>
        <v>0.43226861565393238</v>
      </c>
      <c r="G16" s="23">
        <f>E16/F2</f>
        <v>1.1011356901459397</v>
      </c>
      <c r="H16" s="23"/>
      <c r="I16" s="23"/>
    </row>
    <row r="17" spans="2:9">
      <c r="B17" s="30"/>
      <c r="C17" s="30">
        <v>18.89</v>
      </c>
      <c r="D17" s="30">
        <v>20.14</v>
      </c>
      <c r="E17" s="30">
        <f t="shared" si="0"/>
        <v>0.42044820762685731</v>
      </c>
      <c r="G17" s="23">
        <f>E17/F2</f>
        <v>1.0710250767926903</v>
      </c>
      <c r="H17" s="23"/>
      <c r="I17" s="23"/>
    </row>
    <row r="18" spans="2:9">
      <c r="B18" s="30" t="s">
        <v>139</v>
      </c>
      <c r="C18" s="30">
        <v>18.12</v>
      </c>
      <c r="D18" s="30">
        <v>22</v>
      </c>
      <c r="E18" s="30">
        <f t="shared" si="0"/>
        <v>6.7920928907878667E-2</v>
      </c>
      <c r="G18" s="23">
        <f>E18/F2</f>
        <v>0.17301778620959643</v>
      </c>
      <c r="H18" s="23">
        <f>AVERAGE(G18:G21)</f>
        <v>0.21921605103937422</v>
      </c>
      <c r="I18" s="23">
        <f>STDEV(G18:G21)/SQRT(COUNT(G18:G21))</f>
        <v>3.443077031638176E-2</v>
      </c>
    </row>
    <row r="19" spans="2:9">
      <c r="B19" s="30"/>
      <c r="C19" s="30">
        <v>18.309999999999999</v>
      </c>
      <c r="D19" s="30">
        <v>21.51</v>
      </c>
      <c r="E19" s="30">
        <f t="shared" si="0"/>
        <v>0.10881882041201529</v>
      </c>
      <c r="G19" s="23">
        <f>E19/F2</f>
        <v>0.27719867363949691</v>
      </c>
      <c r="H19" s="23"/>
      <c r="I19" s="23"/>
    </row>
    <row r="20" spans="2:9">
      <c r="B20" s="30"/>
      <c r="C20" s="30">
        <v>18.36</v>
      </c>
      <c r="D20" s="30">
        <v>21.55</v>
      </c>
      <c r="E20" s="30">
        <f t="shared" si="0"/>
        <v>0.10957571516450428</v>
      </c>
      <c r="G20" s="23">
        <f>E20/F2</f>
        <v>0.27912674288965278</v>
      </c>
      <c r="H20" s="23"/>
      <c r="I20" s="23"/>
    </row>
    <row r="21" spans="2:9">
      <c r="B21" s="30"/>
      <c r="C21" s="30">
        <v>17.7</v>
      </c>
      <c r="D21" s="30">
        <v>21.81</v>
      </c>
      <c r="E21" s="30">
        <f t="shared" si="0"/>
        <v>5.7911753868148223E-2</v>
      </c>
      <c r="G21" s="23">
        <f>E21/F2</f>
        <v>0.14752100141875077</v>
      </c>
      <c r="H21" s="23"/>
      <c r="I21" s="23"/>
    </row>
  </sheetData>
  <mergeCells count="1">
    <mergeCell ref="Q1:R1"/>
  </mergeCells>
  <phoneticPr fontId="9"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R21"/>
  <sheetViews>
    <sheetView workbookViewId="0">
      <selection activeCell="P19" sqref="P19"/>
    </sheetView>
  </sheetViews>
  <sheetFormatPr defaultColWidth="8.85546875" defaultRowHeight="14.6"/>
  <cols>
    <col min="1" max="1" width="12.140625" style="29" customWidth="1"/>
    <col min="2" max="16" width="8.85546875" style="29"/>
    <col min="17" max="17" width="18.5703125" style="29" customWidth="1"/>
    <col min="18" max="16384" width="8.85546875" style="29"/>
  </cols>
  <sheetData>
    <row r="1" spans="1:18" ht="15.9">
      <c r="C1" s="21" t="s">
        <v>64</v>
      </c>
      <c r="D1" s="30" t="s">
        <v>140</v>
      </c>
      <c r="E1" s="23" t="s">
        <v>66</v>
      </c>
      <c r="F1" s="23" t="s">
        <v>67</v>
      </c>
      <c r="G1" s="23" t="s">
        <v>68</v>
      </c>
      <c r="H1" s="23" t="s">
        <v>69</v>
      </c>
      <c r="I1" s="23" t="s">
        <v>70</v>
      </c>
      <c r="Q1" s="34" t="s">
        <v>48</v>
      </c>
      <c r="R1" s="34"/>
    </row>
    <row r="2" spans="1:18" ht="15.9">
      <c r="A2" s="30" t="s">
        <v>140</v>
      </c>
      <c r="B2" s="30" t="s">
        <v>23</v>
      </c>
      <c r="C2" s="30">
        <v>18.510000000000002</v>
      </c>
      <c r="D2" s="30">
        <v>21.55</v>
      </c>
      <c r="E2" s="30">
        <f>POWER(2, C2-D2)</f>
        <v>0.12158186842653573</v>
      </c>
      <c r="F2" s="29">
        <f>AVERAGE(E2:E5)</f>
        <v>0.16517940103998768</v>
      </c>
      <c r="G2" s="23">
        <f>E2/F2</f>
        <v>0.7360595065791673</v>
      </c>
      <c r="H2" s="23">
        <f>AVERAGE(G2:G5)</f>
        <v>1</v>
      </c>
      <c r="I2" s="23">
        <f>STDEV(G2:G5)/SQRT(COUNT(G2:G5))</f>
        <v>0.19668494381102039</v>
      </c>
      <c r="K2" s="26" t="s">
        <v>23</v>
      </c>
      <c r="L2" s="26" t="s">
        <v>71</v>
      </c>
      <c r="M2" s="26" t="s">
        <v>72</v>
      </c>
      <c r="N2" s="26" t="s">
        <v>73</v>
      </c>
      <c r="O2" s="26" t="s">
        <v>74</v>
      </c>
      <c r="Q2" s="27" t="s">
        <v>49</v>
      </c>
      <c r="R2" s="27" t="s">
        <v>50</v>
      </c>
    </row>
    <row r="3" spans="1:18" ht="15.9">
      <c r="B3" s="30"/>
      <c r="C3" s="30">
        <v>18.510000000000002</v>
      </c>
      <c r="D3" s="30">
        <v>21.49</v>
      </c>
      <c r="E3" s="30">
        <f t="shared" ref="E3:E21" si="0">POWER(2, C3-D3)</f>
        <v>0.12674493497375389</v>
      </c>
      <c r="G3" s="23">
        <f>E3/F2</f>
        <v>0.76731683355039326</v>
      </c>
      <c r="H3" s="23"/>
      <c r="I3" s="23"/>
      <c r="K3" s="28">
        <f>H2</f>
        <v>1</v>
      </c>
      <c r="L3" s="28">
        <f>H6</f>
        <v>0.9214253945208174</v>
      </c>
      <c r="M3" s="28">
        <f>H10</f>
        <v>0.8363468110631751</v>
      </c>
      <c r="N3" s="28">
        <f>H14</f>
        <v>1.289541657812211</v>
      </c>
      <c r="O3" s="28">
        <f>H18</f>
        <v>0.57743529122621562</v>
      </c>
      <c r="Q3" s="29" t="s">
        <v>89</v>
      </c>
      <c r="R3" s="29">
        <v>0.86156540000000004</v>
      </c>
    </row>
    <row r="4" spans="1:18" ht="15.9">
      <c r="B4" s="30"/>
      <c r="C4" s="30">
        <v>18.8</v>
      </c>
      <c r="D4" s="30">
        <v>21.52</v>
      </c>
      <c r="E4" s="30">
        <f t="shared" si="0"/>
        <v>0.15177436054938098</v>
      </c>
      <c r="G4" s="23">
        <f>E4/F2</f>
        <v>0.91884556787222205</v>
      </c>
      <c r="H4" s="23"/>
      <c r="I4" s="23"/>
      <c r="K4" s="28">
        <f>I2</f>
        <v>0.19668494381102039</v>
      </c>
      <c r="L4" s="28">
        <f>I6</f>
        <v>0.12432455192470329</v>
      </c>
      <c r="M4" s="28">
        <f>I10</f>
        <v>2.4043616519311473E-2</v>
      </c>
      <c r="N4" s="28">
        <f>I14</f>
        <v>9.3077653285694756E-2</v>
      </c>
      <c r="O4" s="28">
        <f>I18</f>
        <v>5.1063796473412616E-2</v>
      </c>
      <c r="Q4" s="29" t="s">
        <v>90</v>
      </c>
      <c r="R4" s="29">
        <v>0.76168970000000003</v>
      </c>
    </row>
    <row r="5" spans="1:18">
      <c r="B5" s="30"/>
      <c r="C5" s="30">
        <v>19.54</v>
      </c>
      <c r="D5" s="30">
        <v>21.48</v>
      </c>
      <c r="E5" s="30">
        <f t="shared" si="0"/>
        <v>0.26061644021028013</v>
      </c>
      <c r="G5" s="23">
        <f>E5/F2</f>
        <v>1.5777780919982174</v>
      </c>
      <c r="H5" s="23"/>
      <c r="I5" s="23"/>
      <c r="Q5" s="29" t="s">
        <v>91</v>
      </c>
      <c r="R5" s="29">
        <v>0.59375129999999998</v>
      </c>
    </row>
    <row r="6" spans="1:18">
      <c r="B6" s="30" t="s">
        <v>24</v>
      </c>
      <c r="C6" s="30">
        <v>18.309999999999999</v>
      </c>
      <c r="D6" s="30">
        <v>21.43</v>
      </c>
      <c r="E6" s="30">
        <f t="shared" si="0"/>
        <v>0.1150234563281093</v>
      </c>
      <c r="G6" s="23">
        <f>E6/F2</f>
        <v>0.6963547246442896</v>
      </c>
      <c r="H6" s="23">
        <f>AVERAGE(G6:G9)</f>
        <v>0.9214253945208174</v>
      </c>
      <c r="I6" s="23">
        <f>STDEV(G6:G9)/SQRT(COUNT(G6:G9))</f>
        <v>0.12432455192470329</v>
      </c>
      <c r="Q6" s="29" t="s">
        <v>92</v>
      </c>
      <c r="R6" s="29">
        <v>6.2566499999999997E-2</v>
      </c>
    </row>
    <row r="7" spans="1:18">
      <c r="B7" s="30"/>
      <c r="C7" s="30">
        <v>18.600000000000001</v>
      </c>
      <c r="D7" s="30">
        <v>21.35</v>
      </c>
      <c r="E7" s="30">
        <f t="shared" si="0"/>
        <v>0.14865088937534013</v>
      </c>
      <c r="G7" s="23">
        <f>E7/F2</f>
        <v>0.89993599952183978</v>
      </c>
      <c r="H7" s="23"/>
      <c r="I7" s="23"/>
      <c r="Q7" s="29" t="s">
        <v>93</v>
      </c>
      <c r="R7" s="29">
        <v>0.1925858</v>
      </c>
    </row>
    <row r="8" spans="1:18">
      <c r="B8" s="30"/>
      <c r="C8" s="30">
        <v>18.93</v>
      </c>
      <c r="D8" s="30">
        <v>21.18</v>
      </c>
      <c r="E8" s="30">
        <f t="shared" si="0"/>
        <v>0.21022410381342865</v>
      </c>
      <c r="G8" s="23">
        <f>E8/F2</f>
        <v>1.2727016957915731</v>
      </c>
      <c r="H8" s="23"/>
      <c r="I8" s="23"/>
      <c r="Q8" s="29" t="s">
        <v>94</v>
      </c>
      <c r="R8" s="29">
        <v>0.98163080000000003</v>
      </c>
    </row>
    <row r="9" spans="1:18">
      <c r="B9" s="30"/>
      <c r="C9" s="30">
        <v>18.510000000000002</v>
      </c>
      <c r="D9" s="30">
        <v>21.4</v>
      </c>
      <c r="E9" s="30">
        <f t="shared" si="0"/>
        <v>0.13490352956305371</v>
      </c>
      <c r="G9" s="23">
        <f>E9/F2</f>
        <v>0.81670915812556677</v>
      </c>
      <c r="H9" s="23"/>
      <c r="I9" s="23"/>
      <c r="Q9" s="29" t="s">
        <v>95</v>
      </c>
      <c r="R9" s="29">
        <v>0.2436654</v>
      </c>
    </row>
    <row r="10" spans="1:18">
      <c r="B10" s="30" t="s">
        <v>25</v>
      </c>
      <c r="C10" s="30">
        <v>18</v>
      </c>
      <c r="D10" s="30">
        <v>20.76</v>
      </c>
      <c r="E10" s="30">
        <f t="shared" si="0"/>
        <v>0.14762408267869118</v>
      </c>
      <c r="G10" s="23">
        <f>E10/F2</f>
        <v>0.89371968749876629</v>
      </c>
      <c r="H10" s="23">
        <f>AVERAGE(G10:G13)</f>
        <v>0.8363468110631751</v>
      </c>
      <c r="I10" s="23">
        <f>STDEV(G10:G13)/SQRT(COUNT(G10:G13))</f>
        <v>2.4043616519311473E-2</v>
      </c>
      <c r="Q10" s="29" t="s">
        <v>96</v>
      </c>
      <c r="R10" s="29">
        <v>7.7899300000000005E-2</v>
      </c>
    </row>
    <row r="11" spans="1:18">
      <c r="B11" s="30"/>
      <c r="C11" s="30">
        <v>17.78</v>
      </c>
      <c r="D11" s="30">
        <v>20.69</v>
      </c>
      <c r="E11" s="30">
        <f t="shared" si="0"/>
        <v>0.13304627280666997</v>
      </c>
      <c r="G11" s="23">
        <f>E11/F2</f>
        <v>0.8054652818026703</v>
      </c>
      <c r="H11" s="23"/>
      <c r="I11" s="23"/>
      <c r="Q11" s="29" t="s">
        <v>97</v>
      </c>
      <c r="R11" s="29">
        <v>3.7777000000000002E-3</v>
      </c>
    </row>
    <row r="12" spans="1:18">
      <c r="B12" s="30"/>
      <c r="C12" s="30">
        <v>17.989999999999998</v>
      </c>
      <c r="D12" s="30">
        <v>20.81</v>
      </c>
      <c r="E12" s="30">
        <f t="shared" si="0"/>
        <v>0.14161048566197482</v>
      </c>
      <c r="G12" s="23">
        <f>E12/F2</f>
        <v>0.85731322895215512</v>
      </c>
      <c r="H12" s="23"/>
      <c r="I12" s="23"/>
      <c r="Q12" s="29" t="s">
        <v>98</v>
      </c>
      <c r="R12" s="29">
        <v>0.49875229999999998</v>
      </c>
    </row>
    <row r="13" spans="1:18">
      <c r="B13" s="30"/>
      <c r="C13" s="30">
        <v>17.79</v>
      </c>
      <c r="D13" s="30">
        <v>20.73</v>
      </c>
      <c r="E13" s="30">
        <f t="shared" si="0"/>
        <v>0.13030822010514007</v>
      </c>
      <c r="G13" s="23">
        <f>E13/F2</f>
        <v>0.7888890459991087</v>
      </c>
      <c r="H13" s="23"/>
      <c r="I13" s="23"/>
    </row>
    <row r="14" spans="1:18">
      <c r="B14" s="30" t="s">
        <v>141</v>
      </c>
      <c r="C14" s="30">
        <v>18.8</v>
      </c>
      <c r="D14" s="30">
        <v>21.11</v>
      </c>
      <c r="E14" s="30">
        <f t="shared" si="0"/>
        <v>0.20166043980553175</v>
      </c>
      <c r="G14" s="23">
        <f>E14/F2</f>
        <v>1.2208570713772748</v>
      </c>
      <c r="H14" s="23">
        <f>AVERAGE(G14:G17)</f>
        <v>1.289541657812211</v>
      </c>
      <c r="I14" s="23">
        <f>STDEV(G14:G17)/SQRT(COUNT(G14:G17))</f>
        <v>9.3077653285694756E-2</v>
      </c>
    </row>
    <row r="15" spans="1:18">
      <c r="B15" s="30"/>
      <c r="C15" s="30">
        <v>19.45</v>
      </c>
      <c r="D15" s="30">
        <v>21.46</v>
      </c>
      <c r="E15" s="30">
        <f t="shared" si="0"/>
        <v>0.24827312385925868</v>
      </c>
      <c r="G15" s="23">
        <f>E15/F2</f>
        <v>1.5030513629187645</v>
      </c>
      <c r="H15" s="23"/>
      <c r="I15" s="23"/>
    </row>
    <row r="16" spans="1:18">
      <c r="B16" s="30"/>
      <c r="C16" s="30">
        <v>19.23</v>
      </c>
      <c r="D16" s="30">
        <v>21.38</v>
      </c>
      <c r="E16" s="30">
        <f t="shared" si="0"/>
        <v>0.22531261565270783</v>
      </c>
      <c r="G16" s="23">
        <f>E16/F2</f>
        <v>1.3640479032743478</v>
      </c>
      <c r="H16" s="23"/>
      <c r="I16" s="23"/>
    </row>
    <row r="17" spans="2:9">
      <c r="B17" s="30"/>
      <c r="C17" s="30">
        <v>18.89</v>
      </c>
      <c r="D17" s="30">
        <v>21.39</v>
      </c>
      <c r="E17" s="30">
        <f t="shared" si="0"/>
        <v>0.17677669529663687</v>
      </c>
      <c r="G17" s="23">
        <f>E17/F2</f>
        <v>1.0702102936784572</v>
      </c>
      <c r="H17" s="23"/>
      <c r="I17" s="23"/>
    </row>
    <row r="18" spans="2:9">
      <c r="B18" s="30" t="s">
        <v>27</v>
      </c>
      <c r="C18" s="30">
        <v>18.12</v>
      </c>
      <c r="D18" s="30">
        <v>21.86</v>
      </c>
      <c r="E18" s="30">
        <f t="shared" si="0"/>
        <v>7.4842419038683147E-2</v>
      </c>
      <c r="G18" s="23">
        <f>E18/F2</f>
        <v>0.45309777470717921</v>
      </c>
      <c r="H18" s="23">
        <f>AVERAGE(G18:G21)</f>
        <v>0.57743529122621562</v>
      </c>
      <c r="I18" s="23">
        <f>STDEV(G18:G21)/SQRT(COUNT(G18:G21))</f>
        <v>5.1063796473412616E-2</v>
      </c>
    </row>
    <row r="19" spans="2:9">
      <c r="B19" s="30"/>
      <c r="C19" s="30">
        <v>18.309999999999999</v>
      </c>
      <c r="D19" s="30">
        <v>21.42</v>
      </c>
      <c r="E19" s="30">
        <f t="shared" si="0"/>
        <v>0.11582350773629614</v>
      </c>
      <c r="G19" s="23">
        <f>E19/F2</f>
        <v>0.70119825478878473</v>
      </c>
      <c r="H19" s="23"/>
      <c r="I19" s="23"/>
    </row>
    <row r="20" spans="2:9">
      <c r="B20" s="30"/>
      <c r="C20" s="30">
        <v>18.36</v>
      </c>
      <c r="D20" s="30">
        <v>21.71</v>
      </c>
      <c r="E20" s="30">
        <f t="shared" si="0"/>
        <v>9.8073012237093762E-2</v>
      </c>
      <c r="G20" s="23">
        <f>E20/F2</f>
        <v>0.59373633527918912</v>
      </c>
      <c r="H20" s="23"/>
      <c r="I20" s="23"/>
    </row>
    <row r="21" spans="2:9">
      <c r="B21" s="30"/>
      <c r="C21" s="30">
        <v>17.7</v>
      </c>
      <c r="D21" s="30">
        <v>21.13</v>
      </c>
      <c r="E21" s="30">
        <f t="shared" si="0"/>
        <v>9.2782723164315586E-2</v>
      </c>
      <c r="G21" s="23">
        <f>E21/F2</f>
        <v>0.56170880012970958</v>
      </c>
      <c r="H21" s="23"/>
      <c r="I21" s="23"/>
    </row>
  </sheetData>
  <mergeCells count="1">
    <mergeCell ref="Q1:R1"/>
  </mergeCells>
  <phoneticPr fontId="9"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Q22"/>
  <sheetViews>
    <sheetView workbookViewId="0">
      <selection activeCell="J2" sqref="J2:N4"/>
    </sheetView>
  </sheetViews>
  <sheetFormatPr defaultColWidth="8.85546875" defaultRowHeight="15.9"/>
  <cols>
    <col min="1" max="15" width="8.85546875" style="28"/>
    <col min="16" max="16" width="15.640625" style="28" customWidth="1"/>
    <col min="17" max="16384" width="8.85546875" style="28"/>
  </cols>
  <sheetData>
    <row r="1" spans="1:17">
      <c r="B1" s="35" t="s">
        <v>142</v>
      </c>
      <c r="C1" s="35"/>
      <c r="P1" s="35" t="s">
        <v>143</v>
      </c>
      <c r="Q1" s="35"/>
    </row>
    <row r="2" spans="1:17">
      <c r="B2" s="31" t="s">
        <v>64</v>
      </c>
      <c r="C2" s="32" t="s">
        <v>123</v>
      </c>
      <c r="D2" s="26" t="s">
        <v>66</v>
      </c>
      <c r="E2" s="26" t="s">
        <v>67</v>
      </c>
      <c r="F2" s="26" t="s">
        <v>68</v>
      </c>
      <c r="G2" s="26" t="s">
        <v>69</v>
      </c>
      <c r="H2" s="26" t="s">
        <v>70</v>
      </c>
      <c r="J2" s="26" t="s">
        <v>23</v>
      </c>
      <c r="K2" s="26" t="s">
        <v>71</v>
      </c>
      <c r="L2" s="26" t="s">
        <v>72</v>
      </c>
      <c r="M2" s="26" t="s">
        <v>73</v>
      </c>
      <c r="N2" s="26" t="s">
        <v>74</v>
      </c>
      <c r="P2" s="28" t="s">
        <v>49</v>
      </c>
      <c r="Q2" s="28" t="s">
        <v>50</v>
      </c>
    </row>
    <row r="3" spans="1:17">
      <c r="A3" s="32" t="s">
        <v>23</v>
      </c>
      <c r="B3" s="32">
        <v>18.510000000000002</v>
      </c>
      <c r="C3" s="32">
        <v>28.32</v>
      </c>
      <c r="D3" s="32">
        <f t="shared" ref="D3:D22" si="0">POWER(2, B3-C3)</f>
        <v>1.1140270662777592E-3</v>
      </c>
      <c r="E3" s="26">
        <f>AVERAGE(D3:D6)</f>
        <v>1.5021186150346358E-3</v>
      </c>
      <c r="F3" s="26">
        <f>D3/E3</f>
        <v>0.74163721501585411</v>
      </c>
      <c r="G3" s="26">
        <f>AVERAGE(F3:F6)</f>
        <v>0.99999999999999989</v>
      </c>
      <c r="H3" s="26">
        <f>STDEV(F3:F6)/SQRT(COUNT(F3:F6))</f>
        <v>0.1922065206479448</v>
      </c>
      <c r="J3" s="28">
        <f>G3</f>
        <v>0.99999999999999989</v>
      </c>
      <c r="K3" s="28">
        <f>G7</f>
        <v>1.0320621782071715</v>
      </c>
      <c r="L3" s="28">
        <f>G11</f>
        <v>54.110087652866611</v>
      </c>
      <c r="M3" s="28">
        <f>G15</f>
        <v>1.1703946875583342</v>
      </c>
      <c r="N3" s="28">
        <f>G19</f>
        <v>580.73318283540596</v>
      </c>
      <c r="P3" s="28" t="s">
        <v>89</v>
      </c>
      <c r="Q3" s="28">
        <v>1</v>
      </c>
    </row>
    <row r="4" spans="1:17">
      <c r="A4" s="32"/>
      <c r="B4" s="32">
        <v>18.510000000000002</v>
      </c>
      <c r="C4" s="32">
        <v>27.79</v>
      </c>
      <c r="D4" s="32">
        <f t="shared" si="0"/>
        <v>1.6085762056007313E-3</v>
      </c>
      <c r="E4" s="26"/>
      <c r="F4" s="26">
        <f>D4/E3</f>
        <v>1.0708716272473868</v>
      </c>
      <c r="G4" s="26"/>
      <c r="H4" s="26"/>
      <c r="J4" s="28">
        <f>H3</f>
        <v>0.1922065206479448</v>
      </c>
      <c r="K4" s="28">
        <f>H7</f>
        <v>9.6653384849816573E-2</v>
      </c>
      <c r="L4" s="28">
        <f>H11</f>
        <v>8.2686750648074661</v>
      </c>
      <c r="M4" s="28">
        <f>H15</f>
        <v>0.33190493888917599</v>
      </c>
      <c r="N4" s="28">
        <f>H19</f>
        <v>116.58709414026279</v>
      </c>
      <c r="P4" s="28" t="s">
        <v>90</v>
      </c>
      <c r="Q4" s="28">
        <v>1</v>
      </c>
    </row>
    <row r="5" spans="1:17">
      <c r="A5" s="32"/>
      <c r="B5" s="32">
        <v>18.8</v>
      </c>
      <c r="C5" s="32">
        <v>27.58</v>
      </c>
      <c r="D5" s="32">
        <f t="shared" si="0"/>
        <v>2.2748702860712062E-3</v>
      </c>
      <c r="E5" s="26"/>
      <c r="F5" s="26">
        <f>D5/E3</f>
        <v>1.5144411788137997</v>
      </c>
      <c r="G5" s="26"/>
      <c r="H5" s="26"/>
      <c r="P5" s="28" t="s">
        <v>91</v>
      </c>
      <c r="Q5" s="28">
        <v>0.96544280000000005</v>
      </c>
    </row>
    <row r="6" spans="1:17">
      <c r="A6" s="32"/>
      <c r="B6" s="32">
        <v>19.54</v>
      </c>
      <c r="C6" s="32">
        <v>29.49</v>
      </c>
      <c r="D6" s="32">
        <f t="shared" si="0"/>
        <v>1.0110009021888457E-3</v>
      </c>
      <c r="E6" s="26"/>
      <c r="F6" s="26">
        <f>D6/E3</f>
        <v>0.67304997892295881</v>
      </c>
      <c r="G6" s="26"/>
      <c r="H6" s="26"/>
      <c r="P6" s="28" t="s">
        <v>92</v>
      </c>
      <c r="Q6" s="28">
        <v>5.13E-5</v>
      </c>
    </row>
    <row r="7" spans="1:17">
      <c r="A7" s="32" t="s">
        <v>24</v>
      </c>
      <c r="B7" s="32">
        <v>18.309999999999999</v>
      </c>
      <c r="C7" s="32">
        <v>27.98</v>
      </c>
      <c r="D7" s="32">
        <f t="shared" si="0"/>
        <v>1.2275521235564719E-3</v>
      </c>
      <c r="E7" s="26"/>
      <c r="F7" s="26">
        <f>D7/E3</f>
        <v>0.81721384135044961</v>
      </c>
      <c r="G7" s="26">
        <f>AVERAGE(F7:F10)</f>
        <v>1.0320621782071715</v>
      </c>
      <c r="H7" s="26">
        <f>STDEV(F7:F10)/SQRT(COUNT(F7:F10))</f>
        <v>9.6653384849816573E-2</v>
      </c>
      <c r="P7" s="28" t="s">
        <v>93</v>
      </c>
      <c r="Q7" s="28">
        <v>1</v>
      </c>
    </row>
    <row r="8" spans="1:17">
      <c r="A8" s="32"/>
      <c r="B8" s="32">
        <v>18.600000000000001</v>
      </c>
      <c r="C8" s="32">
        <v>27.65</v>
      </c>
      <c r="D8" s="32">
        <f t="shared" si="0"/>
        <v>1.8865943924313432E-3</v>
      </c>
      <c r="E8" s="26"/>
      <c r="F8" s="26">
        <f>D8/E3</f>
        <v>1.2559556705765491</v>
      </c>
      <c r="G8" s="26"/>
      <c r="H8" s="26"/>
      <c r="P8" s="28" t="s">
        <v>94</v>
      </c>
      <c r="Q8" s="28">
        <v>0.95456680000000005</v>
      </c>
    </row>
    <row r="9" spans="1:17">
      <c r="A9" s="32"/>
      <c r="B9" s="32">
        <v>18.93</v>
      </c>
      <c r="C9" s="32">
        <v>28.4</v>
      </c>
      <c r="D9" s="32">
        <f t="shared" si="0"/>
        <v>1.4100871050024388E-3</v>
      </c>
      <c r="E9" s="26"/>
      <c r="F9" s="26">
        <f>D9/E3</f>
        <v>0.93873219524007101</v>
      </c>
      <c r="G9" s="26"/>
      <c r="H9" s="26"/>
      <c r="P9" s="28" t="s">
        <v>95</v>
      </c>
      <c r="Q9" s="28">
        <v>2.1699999999999999E-5</v>
      </c>
    </row>
    <row r="10" spans="1:17">
      <c r="A10" s="32"/>
      <c r="B10" s="32">
        <v>18.510000000000002</v>
      </c>
      <c r="C10" s="32">
        <v>27.73</v>
      </c>
      <c r="D10" s="32">
        <f t="shared" si="0"/>
        <v>1.6768856180424902E-3</v>
      </c>
      <c r="E10" s="26"/>
      <c r="F10" s="26">
        <f>D10/E3</f>
        <v>1.1163470056616165</v>
      </c>
      <c r="G10" s="26"/>
      <c r="H10" s="26"/>
      <c r="P10" s="28" t="s">
        <v>96</v>
      </c>
      <c r="Q10" s="28">
        <v>0.95497620000000005</v>
      </c>
    </row>
    <row r="11" spans="1:17">
      <c r="A11" s="32" t="s">
        <v>25</v>
      </c>
      <c r="B11" s="32">
        <v>18</v>
      </c>
      <c r="C11" s="32">
        <v>21.83</v>
      </c>
      <c r="D11" s="32">
        <f t="shared" si="0"/>
        <v>7.0316155293050658E-2</v>
      </c>
      <c r="E11" s="26"/>
      <c r="F11" s="26">
        <f>D11/$E3</f>
        <v>46.811320084352531</v>
      </c>
      <c r="G11" s="26">
        <f>AVERAGE(F11:F14)</f>
        <v>54.110087652866611</v>
      </c>
      <c r="H11" s="26">
        <f>STDEV(F11:F14)/SQRT(COUNT(F11:F14))</f>
        <v>8.2686750648074661</v>
      </c>
      <c r="P11" s="28" t="s">
        <v>97</v>
      </c>
      <c r="Q11" s="28">
        <v>2.1800000000000001E-5</v>
      </c>
    </row>
    <row r="12" spans="1:17">
      <c r="A12" s="32"/>
      <c r="B12" s="32">
        <v>17.78</v>
      </c>
      <c r="C12" s="32">
        <v>20.98</v>
      </c>
      <c r="D12" s="32">
        <f t="shared" si="0"/>
        <v>0.1088188204120156</v>
      </c>
      <c r="E12" s="26"/>
      <c r="F12" s="26">
        <f>D12/E3</f>
        <v>72.443560264051754</v>
      </c>
      <c r="G12" s="26"/>
      <c r="H12" s="26"/>
      <c r="P12" s="28" t="s">
        <v>98</v>
      </c>
      <c r="Q12" s="28">
        <v>6.3E-5</v>
      </c>
    </row>
    <row r="13" spans="1:17">
      <c r="A13" s="32"/>
      <c r="B13" s="32">
        <v>17.989999999999998</v>
      </c>
      <c r="C13" s="32">
        <v>22.24</v>
      </c>
      <c r="D13" s="32">
        <f t="shared" si="0"/>
        <v>5.2556025953357163E-2</v>
      </c>
      <c r="E13" s="26"/>
      <c r="F13" s="26">
        <f>D13/$E3</f>
        <v>34.987933327851962</v>
      </c>
      <c r="G13" s="26"/>
      <c r="H13" s="26"/>
    </row>
    <row r="14" spans="1:17">
      <c r="A14" s="32"/>
      <c r="B14" s="32">
        <v>17.79</v>
      </c>
      <c r="C14" s="32">
        <v>21.21</v>
      </c>
      <c r="D14" s="32">
        <f t="shared" si="0"/>
        <v>9.3428078039683532E-2</v>
      </c>
      <c r="E14" s="26"/>
      <c r="F14" s="26">
        <f>D14/$E3</f>
        <v>62.197536935210188</v>
      </c>
      <c r="G14" s="26"/>
      <c r="H14" s="26"/>
    </row>
    <row r="15" spans="1:17">
      <c r="A15" s="32" t="s">
        <v>144</v>
      </c>
      <c r="B15" s="32">
        <v>18.8</v>
      </c>
      <c r="C15" s="32">
        <v>28.5</v>
      </c>
      <c r="D15" s="32">
        <f t="shared" si="0"/>
        <v>1.2022894661571459E-3</v>
      </c>
      <c r="E15" s="26"/>
      <c r="F15" s="26">
        <f>D15/$E3</f>
        <v>0.80039582368761442</v>
      </c>
      <c r="G15" s="26">
        <f>AVERAGE(F15:F18)</f>
        <v>1.1703946875583342</v>
      </c>
      <c r="H15" s="26">
        <f>STDEV(F15:F18)/SQRT(COUNT(F15:F18))</f>
        <v>0.33190493888917599</v>
      </c>
    </row>
    <row r="16" spans="1:17">
      <c r="A16" s="32"/>
      <c r="B16" s="32">
        <v>19.45</v>
      </c>
      <c r="C16" s="32">
        <v>28.17</v>
      </c>
      <c r="D16" s="32">
        <f t="shared" si="0"/>
        <v>2.3714743835840726E-3</v>
      </c>
      <c r="E16" s="26"/>
      <c r="F16" s="26">
        <f>D16/$E3</f>
        <v>1.578753075721248</v>
      </c>
      <c r="G16" s="26"/>
      <c r="H16" s="26"/>
    </row>
    <row r="17" spans="1:8">
      <c r="A17" s="32"/>
      <c r="B17" s="32">
        <v>19.23</v>
      </c>
      <c r="C17" s="32">
        <v>27.71</v>
      </c>
      <c r="D17" s="32">
        <f t="shared" si="0"/>
        <v>2.8006938437809123E-3</v>
      </c>
      <c r="E17" s="26"/>
      <c r="F17" s="26">
        <f>D17/$E3</f>
        <v>1.8644957966360958</v>
      </c>
      <c r="G17" s="26"/>
      <c r="H17" s="26"/>
    </row>
    <row r="18" spans="1:8">
      <c r="A18" s="32"/>
      <c r="B18" s="32">
        <v>18.89</v>
      </c>
      <c r="C18" s="32">
        <v>29.46</v>
      </c>
      <c r="D18" s="32">
        <f t="shared" si="0"/>
        <v>6.578288949539502E-4</v>
      </c>
      <c r="E18" s="26"/>
      <c r="F18" s="26">
        <f>D18/$E3</f>
        <v>0.43793405418837844</v>
      </c>
      <c r="G18" s="26"/>
      <c r="H18" s="26"/>
    </row>
    <row r="19" spans="1:8">
      <c r="A19" s="32" t="s">
        <v>27</v>
      </c>
      <c r="B19" s="32">
        <v>18.12</v>
      </c>
      <c r="C19" s="32">
        <v>18.32</v>
      </c>
      <c r="D19" s="32">
        <f t="shared" si="0"/>
        <v>0.87055056329612457</v>
      </c>
      <c r="E19" s="26"/>
      <c r="F19" s="26">
        <f>D19/$E3</f>
        <v>579.54848211241392</v>
      </c>
      <c r="G19" s="26">
        <f>AVERAGE(F19:F22)</f>
        <v>580.73318283540596</v>
      </c>
      <c r="H19" s="26">
        <f>STDEV(F19:F22)/SQRT(COUNT(F19:F22))</f>
        <v>116.58709414026279</v>
      </c>
    </row>
    <row r="20" spans="1:8">
      <c r="A20" s="32"/>
      <c r="B20" s="32">
        <v>18.309999999999999</v>
      </c>
      <c r="C20" s="32">
        <v>18.079999999999998</v>
      </c>
      <c r="D20" s="32">
        <f t="shared" si="0"/>
        <v>1.1728349492318793</v>
      </c>
      <c r="E20" s="26"/>
      <c r="F20" s="26">
        <f>D20/$E3</f>
        <v>780.78717452338879</v>
      </c>
      <c r="G20" s="26"/>
      <c r="H20" s="26"/>
    </row>
    <row r="21" spans="1:8">
      <c r="A21" s="32"/>
      <c r="B21" s="32">
        <v>18.36</v>
      </c>
      <c r="C21" s="32">
        <v>18.27</v>
      </c>
      <c r="D21" s="32">
        <f t="shared" si="0"/>
        <v>1.0643701824533598</v>
      </c>
      <c r="E21" s="26"/>
      <c r="F21" s="26">
        <f>D21/$E3</f>
        <v>708.57931710593812</v>
      </c>
      <c r="G21" s="26"/>
      <c r="H21" s="26"/>
    </row>
    <row r="22" spans="1:8">
      <c r="A22" s="32"/>
      <c r="B22" s="32">
        <v>17.7</v>
      </c>
      <c r="C22" s="32">
        <v>19.09</v>
      </c>
      <c r="D22" s="32">
        <f t="shared" si="0"/>
        <v>0.38156480224013961</v>
      </c>
      <c r="E22" s="26"/>
      <c r="F22" s="26">
        <f>D22/$E3</f>
        <v>254.01775759988269</v>
      </c>
      <c r="G22" s="26"/>
      <c r="H22" s="26"/>
    </row>
  </sheetData>
  <mergeCells count="2">
    <mergeCell ref="B1:C1"/>
    <mergeCell ref="P1:Q1"/>
  </mergeCells>
  <phoneticPr fontId="9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workbookViewId="0">
      <selection activeCell="E6" sqref="E6"/>
    </sheetView>
  </sheetViews>
  <sheetFormatPr defaultRowHeight="15.9"/>
  <cols>
    <col min="16" max="16" width="16.640625" customWidth="1"/>
  </cols>
  <sheetData>
    <row r="1" spans="1:17">
      <c r="B1" s="33" t="s">
        <v>65</v>
      </c>
      <c r="C1" s="33"/>
      <c r="P1" s="33" t="s">
        <v>48</v>
      </c>
      <c r="Q1" s="33"/>
    </row>
    <row r="2" spans="1:17">
      <c r="B2" s="15" t="s">
        <v>64</v>
      </c>
      <c r="C2" s="13" t="s">
        <v>22</v>
      </c>
      <c r="D2" s="16" t="s">
        <v>66</v>
      </c>
      <c r="E2" s="16" t="s">
        <v>67</v>
      </c>
      <c r="F2" s="16" t="s">
        <v>68</v>
      </c>
      <c r="G2" s="16" t="s">
        <v>69</v>
      </c>
      <c r="H2" s="16" t="s">
        <v>70</v>
      </c>
      <c r="J2" s="17" t="s">
        <v>23</v>
      </c>
      <c r="K2" s="17" t="s">
        <v>71</v>
      </c>
      <c r="L2" s="17" t="s">
        <v>72</v>
      </c>
      <c r="M2" s="17" t="s">
        <v>73</v>
      </c>
      <c r="N2" s="17" t="s">
        <v>74</v>
      </c>
      <c r="P2" t="s">
        <v>49</v>
      </c>
      <c r="Q2" t="s">
        <v>50</v>
      </c>
    </row>
    <row r="3" spans="1:17">
      <c r="A3" s="13" t="s">
        <v>23</v>
      </c>
      <c r="B3" s="13">
        <v>18.510000000000002</v>
      </c>
      <c r="C3" s="13">
        <v>25.01</v>
      </c>
      <c r="D3" s="13">
        <f>POWER(2, B3-C3)</f>
        <v>1.1048543456039808E-2</v>
      </c>
      <c r="E3" s="16">
        <f>AVERAGE(D3:D6)</f>
        <v>1.2206240305652125E-2</v>
      </c>
      <c r="F3" s="16">
        <f>D3/E3</f>
        <v>0.90515532869885873</v>
      </c>
      <c r="G3" s="16">
        <f>AVERAGE(F3:F6)</f>
        <v>0.99999999999999978</v>
      </c>
      <c r="H3" s="16">
        <f>STDEV(F3:F6)/SQRT(COUNT(F3:F6))</f>
        <v>0.14803138197779062</v>
      </c>
      <c r="J3">
        <f>G3</f>
        <v>0.99999999999999978</v>
      </c>
      <c r="K3">
        <f>G7</f>
        <v>0.88854640022257936</v>
      </c>
      <c r="L3">
        <f>G11</f>
        <v>0.67113041161637965</v>
      </c>
      <c r="M3">
        <f>G15</f>
        <v>1.0622920327866323</v>
      </c>
      <c r="N3">
        <f>G19</f>
        <v>0.70127985876983778</v>
      </c>
      <c r="P3" t="s">
        <v>89</v>
      </c>
      <c r="Q3">
        <v>0.85351069999999996</v>
      </c>
    </row>
    <row r="4" spans="1:17">
      <c r="A4" s="13"/>
      <c r="B4" s="13">
        <v>18.510000000000002</v>
      </c>
      <c r="C4" s="13">
        <v>25.17</v>
      </c>
      <c r="D4" s="13">
        <f t="shared" ref="D4:D22" si="0">POWER(2, B4-C4)</f>
        <v>9.8887233903928173E-3</v>
      </c>
      <c r="E4" s="16"/>
      <c r="F4" s="16">
        <f>D4/E3</f>
        <v>0.81013671226952855</v>
      </c>
      <c r="G4" s="16"/>
      <c r="H4" s="16"/>
      <c r="J4">
        <f>H3</f>
        <v>0.14803138197779062</v>
      </c>
      <c r="K4">
        <f>H7</f>
        <v>1.6789752658332942E-2</v>
      </c>
      <c r="L4">
        <f>H11</f>
        <v>6.1513628733598696E-2</v>
      </c>
      <c r="M4">
        <f>H15</f>
        <v>0.11321521582619261</v>
      </c>
      <c r="N4">
        <f>H19</f>
        <v>5.9961926414558414E-2</v>
      </c>
      <c r="P4" t="s">
        <v>90</v>
      </c>
      <c r="Q4">
        <v>0.99947900000000001</v>
      </c>
    </row>
    <row r="5" spans="1:17">
      <c r="A5" s="13"/>
      <c r="B5" s="13">
        <v>18.8</v>
      </c>
      <c r="C5" s="13">
        <v>25.4</v>
      </c>
      <c r="D5" s="13">
        <f t="shared" si="0"/>
        <v>1.030865555291325E-2</v>
      </c>
      <c r="E5" s="16"/>
      <c r="F5" s="16">
        <f>D5/E3</f>
        <v>0.84453978414137931</v>
      </c>
      <c r="G5" s="16"/>
      <c r="H5" s="16"/>
      <c r="P5" t="s">
        <v>91</v>
      </c>
      <c r="Q5">
        <v>0.14492379999999999</v>
      </c>
    </row>
    <row r="6" spans="1:17">
      <c r="A6" s="13"/>
      <c r="B6" s="13">
        <v>19.54</v>
      </c>
      <c r="C6" s="13">
        <v>25.37</v>
      </c>
      <c r="D6" s="13">
        <f t="shared" si="0"/>
        <v>1.7579038823262623E-2</v>
      </c>
      <c r="E6" s="16"/>
      <c r="F6" s="16">
        <f>D6/E3</f>
        <v>1.4401681748902331</v>
      </c>
      <c r="G6" s="16"/>
      <c r="H6" s="16"/>
      <c r="P6" t="s">
        <v>92</v>
      </c>
      <c r="Q6">
        <v>0.2030325</v>
      </c>
    </row>
    <row r="7" spans="1:17">
      <c r="A7" s="13" t="s">
        <v>24</v>
      </c>
      <c r="B7" s="13">
        <v>18.309999999999999</v>
      </c>
      <c r="C7" s="13">
        <v>24.91</v>
      </c>
      <c r="D7" s="13">
        <f t="shared" si="0"/>
        <v>1.0308655552913231E-2</v>
      </c>
      <c r="E7" s="16"/>
      <c r="F7" s="16">
        <f>D7/E3</f>
        <v>0.84453978414137776</v>
      </c>
      <c r="G7" s="16">
        <f>AVERAGE(F7:F10)</f>
        <v>0.88854640022257936</v>
      </c>
      <c r="H7" s="16">
        <f>STDEV(F7:F10)/SQRT(COUNT(F7:F10))</f>
        <v>1.6789752658332942E-2</v>
      </c>
      <c r="P7" t="s">
        <v>93</v>
      </c>
      <c r="Q7">
        <v>0.69296360000000001</v>
      </c>
    </row>
    <row r="8" spans="1:17">
      <c r="A8" s="13"/>
      <c r="B8" s="13">
        <v>18.600000000000001</v>
      </c>
      <c r="C8" s="13">
        <v>25.09</v>
      </c>
      <c r="D8" s="13">
        <f t="shared" si="0"/>
        <v>1.112539215310214E-2</v>
      </c>
      <c r="E8" s="16"/>
      <c r="F8" s="16">
        <f>D8/E3</f>
        <v>0.91145118189673058</v>
      </c>
      <c r="G8" s="16"/>
      <c r="H8" s="16"/>
      <c r="P8" t="s">
        <v>94</v>
      </c>
      <c r="Q8">
        <v>0.5023166</v>
      </c>
    </row>
    <row r="9" spans="1:17">
      <c r="A9" s="13"/>
      <c r="B9" s="13">
        <v>18.93</v>
      </c>
      <c r="C9" s="13">
        <v>25.47</v>
      </c>
      <c r="D9" s="13">
        <f t="shared" si="0"/>
        <v>1.0746420454216759E-2</v>
      </c>
      <c r="E9" s="16"/>
      <c r="F9" s="16">
        <f>D9/E3</f>
        <v>0.88040380863553924</v>
      </c>
      <c r="G9" s="16"/>
      <c r="H9" s="16"/>
      <c r="P9" t="s">
        <v>95</v>
      </c>
      <c r="Q9">
        <v>0.63396330000000001</v>
      </c>
    </row>
    <row r="10" spans="1:17">
      <c r="A10" s="13"/>
      <c r="B10" s="13">
        <v>18.510000000000002</v>
      </c>
      <c r="C10" s="13">
        <v>24.99</v>
      </c>
      <c r="D10" s="13">
        <f t="shared" si="0"/>
        <v>1.120277537512368E-2</v>
      </c>
      <c r="E10" s="16"/>
      <c r="F10" s="16">
        <f>D10/E3</f>
        <v>0.91779082621666985</v>
      </c>
      <c r="G10" s="16"/>
      <c r="H10" s="16"/>
      <c r="P10" t="s">
        <v>96</v>
      </c>
      <c r="Q10">
        <v>6.8988599999999997E-2</v>
      </c>
    </row>
    <row r="11" spans="1:17">
      <c r="A11" s="13" t="s">
        <v>25</v>
      </c>
      <c r="B11" s="13">
        <v>18</v>
      </c>
      <c r="C11" s="13">
        <v>24.76</v>
      </c>
      <c r="D11" s="13">
        <f t="shared" si="0"/>
        <v>9.2265051674181951E-3</v>
      </c>
      <c r="E11" s="16"/>
      <c r="F11" s="16">
        <f>D11/$E3</f>
        <v>0.75588428020263065</v>
      </c>
      <c r="G11" s="16">
        <f>AVERAGE(F11:F14)</f>
        <v>0.67113041161637965</v>
      </c>
      <c r="H11" s="16">
        <f>STDEV(F11:F14)/SQRT(COUNT(F11:F14))</f>
        <v>6.1513628733598696E-2</v>
      </c>
      <c r="P11" t="s">
        <v>97</v>
      </c>
      <c r="Q11">
        <v>0.10257189999999999</v>
      </c>
    </row>
    <row r="12" spans="1:17">
      <c r="A12" s="13"/>
      <c r="B12" s="13">
        <v>17.78</v>
      </c>
      <c r="C12" s="13">
        <v>24.62</v>
      </c>
      <c r="D12" s="13">
        <f t="shared" si="0"/>
        <v>8.7288057661892189E-3</v>
      </c>
      <c r="E12" s="16"/>
      <c r="F12" s="16">
        <f>D12/E3</f>
        <v>0.71511010332537261</v>
      </c>
      <c r="G12" s="16"/>
      <c r="H12" s="16"/>
      <c r="P12" t="s">
        <v>98</v>
      </c>
      <c r="Q12">
        <v>0.99934069999999997</v>
      </c>
    </row>
    <row r="13" spans="1:17">
      <c r="A13" s="13"/>
      <c r="B13" s="13">
        <v>17.989999999999998</v>
      </c>
      <c r="C13" s="13">
        <v>24.81</v>
      </c>
      <c r="D13" s="13">
        <f t="shared" si="0"/>
        <v>8.8506553538734243E-3</v>
      </c>
      <c r="E13" s="16"/>
      <c r="F13" s="16">
        <f>D13/$E3</f>
        <v>0.72509266836038855</v>
      </c>
      <c r="G13" s="16"/>
      <c r="H13" s="16"/>
    </row>
    <row r="14" spans="1:17">
      <c r="A14" s="13"/>
      <c r="B14" s="13">
        <v>17.79</v>
      </c>
      <c r="C14" s="13">
        <v>25.18</v>
      </c>
      <c r="D14" s="13">
        <f t="shared" si="0"/>
        <v>5.9619500350021814E-3</v>
      </c>
      <c r="E14" s="16"/>
      <c r="F14" s="16">
        <f>D14/$E3</f>
        <v>0.4884345945771269</v>
      </c>
      <c r="G14" s="16"/>
      <c r="H14" s="16"/>
    </row>
    <row r="15" spans="1:17">
      <c r="A15" s="13" t="s">
        <v>26</v>
      </c>
      <c r="B15" s="13">
        <v>18.8</v>
      </c>
      <c r="C15" s="13">
        <v>25.49</v>
      </c>
      <c r="D15" s="13">
        <f t="shared" si="0"/>
        <v>9.6852164057733472E-3</v>
      </c>
      <c r="E15" s="16"/>
      <c r="F15" s="16">
        <f>D15/$E3</f>
        <v>0.79346433981711695</v>
      </c>
      <c r="G15" s="16">
        <f>AVERAGE(F15:F18)</f>
        <v>1.0622920327866323</v>
      </c>
      <c r="H15" s="16">
        <f>STDEV(F15:F18)/SQRT(COUNT(F15:F18))</f>
        <v>0.11321521582619261</v>
      </c>
    </row>
    <row r="16" spans="1:17">
      <c r="A16" s="13"/>
      <c r="B16" s="13">
        <v>19.45</v>
      </c>
      <c r="C16" s="13">
        <v>25.47</v>
      </c>
      <c r="D16" s="13">
        <f t="shared" si="0"/>
        <v>1.5409886007708748E-2</v>
      </c>
      <c r="E16" s="16"/>
      <c r="F16" s="16">
        <f>D16/$E3</f>
        <v>1.2624596617660533</v>
      </c>
      <c r="G16" s="16"/>
      <c r="H16" s="16"/>
    </row>
    <row r="17" spans="1:8">
      <c r="A17" s="13"/>
      <c r="B17" s="13">
        <v>19.23</v>
      </c>
      <c r="C17" s="13">
        <v>25.28</v>
      </c>
      <c r="D17" s="13">
        <f t="shared" si="0"/>
        <v>1.5092755139450711E-2</v>
      </c>
      <c r="E17" s="16"/>
      <c r="F17" s="16">
        <f>D17/$E3</f>
        <v>1.2364786176183979</v>
      </c>
      <c r="G17" s="16"/>
      <c r="H17" s="16"/>
    </row>
    <row r="18" spans="1:8">
      <c r="A18" s="13"/>
      <c r="B18" s="13">
        <v>18.89</v>
      </c>
      <c r="C18" s="13">
        <v>25.31</v>
      </c>
      <c r="D18" s="13">
        <f t="shared" si="0"/>
        <v>1.1678509754960474E-2</v>
      </c>
      <c r="E18" s="16"/>
      <c r="F18" s="16">
        <f>D18/$E3</f>
        <v>0.95676551194496118</v>
      </c>
      <c r="G18" s="16"/>
      <c r="H18" s="16"/>
    </row>
    <row r="19" spans="1:8">
      <c r="A19" s="13" t="s">
        <v>27</v>
      </c>
      <c r="B19" s="13">
        <v>18.12</v>
      </c>
      <c r="C19" s="13">
        <v>25.36</v>
      </c>
      <c r="D19" s="13">
        <f t="shared" si="0"/>
        <v>6.6151977528322503E-3</v>
      </c>
      <c r="E19" s="16"/>
      <c r="F19" s="16">
        <f>D19/$E3</f>
        <v>0.5419521152446154</v>
      </c>
      <c r="G19" s="16">
        <f>AVERAGE(F19:F22)</f>
        <v>0.70127985876983778</v>
      </c>
      <c r="H19" s="16">
        <f>STDEV(F19:F22)/SQRT(COUNT(F19:F22))</f>
        <v>5.9961926414558414E-2</v>
      </c>
    </row>
    <row r="20" spans="1:8">
      <c r="A20" s="13"/>
      <c r="B20" s="13">
        <v>18.309999999999999</v>
      </c>
      <c r="C20" s="13">
        <v>25.14</v>
      </c>
      <c r="D20" s="13">
        <f t="shared" si="0"/>
        <v>8.7895194116313115E-3</v>
      </c>
      <c r="E20" s="16"/>
      <c r="F20" s="16">
        <f>D20/$E3</f>
        <v>0.72008408744511654</v>
      </c>
      <c r="G20" s="16"/>
      <c r="H20" s="16"/>
    </row>
    <row r="21" spans="1:8">
      <c r="A21" s="13"/>
      <c r="B21" s="13">
        <v>18.36</v>
      </c>
      <c r="C21" s="13">
        <v>25.21</v>
      </c>
      <c r="D21" s="13">
        <f t="shared" si="0"/>
        <v>8.6685115005300292E-3</v>
      </c>
      <c r="E21" s="16"/>
      <c r="F21" s="16">
        <f>D21/$E3</f>
        <v>0.71017047702363001</v>
      </c>
      <c r="G21" s="16"/>
      <c r="H21" s="16"/>
    </row>
    <row r="22" spans="1:8">
      <c r="A22" s="13"/>
      <c r="B22" s="13">
        <v>17.7</v>
      </c>
      <c r="C22" s="13">
        <v>24.32</v>
      </c>
      <c r="D22" s="13">
        <f t="shared" si="0"/>
        <v>1.0166733245640104E-2</v>
      </c>
      <c r="E22" s="16"/>
      <c r="F22" s="16">
        <f>D22/$E3</f>
        <v>0.83291275536598908</v>
      </c>
      <c r="G22" s="16"/>
      <c r="H22" s="16"/>
    </row>
  </sheetData>
  <mergeCells count="2">
    <mergeCell ref="B1:C1"/>
    <mergeCell ref="P1:Q1"/>
  </mergeCells>
  <phoneticPr fontId="9"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Q22"/>
  <sheetViews>
    <sheetView tabSelected="1" topLeftCell="A4" workbookViewId="0">
      <selection activeCell="F26" sqref="F26"/>
    </sheetView>
  </sheetViews>
  <sheetFormatPr defaultColWidth="8.85546875" defaultRowHeight="15.9"/>
  <cols>
    <col min="1" max="15" width="8.85546875" style="28"/>
    <col min="16" max="16" width="16.85546875" style="28" customWidth="1"/>
    <col min="17" max="16384" width="8.85546875" style="28"/>
  </cols>
  <sheetData>
    <row r="1" spans="1:17">
      <c r="B1" s="35" t="s">
        <v>145</v>
      </c>
      <c r="C1" s="35"/>
      <c r="P1" s="35" t="s">
        <v>48</v>
      </c>
      <c r="Q1" s="35"/>
    </row>
    <row r="2" spans="1:17">
      <c r="B2" s="31" t="s">
        <v>64</v>
      </c>
      <c r="C2" s="32" t="s">
        <v>146</v>
      </c>
      <c r="D2" s="26" t="s">
        <v>66</v>
      </c>
      <c r="E2" s="26" t="s">
        <v>67</v>
      </c>
      <c r="F2" s="26" t="s">
        <v>147</v>
      </c>
      <c r="G2" s="26" t="s">
        <v>69</v>
      </c>
      <c r="H2" s="26" t="s">
        <v>70</v>
      </c>
      <c r="J2" s="26" t="s">
        <v>23</v>
      </c>
      <c r="K2" s="26" t="s">
        <v>71</v>
      </c>
      <c r="L2" s="26" t="s">
        <v>72</v>
      </c>
      <c r="M2" s="26" t="s">
        <v>73</v>
      </c>
      <c r="N2" s="26" t="s">
        <v>74</v>
      </c>
      <c r="P2" s="28" t="s">
        <v>49</v>
      </c>
      <c r="Q2" s="28" t="s">
        <v>50</v>
      </c>
    </row>
    <row r="3" spans="1:17">
      <c r="A3" s="32" t="s">
        <v>23</v>
      </c>
      <c r="B3" s="32">
        <v>18.510000000000002</v>
      </c>
      <c r="C3" s="32">
        <v>31.55</v>
      </c>
      <c r="D3" s="32">
        <f t="shared" ref="D3:D22" si="0">POWER(2, B3-C3)</f>
        <v>1.1873229338528891E-4</v>
      </c>
      <c r="E3" s="26">
        <f>AVERAGE(D3:D6)</f>
        <v>1.6571851449620104E-4</v>
      </c>
      <c r="F3" s="26">
        <f>D3/E3</f>
        <v>0.71646969408484984</v>
      </c>
      <c r="G3" s="26">
        <f>AVERAGE(F3:F6)</f>
        <v>0.99999999999999989</v>
      </c>
      <c r="H3" s="26">
        <f>STDEV(F3:F6)/SQRT(COUNT(F3:F6))</f>
        <v>0.51633517392246742</v>
      </c>
      <c r="J3" s="28">
        <f>G3</f>
        <v>0.99999999999999989</v>
      </c>
      <c r="K3" s="28">
        <f>G7</f>
        <v>1.1678268884916709</v>
      </c>
      <c r="L3" s="28">
        <f>G11</f>
        <v>1508.8591172868937</v>
      </c>
      <c r="M3" s="28">
        <f>G15</f>
        <v>0.37607223655533267</v>
      </c>
      <c r="N3" s="28">
        <f>G19</f>
        <v>1708.6571691843349</v>
      </c>
      <c r="P3" s="28" t="s">
        <v>89</v>
      </c>
      <c r="Q3" s="28">
        <v>1</v>
      </c>
    </row>
    <row r="4" spans="1:17">
      <c r="A4" s="32"/>
      <c r="B4" s="32">
        <v>18.510000000000002</v>
      </c>
      <c r="C4" s="32">
        <v>29.74</v>
      </c>
      <c r="D4" s="32">
        <f t="shared" si="0"/>
        <v>4.1632563074607369E-4</v>
      </c>
      <c r="E4" s="26"/>
      <c r="F4" s="26">
        <f>D4/E3</f>
        <v>2.5122457319373184</v>
      </c>
      <c r="G4" s="26"/>
      <c r="H4" s="26"/>
      <c r="J4" s="28">
        <f>H3</f>
        <v>0.51633517392246742</v>
      </c>
      <c r="K4" s="28">
        <f>H7</f>
        <v>0.70571273624551445</v>
      </c>
      <c r="L4" s="28">
        <f>H11</f>
        <v>52.989927753585128</v>
      </c>
      <c r="M4" s="28">
        <f>H15</f>
        <v>4.5425336364015807E-2</v>
      </c>
      <c r="N4" s="28">
        <f>H19</f>
        <v>230.51001202856077</v>
      </c>
      <c r="P4" s="28" t="s">
        <v>90</v>
      </c>
      <c r="Q4" s="28">
        <v>1</v>
      </c>
    </row>
    <row r="5" spans="1:17">
      <c r="A5" s="32"/>
      <c r="B5" s="32">
        <v>18.8</v>
      </c>
      <c r="C5" s="32">
        <v>33.76</v>
      </c>
      <c r="D5" s="32">
        <f t="shared" si="0"/>
        <v>3.1375544026369266E-5</v>
      </c>
      <c r="E5" s="26"/>
      <c r="F5" s="26">
        <f>D5/E3</f>
        <v>0.18933034804079493</v>
      </c>
      <c r="G5" s="26"/>
      <c r="H5" s="26"/>
      <c r="P5" s="28" t="s">
        <v>91</v>
      </c>
      <c r="Q5" s="28">
        <v>2.9000000000000002E-6</v>
      </c>
    </row>
    <row r="6" spans="1:17">
      <c r="A6" s="32"/>
      <c r="B6" s="32">
        <v>19.54</v>
      </c>
      <c r="C6" s="32">
        <v>32.880000000000003</v>
      </c>
      <c r="D6" s="32">
        <f t="shared" si="0"/>
        <v>9.6440589827072266E-5</v>
      </c>
      <c r="E6" s="26"/>
      <c r="F6" s="26">
        <f>D6/E3</f>
        <v>0.58195422593703661</v>
      </c>
      <c r="G6" s="26"/>
      <c r="H6" s="26"/>
      <c r="P6" s="28" t="s">
        <v>92</v>
      </c>
      <c r="Q6" s="28">
        <v>5.9999999999999997E-7</v>
      </c>
    </row>
    <row r="7" spans="1:17">
      <c r="A7" s="32" t="s">
        <v>148</v>
      </c>
      <c r="B7" s="32">
        <v>18.309999999999999</v>
      </c>
      <c r="C7" s="32">
        <v>31.39</v>
      </c>
      <c r="D7" s="32">
        <f t="shared" si="0"/>
        <v>1.1548555257880792E-4</v>
      </c>
      <c r="E7" s="26"/>
      <c r="F7" s="26">
        <f>D7/E3</f>
        <v>0.69687779262259397</v>
      </c>
      <c r="G7" s="26">
        <f>AVERAGE(F7:F10)</f>
        <v>1.1678268884916709</v>
      </c>
      <c r="H7" s="26">
        <f>STDEV(F7:F10)/SQRT(COUNT(F7:F10))</f>
        <v>0.70571273624551445</v>
      </c>
      <c r="P7" s="28" t="s">
        <v>93</v>
      </c>
      <c r="Q7" s="28">
        <v>1</v>
      </c>
    </row>
    <row r="8" spans="1:17">
      <c r="A8" s="32"/>
      <c r="B8" s="32">
        <v>18.600000000000001</v>
      </c>
      <c r="C8" s="32">
        <v>29.45</v>
      </c>
      <c r="D8" s="32">
        <f t="shared" si="0"/>
        <v>5.4178196878312856E-4</v>
      </c>
      <c r="E8" s="26"/>
      <c r="F8" s="26">
        <f>D8/E3</f>
        <v>3.2692905221253867</v>
      </c>
      <c r="G8" s="26"/>
      <c r="H8" s="26"/>
      <c r="P8" s="28" t="s">
        <v>94</v>
      </c>
      <c r="Q8" s="28">
        <v>1.1000000000000001E-6</v>
      </c>
    </row>
    <row r="9" spans="1:17">
      <c r="A9" s="32"/>
      <c r="B9" s="32">
        <v>18.93</v>
      </c>
      <c r="C9" s="32">
        <v>32.74</v>
      </c>
      <c r="D9" s="32">
        <f t="shared" si="0"/>
        <v>6.96266916423598E-5</v>
      </c>
      <c r="E9" s="26"/>
      <c r="F9" s="26">
        <f>D9/E3</f>
        <v>0.42015034864409151</v>
      </c>
      <c r="G9" s="26"/>
      <c r="H9" s="26"/>
      <c r="P9" s="28" t="s">
        <v>95</v>
      </c>
      <c r="Q9" s="28">
        <v>1.9999999999999999E-7</v>
      </c>
    </row>
    <row r="10" spans="1:17">
      <c r="A10" s="32"/>
      <c r="B10" s="32">
        <v>18.510000000000002</v>
      </c>
      <c r="C10" s="32">
        <v>32.880000000000003</v>
      </c>
      <c r="D10" s="32">
        <f t="shared" si="0"/>
        <v>4.722793559394503E-5</v>
      </c>
      <c r="E10" s="26"/>
      <c r="F10" s="26">
        <f>D10/E3</f>
        <v>0.28498889057461163</v>
      </c>
      <c r="G10" s="26"/>
      <c r="H10" s="26"/>
      <c r="P10" s="28" t="s">
        <v>96</v>
      </c>
      <c r="Q10" s="28">
        <v>1.1000000000000001E-6</v>
      </c>
    </row>
    <row r="11" spans="1:17">
      <c r="A11" s="32" t="s">
        <v>149</v>
      </c>
      <c r="B11" s="32">
        <v>18</v>
      </c>
      <c r="C11" s="32">
        <v>20</v>
      </c>
      <c r="D11" s="32">
        <f t="shared" si="0"/>
        <v>0.25</v>
      </c>
      <c r="E11" s="26"/>
      <c r="F11" s="26">
        <f>D11/$E3</f>
        <v>1508.5821928830471</v>
      </c>
      <c r="G11" s="26">
        <f>AVERAGE(F11:F14)</f>
        <v>1508.8591172868937</v>
      </c>
      <c r="H11" s="26">
        <f>STDEV(F11:F14)/SQRT(COUNT(F11:F14))</f>
        <v>52.989927753585128</v>
      </c>
      <c r="P11" s="28" t="s">
        <v>97</v>
      </c>
      <c r="Q11" s="28">
        <v>1.9999999999999999E-7</v>
      </c>
    </row>
    <row r="12" spans="1:17">
      <c r="A12" s="32"/>
      <c r="B12" s="32">
        <v>17.78</v>
      </c>
      <c r="C12" s="32">
        <v>19.93</v>
      </c>
      <c r="D12" s="32">
        <f t="shared" si="0"/>
        <v>0.22531261565270783</v>
      </c>
      <c r="E12" s="26"/>
      <c r="F12" s="26">
        <f>D12/E3</f>
        <v>1359.6103992223086</v>
      </c>
      <c r="G12" s="26"/>
      <c r="H12" s="26"/>
      <c r="P12" s="28" t="s">
        <v>98</v>
      </c>
      <c r="Q12" s="28">
        <v>0.7010535</v>
      </c>
    </row>
    <row r="13" spans="1:17">
      <c r="A13" s="32"/>
      <c r="B13" s="32">
        <v>17.989999999999998</v>
      </c>
      <c r="C13" s="32">
        <v>19.93</v>
      </c>
      <c r="D13" s="32">
        <f t="shared" si="0"/>
        <v>0.26061644021028013</v>
      </c>
      <c r="E13" s="26"/>
      <c r="F13" s="26">
        <f>D13/$E3</f>
        <v>1572.6452834951917</v>
      </c>
      <c r="G13" s="26"/>
      <c r="H13" s="26"/>
    </row>
    <row r="14" spans="1:17">
      <c r="A14" s="32"/>
      <c r="B14" s="32">
        <v>17.79</v>
      </c>
      <c r="C14" s="32">
        <v>19.71</v>
      </c>
      <c r="D14" s="32">
        <f t="shared" si="0"/>
        <v>0.26425451014034479</v>
      </c>
      <c r="E14" s="26"/>
      <c r="F14" s="26">
        <f>D14/$E3</f>
        <v>1594.5985935470271</v>
      </c>
      <c r="G14" s="26"/>
      <c r="H14" s="26"/>
    </row>
    <row r="15" spans="1:17">
      <c r="A15" s="32" t="s">
        <v>150</v>
      </c>
      <c r="B15" s="32">
        <v>18.8</v>
      </c>
      <c r="C15" s="32">
        <v>33.25</v>
      </c>
      <c r="D15" s="32">
        <f t="shared" si="0"/>
        <v>4.468034960771562E-5</v>
      </c>
      <c r="E15" s="26"/>
      <c r="F15" s="26">
        <f>D15/$E3</f>
        <v>0.26961591915995531</v>
      </c>
      <c r="G15" s="26">
        <f>AVERAGE(F15:F18)</f>
        <v>0.37607223655533267</v>
      </c>
      <c r="H15" s="26">
        <f>STDEV(F15:F18)/SQRT(COUNT(F15:F18))</f>
        <v>4.5425336364015807E-2</v>
      </c>
    </row>
    <row r="16" spans="1:17">
      <c r="A16" s="32"/>
      <c r="B16" s="32">
        <v>19.45</v>
      </c>
      <c r="C16" s="32">
        <v>33.049999999999997</v>
      </c>
      <c r="D16" s="32">
        <f t="shared" si="0"/>
        <v>8.0536371507134859E-5</v>
      </c>
      <c r="E16" s="26"/>
      <c r="F16" s="26">
        <f>D16/$E3</f>
        <v>0.48598294374030904</v>
      </c>
      <c r="G16" s="26"/>
      <c r="H16" s="26"/>
    </row>
    <row r="17" spans="1:8">
      <c r="A17" s="32"/>
      <c r="B17" s="32">
        <v>19.23</v>
      </c>
      <c r="C17" s="32">
        <v>33.31</v>
      </c>
      <c r="D17" s="32">
        <f t="shared" si="0"/>
        <v>5.7742776289403958E-5</v>
      </c>
      <c r="E17" s="26"/>
      <c r="F17" s="26">
        <f>D17/$E3</f>
        <v>0.34843889631129699</v>
      </c>
      <c r="G17" s="26"/>
      <c r="H17" s="26"/>
    </row>
    <row r="18" spans="1:8">
      <c r="A18" s="32"/>
      <c r="B18" s="32">
        <v>18.89</v>
      </c>
      <c r="C18" s="32">
        <v>32.770000000000003</v>
      </c>
      <c r="D18" s="32">
        <f t="shared" si="0"/>
        <v>6.6329032136600125E-5</v>
      </c>
      <c r="E18" s="26"/>
      <c r="F18" s="26">
        <f>D18/$E3</f>
        <v>0.4002511870097693</v>
      </c>
      <c r="G18" s="26"/>
      <c r="H18" s="26"/>
    </row>
    <row r="19" spans="1:8">
      <c r="A19" s="32" t="s">
        <v>151</v>
      </c>
      <c r="B19" s="32">
        <v>18.12</v>
      </c>
      <c r="C19" s="32">
        <v>20.68</v>
      </c>
      <c r="D19" s="32">
        <f t="shared" si="0"/>
        <v>0.16957554093095911</v>
      </c>
      <c r="E19" s="26"/>
      <c r="F19" s="26">
        <f>D19/$E3</f>
        <v>1023.2745655878208</v>
      </c>
      <c r="G19" s="26">
        <f>AVERAGE(F19:F22)</f>
        <v>1708.6571691843349</v>
      </c>
      <c r="H19" s="26">
        <f>STDEV(F19:F22)/SQRT(COUNT(F19:F22))</f>
        <v>230.51001202856077</v>
      </c>
    </row>
    <row r="20" spans="1:8">
      <c r="A20" s="32"/>
      <c r="B20" s="32">
        <v>18.309999999999999</v>
      </c>
      <c r="C20" s="32">
        <v>19.89</v>
      </c>
      <c r="D20" s="32">
        <f t="shared" si="0"/>
        <v>0.33448188869652762</v>
      </c>
      <c r="E20" s="26"/>
      <c r="F20" s="26">
        <f>D20/$E3</f>
        <v>2018.3736845178837</v>
      </c>
      <c r="G20" s="26"/>
      <c r="H20" s="26"/>
    </row>
    <row r="21" spans="1:8">
      <c r="A21" s="32"/>
      <c r="B21" s="32">
        <v>18.36</v>
      </c>
      <c r="C21" s="32">
        <v>20.010000000000002</v>
      </c>
      <c r="D21" s="32">
        <f t="shared" si="0"/>
        <v>0.31864015682981506</v>
      </c>
      <c r="E21" s="26"/>
      <c r="F21" s="26">
        <f>D21/$E3</f>
        <v>1922.7794661236817</v>
      </c>
      <c r="G21" s="26"/>
      <c r="H21" s="26"/>
    </row>
    <row r="22" spans="1:8">
      <c r="A22" s="32"/>
      <c r="B22" s="32">
        <v>17.7</v>
      </c>
      <c r="C22" s="32">
        <v>19.39</v>
      </c>
      <c r="D22" s="32">
        <f t="shared" si="0"/>
        <v>0.30992692498474644</v>
      </c>
      <c r="E22" s="26"/>
      <c r="F22" s="26">
        <f>D22/$E3</f>
        <v>1870.2009605079538</v>
      </c>
      <c r="G22" s="26"/>
      <c r="H22" s="26"/>
    </row>
  </sheetData>
  <mergeCells count="2">
    <mergeCell ref="B1:C1"/>
    <mergeCell ref="P1:Q1"/>
  </mergeCells>
  <phoneticPr fontId="9"/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O10"/>
  <sheetViews>
    <sheetView workbookViewId="0">
      <selection activeCell="X5" sqref="X5"/>
    </sheetView>
  </sheetViews>
  <sheetFormatPr defaultColWidth="8.85546875" defaultRowHeight="14.6"/>
  <cols>
    <col min="1" max="16384" width="8.85546875" style="29"/>
  </cols>
  <sheetData>
    <row r="1" spans="1:15">
      <c r="C1" s="29" t="s">
        <v>152</v>
      </c>
      <c r="D1" s="29" t="s">
        <v>1</v>
      </c>
      <c r="E1" s="29" t="s">
        <v>2</v>
      </c>
      <c r="F1" s="29" t="s">
        <v>3</v>
      </c>
      <c r="G1" s="29" t="s">
        <v>4</v>
      </c>
      <c r="H1" s="29" t="s">
        <v>5</v>
      </c>
      <c r="I1" s="29" t="s">
        <v>6</v>
      </c>
      <c r="J1" s="29" t="s">
        <v>153</v>
      </c>
      <c r="K1" s="29" t="s">
        <v>8</v>
      </c>
    </row>
    <row r="2" spans="1:15">
      <c r="A2" s="29" t="s">
        <v>154</v>
      </c>
      <c r="B2" s="29" t="s">
        <v>10</v>
      </c>
      <c r="C2" s="29">
        <f t="shared" ref="C2:C10" si="0">0.35*0.35*3.14*4</f>
        <v>1.5386</v>
      </c>
      <c r="D2" s="29">
        <v>54</v>
      </c>
      <c r="E2" s="29">
        <v>20000</v>
      </c>
      <c r="F2" s="29">
        <f t="shared" ref="F2:F10" si="1">D2*E2</f>
        <v>1080000</v>
      </c>
      <c r="G2" s="29">
        <f t="shared" ref="G2:G10" si="2">(F2/C2)</f>
        <v>701936.82568568829</v>
      </c>
      <c r="H2" s="29">
        <f t="shared" ref="H2:H10" si="3">LOG10(G2)</f>
        <v>5.8462980273852212</v>
      </c>
      <c r="I2" s="29">
        <f>AVERAGE(H2:H4)</f>
        <v>5.7112233268036645</v>
      </c>
      <c r="J2" s="29">
        <f>STDEV(H2:H4)/SQRT(COUNT(H2:H4))</f>
        <v>7.1086751260787617E-2</v>
      </c>
      <c r="L2" s="29" t="s">
        <v>154</v>
      </c>
      <c r="M2" s="29" t="s">
        <v>10</v>
      </c>
      <c r="N2" s="29">
        <f>I2</f>
        <v>5.7112233268036645</v>
      </c>
      <c r="O2" s="29">
        <f>J2</f>
        <v>7.1086751260787617E-2</v>
      </c>
    </row>
    <row r="3" spans="1:15">
      <c r="C3" s="29">
        <f t="shared" si="0"/>
        <v>1.5386</v>
      </c>
      <c r="D3" s="29">
        <v>31</v>
      </c>
      <c r="E3" s="29">
        <v>20000</v>
      </c>
      <c r="F3" s="29">
        <f t="shared" si="1"/>
        <v>620000</v>
      </c>
      <c r="G3" s="29">
        <f t="shared" si="2"/>
        <v>402963.73326400627</v>
      </c>
      <c r="H3" s="29">
        <f t="shared" si="3"/>
        <v>5.6052659613965252</v>
      </c>
      <c r="M3" s="29" t="s">
        <v>155</v>
      </c>
      <c r="N3" s="29">
        <f>I5</f>
        <v>5.6358535404534251</v>
      </c>
      <c r="O3" s="29">
        <f>J5</f>
        <v>8.011071843678981E-2</v>
      </c>
    </row>
    <row r="4" spans="1:15">
      <c r="C4" s="29">
        <f t="shared" si="0"/>
        <v>1.5386</v>
      </c>
      <c r="D4" s="29">
        <v>37</v>
      </c>
      <c r="E4" s="29">
        <v>20000</v>
      </c>
      <c r="F4" s="29">
        <f t="shared" si="1"/>
        <v>740000</v>
      </c>
      <c r="G4" s="29">
        <f t="shared" si="2"/>
        <v>480956.71389574942</v>
      </c>
      <c r="H4" s="29">
        <f t="shared" si="3"/>
        <v>5.682105991629248</v>
      </c>
      <c r="M4" s="29" t="s">
        <v>60</v>
      </c>
      <c r="N4" s="29">
        <f>I8</f>
        <v>5.6698774960013738</v>
      </c>
      <c r="O4" s="29">
        <f>J8</f>
        <v>8.5202901037754547E-2</v>
      </c>
    </row>
    <row r="5" spans="1:15">
      <c r="B5" s="29" t="s">
        <v>156</v>
      </c>
      <c r="C5" s="29">
        <f t="shared" si="0"/>
        <v>1.5386</v>
      </c>
      <c r="D5" s="29">
        <v>23</v>
      </c>
      <c r="E5" s="29">
        <v>20000</v>
      </c>
      <c r="F5" s="29">
        <f t="shared" si="1"/>
        <v>460000</v>
      </c>
      <c r="G5" s="29">
        <f t="shared" si="2"/>
        <v>298973.09242168203</v>
      </c>
      <c r="H5" s="29">
        <f t="shared" si="3"/>
        <v>5.4756321035798452</v>
      </c>
      <c r="I5" s="29">
        <f>AVERAGE(H5:H7)</f>
        <v>5.6358535404534251</v>
      </c>
      <c r="J5" s="29">
        <f>STDEV(H5:H7)/SQRT(COUNT(H5:H7))</f>
        <v>8.011071843678981E-2</v>
      </c>
      <c r="K5" s="29">
        <f>TTEST(H2:H4,H5:H7,2,2)</f>
        <v>0.52041710296574151</v>
      </c>
    </row>
    <row r="6" spans="1:15">
      <c r="C6" s="29">
        <f t="shared" si="0"/>
        <v>1.5386</v>
      </c>
      <c r="D6" s="29">
        <v>40</v>
      </c>
      <c r="E6" s="29">
        <v>20000</v>
      </c>
      <c r="F6" s="29">
        <f t="shared" si="1"/>
        <v>800000</v>
      </c>
      <c r="G6" s="29">
        <f t="shared" si="2"/>
        <v>519953.20421162096</v>
      </c>
      <c r="H6" s="29">
        <f t="shared" si="3"/>
        <v>5.7159642588902146</v>
      </c>
    </row>
    <row r="7" spans="1:15">
      <c r="C7" s="29">
        <f t="shared" si="0"/>
        <v>1.5386</v>
      </c>
      <c r="D7" s="29">
        <v>40</v>
      </c>
      <c r="E7" s="29">
        <v>20000</v>
      </c>
      <c r="F7" s="29">
        <f t="shared" si="1"/>
        <v>800000</v>
      </c>
      <c r="G7" s="29">
        <f t="shared" si="2"/>
        <v>519953.20421162096</v>
      </c>
      <c r="H7" s="29">
        <f t="shared" si="3"/>
        <v>5.7159642588902146</v>
      </c>
    </row>
    <row r="8" spans="1:15">
      <c r="B8" s="29" t="s">
        <v>60</v>
      </c>
      <c r="C8" s="29">
        <f t="shared" si="0"/>
        <v>1.5386</v>
      </c>
      <c r="D8" s="29">
        <v>25</v>
      </c>
      <c r="E8" s="29">
        <v>20000</v>
      </c>
      <c r="F8" s="29">
        <f t="shared" si="1"/>
        <v>500000</v>
      </c>
      <c r="G8" s="29">
        <f t="shared" si="2"/>
        <v>324970.75263226312</v>
      </c>
      <c r="H8" s="29">
        <f t="shared" si="3"/>
        <v>5.5118442762342905</v>
      </c>
      <c r="I8" s="29">
        <f>AVERAGE(H8:H10)</f>
        <v>5.6698774960013738</v>
      </c>
      <c r="J8" s="29">
        <f>STDEV(H8:H10)/SQRT(COUNT(H8:H10))</f>
        <v>8.5202901037754547E-2</v>
      </c>
      <c r="K8" s="29">
        <f>TTEST(H2:H4,H8:H10,2,2)</f>
        <v>0.72834301228506937</v>
      </c>
    </row>
    <row r="9" spans="1:15">
      <c r="C9" s="29">
        <f t="shared" si="0"/>
        <v>1.5386</v>
      </c>
      <c r="D9" s="29">
        <v>49</v>
      </c>
      <c r="E9" s="29">
        <v>20000</v>
      </c>
      <c r="F9" s="29">
        <f t="shared" si="1"/>
        <v>980000</v>
      </c>
      <c r="G9" s="29">
        <f t="shared" si="2"/>
        <v>636942.67515923572</v>
      </c>
      <c r="H9" s="29">
        <f t="shared" si="3"/>
        <v>5.804100347590766</v>
      </c>
    </row>
    <row r="10" spans="1:15">
      <c r="C10" s="29">
        <f t="shared" si="0"/>
        <v>1.5386</v>
      </c>
      <c r="D10" s="29">
        <v>38</v>
      </c>
      <c r="E10" s="29">
        <v>20000</v>
      </c>
      <c r="F10" s="29">
        <f t="shared" si="1"/>
        <v>760000</v>
      </c>
      <c r="G10" s="29">
        <f t="shared" si="2"/>
        <v>493955.54400103993</v>
      </c>
      <c r="H10" s="29">
        <f t="shared" si="3"/>
        <v>5.6936878641790631</v>
      </c>
    </row>
  </sheetData>
  <phoneticPr fontId="9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4"/>
  <sheetViews>
    <sheetView workbookViewId="0">
      <selection activeCell="G4" sqref="G4"/>
    </sheetView>
  </sheetViews>
  <sheetFormatPr defaultRowHeight="15.9"/>
  <cols>
    <col min="16" max="16" width="15.42578125" customWidth="1"/>
  </cols>
  <sheetData>
    <row r="1" spans="1:17">
      <c r="B1" s="33" t="s">
        <v>65</v>
      </c>
      <c r="C1" s="33"/>
      <c r="P1" s="33" t="s">
        <v>48</v>
      </c>
      <c r="Q1" s="33"/>
    </row>
    <row r="2" spans="1:17">
      <c r="B2" s="15" t="s">
        <v>64</v>
      </c>
      <c r="C2" s="13" t="s">
        <v>28</v>
      </c>
      <c r="D2" s="16" t="s">
        <v>66</v>
      </c>
      <c r="E2" s="16" t="s">
        <v>67</v>
      </c>
      <c r="F2" s="16" t="s">
        <v>68</v>
      </c>
      <c r="G2" s="16" t="s">
        <v>69</v>
      </c>
      <c r="H2" s="16" t="s">
        <v>70</v>
      </c>
      <c r="J2" s="17" t="s">
        <v>23</v>
      </c>
      <c r="K2" s="17" t="s">
        <v>71</v>
      </c>
      <c r="L2" s="17" t="s">
        <v>72</v>
      </c>
      <c r="M2" s="17" t="s">
        <v>73</v>
      </c>
      <c r="N2" s="17" t="s">
        <v>74</v>
      </c>
      <c r="P2" t="s">
        <v>49</v>
      </c>
      <c r="Q2" t="s">
        <v>50</v>
      </c>
    </row>
    <row r="3" spans="1:17">
      <c r="A3" s="13" t="s">
        <v>23</v>
      </c>
      <c r="B3" s="13">
        <v>18.510000000000002</v>
      </c>
      <c r="C3" s="13">
        <v>27.31</v>
      </c>
      <c r="D3" s="13">
        <f>POWER(2, B3-C3)</f>
        <v>2.2435514746035885E-3</v>
      </c>
      <c r="E3" s="16">
        <f>AVERAGE(D3:D6)</f>
        <v>2.0483466886409428E-3</v>
      </c>
      <c r="F3" s="16">
        <f>D3/E3</f>
        <v>1.0952987045821634</v>
      </c>
      <c r="G3" s="16">
        <f>AVERAGE(F3:F6)</f>
        <v>1</v>
      </c>
      <c r="H3" s="16">
        <f>STDEV(F3:F6)/SQRT(COUNT(F3:F6))</f>
        <v>0.14667861187467279</v>
      </c>
      <c r="J3">
        <f>G3</f>
        <v>1</v>
      </c>
      <c r="K3">
        <f>G7</f>
        <v>1.352892233751597</v>
      </c>
      <c r="L3">
        <f>G11</f>
        <v>30.135681951664587</v>
      </c>
      <c r="M3">
        <f>G15</f>
        <v>0.88628665495533876</v>
      </c>
      <c r="N3">
        <f>G19</f>
        <v>242.78353766965597</v>
      </c>
      <c r="P3" t="s">
        <v>89</v>
      </c>
      <c r="Q3">
        <v>0.99999990000000005</v>
      </c>
    </row>
    <row r="4" spans="1:17">
      <c r="A4" s="13"/>
      <c r="B4" s="13">
        <v>18.510000000000002</v>
      </c>
      <c r="C4" s="13">
        <v>27.08</v>
      </c>
      <c r="D4" s="13">
        <f t="shared" ref="D4:D22" si="0">POWER(2, B4-C4)</f>
        <v>2.6313155798158082E-3</v>
      </c>
      <c r="E4" s="16"/>
      <c r="F4" s="16">
        <f>D4/E3</f>
        <v>1.284604600582365</v>
      </c>
      <c r="G4" s="16"/>
      <c r="H4" s="16"/>
      <c r="J4">
        <f>H3</f>
        <v>0.14667861187467279</v>
      </c>
      <c r="K4">
        <f>H7</f>
        <v>0.11410642960826547</v>
      </c>
      <c r="L4">
        <f>H11</f>
        <v>6.1193095152507784</v>
      </c>
      <c r="M4">
        <f>H15</f>
        <v>0.23201074642833411</v>
      </c>
      <c r="N4">
        <f>H19</f>
        <v>18.946610243540999</v>
      </c>
      <c r="P4" t="s">
        <v>90</v>
      </c>
      <c r="Q4">
        <v>1</v>
      </c>
    </row>
    <row r="5" spans="1:17">
      <c r="A5" s="13"/>
      <c r="B5" s="13">
        <v>18.8</v>
      </c>
      <c r="C5" s="13">
        <v>27.69</v>
      </c>
      <c r="D5" s="13">
        <f t="shared" si="0"/>
        <v>2.1078676494227081E-3</v>
      </c>
      <c r="E5" s="16"/>
      <c r="F5" s="16">
        <f>D5/E3</f>
        <v>1.0290580501395772</v>
      </c>
      <c r="G5" s="16"/>
      <c r="H5" s="16"/>
      <c r="P5" t="s">
        <v>91</v>
      </c>
      <c r="Q5">
        <v>0.28465499999999999</v>
      </c>
    </row>
    <row r="6" spans="1:17">
      <c r="A6" s="13"/>
      <c r="B6" s="13">
        <v>19.54</v>
      </c>
      <c r="C6" s="13">
        <v>29.23</v>
      </c>
      <c r="D6" s="13">
        <f t="shared" si="0"/>
        <v>1.2106520507216658E-3</v>
      </c>
      <c r="E6" s="16"/>
      <c r="F6" s="16">
        <f>D6/E3</f>
        <v>0.59103864469589429</v>
      </c>
      <c r="G6" s="16"/>
      <c r="H6" s="16"/>
      <c r="P6" t="s">
        <v>92</v>
      </c>
      <c r="Q6">
        <v>0</v>
      </c>
    </row>
    <row r="7" spans="1:17">
      <c r="A7" s="13" t="s">
        <v>24</v>
      </c>
      <c r="B7" s="13">
        <v>18.309999999999999</v>
      </c>
      <c r="C7" s="13">
        <v>27.21</v>
      </c>
      <c r="D7" s="13">
        <f t="shared" si="0"/>
        <v>2.0933075440161941E-3</v>
      </c>
      <c r="E7" s="16"/>
      <c r="F7" s="16">
        <f>D7/E3</f>
        <v>1.0219498269626819</v>
      </c>
      <c r="G7" s="16">
        <f>AVERAGE(F7:F10)</f>
        <v>1.352892233751597</v>
      </c>
      <c r="H7" s="16">
        <f>STDEV(F7:F10)/SQRT(COUNT(F7:F10))</f>
        <v>0.11410642960826547</v>
      </c>
      <c r="P7" t="s">
        <v>93</v>
      </c>
      <c r="Q7">
        <v>0.99999959999999999</v>
      </c>
    </row>
    <row r="8" spans="1:17">
      <c r="A8" s="13"/>
      <c r="B8" s="13">
        <v>18.600000000000001</v>
      </c>
      <c r="C8" s="13">
        <v>26.99</v>
      </c>
      <c r="D8" s="13">
        <f t="shared" si="0"/>
        <v>2.9809750175010985E-3</v>
      </c>
      <c r="E8" s="16"/>
      <c r="F8" s="16">
        <f>D8/E3</f>
        <v>1.4553078509766064</v>
      </c>
      <c r="G8" s="16"/>
      <c r="H8" s="16"/>
      <c r="P8" t="s">
        <v>94</v>
      </c>
      <c r="Q8">
        <v>0.23257890000000001</v>
      </c>
    </row>
    <row r="9" spans="1:17">
      <c r="A9" s="13"/>
      <c r="B9" s="13">
        <v>18.93</v>
      </c>
      <c r="C9" s="13">
        <v>27.38</v>
      </c>
      <c r="D9" s="13">
        <f t="shared" si="0"/>
        <v>2.8595423748938014E-3</v>
      </c>
      <c r="E9" s="16"/>
      <c r="F9" s="16">
        <f>D9/E3</f>
        <v>1.3960246040142152</v>
      </c>
      <c r="G9" s="16"/>
      <c r="H9" s="16"/>
      <c r="P9" t="s">
        <v>95</v>
      </c>
      <c r="Q9">
        <v>0</v>
      </c>
    </row>
    <row r="10" spans="1:17">
      <c r="A10" s="13"/>
      <c r="B10" s="13">
        <v>18.510000000000002</v>
      </c>
      <c r="C10" s="13">
        <v>26.82</v>
      </c>
      <c r="D10" s="13">
        <f t="shared" si="0"/>
        <v>3.1509443719614336E-3</v>
      </c>
      <c r="E10" s="16"/>
      <c r="F10" s="16">
        <f>D10/E3</f>
        <v>1.5382866530528838</v>
      </c>
      <c r="G10" s="16"/>
      <c r="H10" s="16"/>
      <c r="P10" t="s">
        <v>96</v>
      </c>
      <c r="Q10">
        <v>0.22020690000000001</v>
      </c>
    </row>
    <row r="11" spans="1:17">
      <c r="A11" s="13" t="s">
        <v>25</v>
      </c>
      <c r="B11" s="13">
        <v>18</v>
      </c>
      <c r="C11" s="13">
        <v>22.07</v>
      </c>
      <c r="D11" s="13">
        <f t="shared" si="0"/>
        <v>5.9539874877746084E-2</v>
      </c>
      <c r="E11" s="16"/>
      <c r="F11" s="16">
        <f>D11/$E3</f>
        <v>29.067283974887175</v>
      </c>
      <c r="G11" s="16">
        <f>AVERAGE(F11:F14)</f>
        <v>30.135681951664587</v>
      </c>
      <c r="H11" s="16">
        <f>STDEV(F11:F14)/SQRT(COUNT(F11:F14))</f>
        <v>6.1193095152507784</v>
      </c>
      <c r="P11" t="s">
        <v>97</v>
      </c>
      <c r="Q11">
        <v>0</v>
      </c>
    </row>
    <row r="12" spans="1:17">
      <c r="A12" s="13"/>
      <c r="B12" s="13">
        <v>17.78</v>
      </c>
      <c r="C12" s="13">
        <v>21.24</v>
      </c>
      <c r="D12" s="13">
        <f t="shared" si="0"/>
        <v>9.0873282332519609E-2</v>
      </c>
      <c r="E12" s="16"/>
      <c r="F12" s="16">
        <f>D12/E3</f>
        <v>44.364209846143332</v>
      </c>
      <c r="G12" s="16"/>
      <c r="H12" s="16"/>
      <c r="P12" t="s">
        <v>98</v>
      </c>
      <c r="Q12">
        <v>0</v>
      </c>
    </row>
    <row r="13" spans="1:17">
      <c r="A13" s="13"/>
      <c r="B13" s="13">
        <v>17.989999999999998</v>
      </c>
      <c r="C13" s="13">
        <v>23.05</v>
      </c>
      <c r="D13" s="13">
        <f t="shared" si="0"/>
        <v>2.9977003728914466E-2</v>
      </c>
      <c r="E13" s="16"/>
      <c r="F13" s="16">
        <f>D13/$E3</f>
        <v>14.63473146179366</v>
      </c>
      <c r="G13" s="16"/>
      <c r="H13" s="16"/>
    </row>
    <row r="14" spans="1:17">
      <c r="A14" s="13"/>
      <c r="B14" s="13">
        <v>17.79</v>
      </c>
      <c r="C14" s="13">
        <v>21.7</v>
      </c>
      <c r="D14" s="13">
        <f t="shared" si="0"/>
        <v>6.6523136403334987E-2</v>
      </c>
      <c r="E14" s="16"/>
      <c r="F14" s="16">
        <f>D14/$E3</f>
        <v>32.476502523834192</v>
      </c>
      <c r="G14" s="16"/>
      <c r="H14" s="16"/>
    </row>
    <row r="15" spans="1:17">
      <c r="A15" s="13" t="s">
        <v>26</v>
      </c>
      <c r="B15" s="13">
        <v>18.8</v>
      </c>
      <c r="C15" s="13">
        <v>28.54</v>
      </c>
      <c r="D15" s="13">
        <f t="shared" si="0"/>
        <v>1.1694127974794244E-3</v>
      </c>
      <c r="E15" s="16"/>
      <c r="F15" s="16">
        <f>D15/$E3</f>
        <v>0.57090569871026953</v>
      </c>
      <c r="G15" s="16">
        <f>AVERAGE(F15:F18)</f>
        <v>0.88628665495533876</v>
      </c>
      <c r="H15" s="16">
        <f>STDEV(F15:F18)/SQRT(COUNT(F15:F18))</f>
        <v>0.23201074642833411</v>
      </c>
    </row>
    <row r="16" spans="1:17">
      <c r="A16" s="13"/>
      <c r="B16" s="13">
        <v>19.45</v>
      </c>
      <c r="C16" s="13">
        <v>28.36</v>
      </c>
      <c r="D16" s="13">
        <f t="shared" si="0"/>
        <v>2.0788480126042183E-3</v>
      </c>
      <c r="E16" s="16"/>
      <c r="F16" s="16">
        <f>D16/$E3</f>
        <v>1.0148907038698185</v>
      </c>
      <c r="G16" s="16"/>
      <c r="H16" s="16"/>
    </row>
    <row r="17" spans="1:8">
      <c r="A17" s="13"/>
      <c r="B17" s="13">
        <v>19.23</v>
      </c>
      <c r="C17" s="13">
        <v>27.59</v>
      </c>
      <c r="D17" s="13">
        <f t="shared" si="0"/>
        <v>3.0436116392988286E-3</v>
      </c>
      <c r="E17" s="16"/>
      <c r="F17" s="16">
        <f>D17/$E3</f>
        <v>1.4858869624839894</v>
      </c>
      <c r="G17" s="16"/>
      <c r="H17" s="16"/>
    </row>
    <row r="18" spans="1:8">
      <c r="A18" s="13"/>
      <c r="B18" s="13">
        <v>18.89</v>
      </c>
      <c r="C18" s="13">
        <v>28.9</v>
      </c>
      <c r="D18" s="13">
        <f t="shared" si="0"/>
        <v>9.6981689007523181E-4</v>
      </c>
      <c r="E18" s="16"/>
      <c r="F18" s="16">
        <f>D18/$E3</f>
        <v>0.47346325475727719</v>
      </c>
      <c r="G18" s="16"/>
      <c r="H18" s="16"/>
    </row>
    <row r="19" spans="1:8">
      <c r="A19" s="13" t="s">
        <v>27</v>
      </c>
      <c r="B19" s="13">
        <v>18.12</v>
      </c>
      <c r="C19" s="13">
        <v>19.3</v>
      </c>
      <c r="D19" s="13">
        <f t="shared" si="0"/>
        <v>0.44135149814532754</v>
      </c>
      <c r="E19" s="16"/>
      <c r="F19" s="16">
        <f>D19/$E3</f>
        <v>215.46718658166199</v>
      </c>
      <c r="G19" s="16">
        <f>AVERAGE(F19:F22)</f>
        <v>242.78353766965597</v>
      </c>
      <c r="H19" s="16">
        <f>STDEV(F19:F22)/SQRT(COUNT(F19:F22))</f>
        <v>18.946610243540999</v>
      </c>
    </row>
    <row r="20" spans="1:8">
      <c r="A20" s="13"/>
      <c r="B20" s="13">
        <v>18.309999999999999</v>
      </c>
      <c r="C20" s="13">
        <v>19.02</v>
      </c>
      <c r="D20" s="13">
        <f t="shared" si="0"/>
        <v>0.61132013884603398</v>
      </c>
      <c r="E20" s="16"/>
      <c r="F20" s="16">
        <f>D20/$E3</f>
        <v>298.445640201483</v>
      </c>
      <c r="G20" s="16"/>
      <c r="H20" s="16"/>
    </row>
    <row r="21" spans="1:8">
      <c r="A21" s="13"/>
      <c r="B21" s="13">
        <v>18.36</v>
      </c>
      <c r="C21" s="13">
        <v>19.420000000000002</v>
      </c>
      <c r="D21" s="13">
        <f t="shared" si="0"/>
        <v>0.47963205966263145</v>
      </c>
      <c r="E21" s="16"/>
      <c r="F21" s="16">
        <f>D21/$E3</f>
        <v>234.15570338869856</v>
      </c>
      <c r="G21" s="16"/>
      <c r="H21" s="16"/>
    </row>
    <row r="22" spans="1:8">
      <c r="A22" s="13"/>
      <c r="B22" s="13">
        <v>17.7</v>
      </c>
      <c r="C22" s="13">
        <v>18.829999999999998</v>
      </c>
      <c r="D22" s="13">
        <f t="shared" si="0"/>
        <v>0.45691572511470058</v>
      </c>
      <c r="E22" s="16"/>
      <c r="F22" s="16">
        <f>D22/$E3</f>
        <v>223.06562050678028</v>
      </c>
      <c r="G22" s="16"/>
      <c r="H22" s="16"/>
    </row>
    <row r="23" spans="1:8">
      <c r="C23" s="14"/>
    </row>
    <row r="24" spans="1:8">
      <c r="C24" s="14"/>
    </row>
  </sheetData>
  <mergeCells count="2">
    <mergeCell ref="B1:C1"/>
    <mergeCell ref="P1:Q1"/>
  </mergeCells>
  <phoneticPr fontId="9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3"/>
  <sheetViews>
    <sheetView topLeftCell="E1" workbookViewId="0">
      <selection activeCell="P1" sqref="P1:Q2"/>
    </sheetView>
  </sheetViews>
  <sheetFormatPr defaultRowHeight="15.9"/>
  <cols>
    <col min="16" max="16" width="16.5703125" customWidth="1"/>
  </cols>
  <sheetData>
    <row r="1" spans="1:17">
      <c r="B1" s="33" t="s">
        <v>65</v>
      </c>
      <c r="C1" s="33"/>
      <c r="P1" s="33" t="s">
        <v>48</v>
      </c>
      <c r="Q1" s="33"/>
    </row>
    <row r="2" spans="1:17">
      <c r="B2" s="15" t="s">
        <v>64</v>
      </c>
      <c r="C2" s="13" t="s">
        <v>29</v>
      </c>
      <c r="D2" s="16" t="s">
        <v>66</v>
      </c>
      <c r="E2" s="16" t="s">
        <v>67</v>
      </c>
      <c r="F2" s="16" t="s">
        <v>68</v>
      </c>
      <c r="G2" s="16" t="s">
        <v>69</v>
      </c>
      <c r="H2" s="16" t="s">
        <v>70</v>
      </c>
      <c r="J2" s="17" t="s">
        <v>23</v>
      </c>
      <c r="K2" s="17" t="s">
        <v>71</v>
      </c>
      <c r="L2" s="17" t="s">
        <v>72</v>
      </c>
      <c r="M2" s="17" t="s">
        <v>73</v>
      </c>
      <c r="N2" s="17" t="s">
        <v>74</v>
      </c>
      <c r="P2" t="s">
        <v>49</v>
      </c>
      <c r="Q2" t="s">
        <v>50</v>
      </c>
    </row>
    <row r="3" spans="1:17">
      <c r="A3" s="13" t="s">
        <v>23</v>
      </c>
      <c r="B3" s="13">
        <v>18.510000000000002</v>
      </c>
      <c r="C3" s="13">
        <v>27.83</v>
      </c>
      <c r="D3" s="13">
        <f>POWER(2, B3-C3)</f>
        <v>1.5645896046672339E-3</v>
      </c>
      <c r="E3" s="16">
        <f>AVERAGE(D3:D6)</f>
        <v>3.0946868405019134E-3</v>
      </c>
      <c r="F3" s="16">
        <f>D3/E3</f>
        <v>0.50557283670533859</v>
      </c>
      <c r="G3" s="16">
        <f>AVERAGE(F3:F6)</f>
        <v>1</v>
      </c>
      <c r="H3" s="16">
        <f>STDEV(F3:F6)/SQRT(COUNT(F3:F6))</f>
        <v>0.29113088057902703</v>
      </c>
      <c r="J3">
        <f>G3</f>
        <v>1</v>
      </c>
      <c r="K3">
        <f>G7</f>
        <v>1.0212483567706379</v>
      </c>
      <c r="L3">
        <f>G11</f>
        <v>104.17260867209207</v>
      </c>
      <c r="M3">
        <f>G15</f>
        <v>1.0423743979690256</v>
      </c>
      <c r="N3">
        <f>G19</f>
        <v>182.74881202335186</v>
      </c>
      <c r="P3" t="s">
        <v>89</v>
      </c>
      <c r="Q3">
        <v>1</v>
      </c>
    </row>
    <row r="4" spans="1:17">
      <c r="A4" s="13"/>
      <c r="B4" s="13">
        <v>18.510000000000002</v>
      </c>
      <c r="C4" s="13">
        <v>26.76</v>
      </c>
      <c r="D4" s="13">
        <f t="shared" ref="D4:D22" si="0">POWER(2, B4-C4)</f>
        <v>3.2847516220848244E-3</v>
      </c>
      <c r="E4" s="16"/>
      <c r="F4" s="16">
        <f>D4/E3</f>
        <v>1.0614164829524675</v>
      </c>
      <c r="G4" s="16"/>
      <c r="H4" s="16"/>
      <c r="J4">
        <f>H3</f>
        <v>0.29113088057902703</v>
      </c>
      <c r="K4">
        <f>H7</f>
        <v>0.13881360707377424</v>
      </c>
      <c r="L4">
        <f>H11</f>
        <v>10.333772234280701</v>
      </c>
      <c r="M4">
        <f>H15</f>
        <v>0.51503893522742783</v>
      </c>
      <c r="N4">
        <f>H19</f>
        <v>18.739243758282527</v>
      </c>
      <c r="P4" t="s">
        <v>90</v>
      </c>
      <c r="Q4">
        <v>1</v>
      </c>
    </row>
    <row r="5" spans="1:17">
      <c r="A5" s="13"/>
      <c r="B5" s="13">
        <v>18.8</v>
      </c>
      <c r="C5" s="13">
        <v>26.29</v>
      </c>
      <c r="D5" s="13">
        <f t="shared" si="0"/>
        <v>5.5626960765510691E-3</v>
      </c>
      <c r="E5" s="16"/>
      <c r="F5" s="16">
        <f>D5/E3</f>
        <v>1.7974988628086455</v>
      </c>
      <c r="G5" s="16"/>
      <c r="H5" s="16"/>
      <c r="P5" t="s">
        <v>91</v>
      </c>
      <c r="Q5">
        <v>7.1199999999999996E-5</v>
      </c>
    </row>
    <row r="6" spans="1:17">
      <c r="A6" s="13"/>
      <c r="B6" s="13">
        <v>19.54</v>
      </c>
      <c r="C6" s="13">
        <v>28.53</v>
      </c>
      <c r="D6" s="13">
        <f t="shared" si="0"/>
        <v>1.966710058704526E-3</v>
      </c>
      <c r="E6" s="16"/>
      <c r="F6" s="16">
        <f>D6/E3</f>
        <v>0.63551181753354857</v>
      </c>
      <c r="G6" s="16"/>
      <c r="H6" s="16"/>
      <c r="P6" t="s">
        <v>92</v>
      </c>
      <c r="Q6">
        <v>9.9999999999999995E-8</v>
      </c>
    </row>
    <row r="7" spans="1:17">
      <c r="A7" s="13" t="s">
        <v>24</v>
      </c>
      <c r="B7" s="13">
        <v>18.309999999999999</v>
      </c>
      <c r="C7" s="13">
        <v>27.34</v>
      </c>
      <c r="D7" s="13">
        <f t="shared" si="0"/>
        <v>1.9129302687244652E-3</v>
      </c>
      <c r="E7" s="16"/>
      <c r="F7" s="16">
        <f>D7/E3</f>
        <v>0.61813371346298018</v>
      </c>
      <c r="G7" s="16">
        <f>AVERAGE(F7:F10)</f>
        <v>1.0212483567706379</v>
      </c>
      <c r="H7" s="16">
        <f>STDEV(F7:F10)/SQRT(COUNT(F7:F10))</f>
        <v>0.13881360707377424</v>
      </c>
      <c r="P7" t="s">
        <v>93</v>
      </c>
      <c r="Q7">
        <v>1</v>
      </c>
    </row>
    <row r="8" spans="1:17">
      <c r="A8" s="13"/>
      <c r="B8" s="13">
        <v>18.600000000000001</v>
      </c>
      <c r="C8" s="13">
        <v>26.64</v>
      </c>
      <c r="D8" s="13">
        <f t="shared" si="0"/>
        <v>3.7994333883292434E-3</v>
      </c>
      <c r="E8" s="16"/>
      <c r="F8" s="16">
        <f>D8/E3</f>
        <v>1.2277279040334272</v>
      </c>
      <c r="G8" s="16"/>
      <c r="H8" s="16"/>
      <c r="P8" t="s">
        <v>94</v>
      </c>
      <c r="Q8">
        <v>3.0000000000000001E-5</v>
      </c>
    </row>
    <row r="9" spans="1:17">
      <c r="A9" s="13"/>
      <c r="B9" s="13">
        <v>18.93</v>
      </c>
      <c r="C9" s="13">
        <v>27.03</v>
      </c>
      <c r="D9" s="13">
        <f t="shared" si="0"/>
        <v>3.6446601231906509E-3</v>
      </c>
      <c r="E9" s="16"/>
      <c r="F9" s="16">
        <f>D9/E3</f>
        <v>1.1777153266336764</v>
      </c>
      <c r="G9" s="16"/>
      <c r="H9" s="16"/>
      <c r="P9" t="s">
        <v>95</v>
      </c>
      <c r="Q9">
        <v>0</v>
      </c>
    </row>
    <row r="10" spans="1:17">
      <c r="A10" s="13"/>
      <c r="B10" s="13">
        <v>18.510000000000002</v>
      </c>
      <c r="C10" s="13">
        <v>26.76</v>
      </c>
      <c r="D10" s="13">
        <f t="shared" si="0"/>
        <v>3.2847516220848244E-3</v>
      </c>
      <c r="E10" s="16"/>
      <c r="F10" s="16">
        <f>D10/E3</f>
        <v>1.0614164829524675</v>
      </c>
      <c r="G10" s="16"/>
      <c r="H10" s="16"/>
      <c r="P10" t="s">
        <v>96</v>
      </c>
      <c r="Q10">
        <v>3.01E-5</v>
      </c>
    </row>
    <row r="11" spans="1:17">
      <c r="A11" s="13" t="s">
        <v>25</v>
      </c>
      <c r="B11" s="13">
        <v>18</v>
      </c>
      <c r="C11" s="13">
        <v>19.579999999999998</v>
      </c>
      <c r="D11" s="13">
        <f t="shared" si="0"/>
        <v>0.33448188869652845</v>
      </c>
      <c r="E11" s="16"/>
      <c r="F11" s="16">
        <f>D11/$E3</f>
        <v>108.08262869088244</v>
      </c>
      <c r="G11" s="16">
        <f>AVERAGE(F11:F14)</f>
        <v>104.17260867209207</v>
      </c>
      <c r="H11" s="16">
        <f>STDEV(F11:F14)/SQRT(COUNT(F11:F14))</f>
        <v>10.333772234280701</v>
      </c>
      <c r="P11" t="s">
        <v>97</v>
      </c>
      <c r="Q11">
        <v>0</v>
      </c>
    </row>
    <row r="12" spans="1:17">
      <c r="A12" s="13"/>
      <c r="B12" s="13">
        <v>17.78</v>
      </c>
      <c r="C12" s="13">
        <v>19.3</v>
      </c>
      <c r="D12" s="13">
        <f t="shared" si="0"/>
        <v>0.34868591658760145</v>
      </c>
      <c r="E12" s="16"/>
      <c r="F12" s="16">
        <f>D12/E3</f>
        <v>112.67243975194907</v>
      </c>
      <c r="G12" s="16"/>
      <c r="H12" s="16"/>
      <c r="P12" t="s">
        <v>98</v>
      </c>
      <c r="Q12">
        <v>5.2329999999999998E-4</v>
      </c>
    </row>
    <row r="13" spans="1:17">
      <c r="A13" s="13"/>
      <c r="B13" s="13">
        <v>17.989999999999998</v>
      </c>
      <c r="C13" s="13">
        <v>20.11</v>
      </c>
      <c r="D13" s="13">
        <f t="shared" si="0"/>
        <v>0.2300469126562186</v>
      </c>
      <c r="E13" s="16"/>
      <c r="F13" s="16">
        <f>D13/$E3</f>
        <v>74.336087789389481</v>
      </c>
      <c r="G13" s="16"/>
      <c r="H13" s="16"/>
    </row>
    <row r="14" spans="1:17">
      <c r="A14" s="13"/>
      <c r="B14" s="13">
        <v>17.79</v>
      </c>
      <c r="C14" s="13">
        <v>19.2</v>
      </c>
      <c r="D14" s="13">
        <f t="shared" si="0"/>
        <v>0.37631168685276678</v>
      </c>
      <c r="E14" s="16"/>
      <c r="F14" s="16">
        <f>D14/$E3</f>
        <v>121.59927845614727</v>
      </c>
      <c r="G14" s="16"/>
      <c r="H14" s="16"/>
    </row>
    <row r="15" spans="1:17">
      <c r="A15" s="13" t="s">
        <v>26</v>
      </c>
      <c r="B15" s="13">
        <v>18.8</v>
      </c>
      <c r="C15" s="13">
        <v>27.71</v>
      </c>
      <c r="D15" s="13">
        <f t="shared" si="0"/>
        <v>2.0788480126042183E-3</v>
      </c>
      <c r="E15" s="16"/>
      <c r="F15" s="16">
        <f>D15/$E3</f>
        <v>0.67174745612291398</v>
      </c>
      <c r="G15" s="16">
        <f>AVERAGE(F15:F18)</f>
        <v>1.0423743979690256</v>
      </c>
      <c r="H15" s="16">
        <f>STDEV(F15:F18)/SQRT(COUNT(F15:F18))</f>
        <v>0.51503893522742783</v>
      </c>
    </row>
    <row r="16" spans="1:17">
      <c r="A16" s="13"/>
      <c r="B16" s="13">
        <v>19.45</v>
      </c>
      <c r="C16" s="13">
        <v>28.69</v>
      </c>
      <c r="D16" s="13">
        <f t="shared" si="0"/>
        <v>1.6537994382080591E-3</v>
      </c>
      <c r="E16" s="16"/>
      <c r="F16" s="16">
        <f>D16/$E3</f>
        <v>0.53439960921533392</v>
      </c>
      <c r="G16" s="16"/>
      <c r="H16" s="16"/>
    </row>
    <row r="17" spans="1:8">
      <c r="A17" s="13"/>
      <c r="B17" s="13">
        <v>19.23</v>
      </c>
      <c r="C17" s="13">
        <v>26.2</v>
      </c>
      <c r="D17" s="13">
        <f t="shared" si="0"/>
        <v>7.976657232087455E-3</v>
      </c>
      <c r="E17" s="16"/>
      <c r="F17" s="16">
        <f>D17/$E3</f>
        <v>2.5775329276269376</v>
      </c>
      <c r="G17" s="16"/>
      <c r="H17" s="16"/>
    </row>
    <row r="18" spans="1:8">
      <c r="A18" s="13"/>
      <c r="B18" s="13">
        <v>18.89</v>
      </c>
      <c r="C18" s="13">
        <v>28.6</v>
      </c>
      <c r="D18" s="13">
        <f t="shared" si="0"/>
        <v>1.1939846461836603E-3</v>
      </c>
      <c r="E18" s="16"/>
      <c r="F18" s="16">
        <f>D18/$E3</f>
        <v>0.38581759891091705</v>
      </c>
      <c r="G18" s="16"/>
      <c r="H18" s="16"/>
    </row>
    <row r="19" spans="1:8">
      <c r="A19" s="13" t="s">
        <v>27</v>
      </c>
      <c r="B19" s="13">
        <v>18.12</v>
      </c>
      <c r="C19" s="13">
        <v>19.23</v>
      </c>
      <c r="D19" s="13">
        <f t="shared" si="0"/>
        <v>0.46329403094518562</v>
      </c>
      <c r="E19" s="16"/>
      <c r="F19" s="16">
        <f>D19/$E3</f>
        <v>149.70627233805862</v>
      </c>
      <c r="G19" s="16">
        <f>AVERAGE(F19:F22)</f>
        <v>182.74881202335186</v>
      </c>
      <c r="H19" s="16">
        <f>STDEV(F19:F22)/SQRT(COUNT(F19:F22))</f>
        <v>18.739243758282527</v>
      </c>
    </row>
    <row r="20" spans="1:8">
      <c r="A20" s="13"/>
      <c r="B20" s="13">
        <v>18.309999999999999</v>
      </c>
      <c r="C20" s="13">
        <v>18.829999999999998</v>
      </c>
      <c r="D20" s="13">
        <f t="shared" si="0"/>
        <v>0.69737183317520302</v>
      </c>
      <c r="E20" s="16"/>
      <c r="F20" s="16">
        <f>D20/$E3</f>
        <v>225.34487950389817</v>
      </c>
      <c r="G20" s="16"/>
      <c r="H20" s="16"/>
    </row>
    <row r="21" spans="1:8">
      <c r="A21" s="13"/>
      <c r="B21" s="13">
        <v>18.36</v>
      </c>
      <c r="C21" s="13">
        <v>19.03</v>
      </c>
      <c r="D21" s="13">
        <f t="shared" si="0"/>
        <v>0.62850668726091341</v>
      </c>
      <c r="E21" s="16"/>
      <c r="F21" s="16">
        <f>D21/$E3</f>
        <v>203.09217689986968</v>
      </c>
      <c r="G21" s="16"/>
      <c r="H21" s="16"/>
    </row>
    <row r="22" spans="1:8">
      <c r="A22" s="13"/>
      <c r="B22" s="13">
        <v>17.7</v>
      </c>
      <c r="C22" s="13">
        <v>18.78</v>
      </c>
      <c r="D22" s="13">
        <f t="shared" si="0"/>
        <v>0.47302882336279739</v>
      </c>
      <c r="E22" s="16"/>
      <c r="F22" s="16">
        <f>D22/$E3</f>
        <v>152.85191935158096</v>
      </c>
      <c r="G22" s="16"/>
      <c r="H22" s="16"/>
    </row>
    <row r="23" spans="1:8">
      <c r="C23" s="14"/>
    </row>
  </sheetData>
  <mergeCells count="2">
    <mergeCell ref="B1:C1"/>
    <mergeCell ref="P1:Q1"/>
  </mergeCells>
  <phoneticPr fontId="9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"/>
  <sheetViews>
    <sheetView workbookViewId="0">
      <selection activeCell="L14" sqref="L14:M15"/>
    </sheetView>
  </sheetViews>
  <sheetFormatPr defaultRowHeight="15.9"/>
  <sheetData>
    <row r="1" spans="1:13">
      <c r="A1" t="s">
        <v>75</v>
      </c>
      <c r="B1" t="s">
        <v>76</v>
      </c>
    </row>
    <row r="2" spans="1:13">
      <c r="A2">
        <v>0</v>
      </c>
      <c r="B2">
        <v>0</v>
      </c>
    </row>
    <row r="3" spans="1:13">
      <c r="A3">
        <v>166.66666666666666</v>
      </c>
      <c r="B3">
        <v>179</v>
      </c>
    </row>
    <row r="4" spans="1:13">
      <c r="A4">
        <v>1666.6666666666667</v>
      </c>
      <c r="B4">
        <v>3478</v>
      </c>
    </row>
    <row r="14" spans="1:13">
      <c r="B14" t="s">
        <v>83</v>
      </c>
      <c r="C14" t="s">
        <v>76</v>
      </c>
      <c r="D14" s="18" t="s">
        <v>77</v>
      </c>
      <c r="E14" s="18" t="s">
        <v>78</v>
      </c>
      <c r="F14" s="18" t="s">
        <v>79</v>
      </c>
      <c r="G14" s="18" t="s">
        <v>80</v>
      </c>
      <c r="H14" s="18" t="s">
        <v>81</v>
      </c>
      <c r="I14" s="18" t="s">
        <v>82</v>
      </c>
      <c r="J14" s="18" t="s">
        <v>7</v>
      </c>
      <c r="L14" t="s">
        <v>59</v>
      </c>
      <c r="M14" t="s">
        <v>85</v>
      </c>
    </row>
    <row r="15" spans="1:13">
      <c r="A15" t="s">
        <v>59</v>
      </c>
      <c r="B15" t="s">
        <v>84</v>
      </c>
      <c r="D15" s="18"/>
      <c r="E15" s="18"/>
      <c r="F15" s="18"/>
      <c r="G15" s="18"/>
      <c r="H15" s="18"/>
      <c r="I15" s="18"/>
      <c r="J15" s="18"/>
      <c r="L15">
        <f>0</f>
        <v>0</v>
      </c>
      <c r="M15">
        <f>I16</f>
        <v>77.445293191624998</v>
      </c>
    </row>
    <row r="16" spans="1:13">
      <c r="A16" t="s">
        <v>10</v>
      </c>
      <c r="B16">
        <v>16.545999999999999</v>
      </c>
      <c r="C16">
        <v>422</v>
      </c>
      <c r="D16" s="18">
        <f>(C16-83.473)/2.1313</f>
        <v>158.83592173790643</v>
      </c>
      <c r="E16" s="18">
        <f>D16*500/1000000</f>
        <v>7.9417960868953225E-2</v>
      </c>
      <c r="F16" s="18">
        <v>0.2175</v>
      </c>
      <c r="G16" s="18">
        <f>E16/F16</f>
        <v>0.36514004997219873</v>
      </c>
      <c r="H16" s="18">
        <f>G16*236.36</f>
        <v>86.304502211428897</v>
      </c>
      <c r="I16" s="18">
        <f>AVERAGE(H16:H19)</f>
        <v>77.445293191624998</v>
      </c>
      <c r="J16" s="18">
        <f>STDEV(H16:H19)/COUNT(H16:H19)</f>
        <v>2.0563078300505184</v>
      </c>
      <c r="M16">
        <f>J16</f>
        <v>2.0563078300505184</v>
      </c>
    </row>
    <row r="17" spans="2:9">
      <c r="B17">
        <v>16.555</v>
      </c>
      <c r="C17">
        <v>376</v>
      </c>
      <c r="D17" s="18">
        <f t="shared" ref="D17:D19" si="0">(C17-83.473)/2.1313</f>
        <v>137.25285037301177</v>
      </c>
      <c r="E17" s="18">
        <f t="shared" ref="E17:E19" si="1">D17*500/1000000</f>
        <v>6.8626425186505885E-2</v>
      </c>
      <c r="F17" s="18">
        <v>0.2175</v>
      </c>
      <c r="G17" s="18">
        <f t="shared" ref="G17:G19" si="2">E17/F17</f>
        <v>0.3155237939609466</v>
      </c>
      <c r="H17" s="18">
        <f t="shared" ref="H17:H19" si="3">G17*236.36</f>
        <v>74.577203940609337</v>
      </c>
      <c r="I17" s="18"/>
    </row>
    <row r="18" spans="2:9">
      <c r="B18">
        <v>16.521000000000001</v>
      </c>
      <c r="C18">
        <v>348</v>
      </c>
      <c r="D18" s="18">
        <f t="shared" si="0"/>
        <v>124.11532867264111</v>
      </c>
      <c r="E18" s="18">
        <f t="shared" si="1"/>
        <v>6.205766433632056E-2</v>
      </c>
      <c r="F18" s="18">
        <v>0.2175</v>
      </c>
      <c r="G18" s="18">
        <f t="shared" si="2"/>
        <v>0.28532259464974968</v>
      </c>
      <c r="H18" s="18">
        <f t="shared" si="3"/>
        <v>67.438848471414843</v>
      </c>
      <c r="I18" s="18"/>
    </row>
    <row r="19" spans="2:9">
      <c r="B19">
        <v>16.533999999999999</v>
      </c>
      <c r="C19">
        <v>403</v>
      </c>
      <c r="D19" s="18">
        <f t="shared" si="0"/>
        <v>149.92117486979777</v>
      </c>
      <c r="E19" s="18">
        <f t="shared" si="1"/>
        <v>7.496058743489889E-2</v>
      </c>
      <c r="F19" s="18">
        <v>0.2175</v>
      </c>
      <c r="G19" s="18">
        <f t="shared" si="2"/>
        <v>0.3446463790110294</v>
      </c>
      <c r="H19" s="18">
        <f t="shared" si="3"/>
        <v>81.460618143046915</v>
      </c>
    </row>
  </sheetData>
  <phoneticPr fontId="9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0"/>
  <sheetViews>
    <sheetView workbookViewId="0">
      <selection activeCell="D14" sqref="D14"/>
    </sheetView>
  </sheetViews>
  <sheetFormatPr defaultRowHeight="15.9"/>
  <sheetData>
    <row r="1" spans="1:7">
      <c r="B1" t="s">
        <v>87</v>
      </c>
      <c r="C1" t="s">
        <v>32</v>
      </c>
      <c r="D1" t="s">
        <v>7</v>
      </c>
      <c r="E1" t="s">
        <v>8</v>
      </c>
    </row>
    <row r="2" spans="1:7">
      <c r="A2" t="s">
        <v>86</v>
      </c>
      <c r="B2">
        <v>1.8</v>
      </c>
      <c r="C2">
        <f>AVERAGE(B2:B7)</f>
        <v>1.4166666666666667</v>
      </c>
      <c r="D2">
        <f>STDEV(B2:B7)/SQRT(COUNT(B2:B7))</f>
        <v>0.10461569884316807</v>
      </c>
      <c r="F2" t="s">
        <v>36</v>
      </c>
      <c r="G2" t="s">
        <v>34</v>
      </c>
    </row>
    <row r="3" spans="1:7">
      <c r="B3">
        <v>1.4</v>
      </c>
      <c r="F3">
        <f>C2</f>
        <v>1.4166666666666667</v>
      </c>
      <c r="G3">
        <f>C8</f>
        <v>0.29333333333333339</v>
      </c>
    </row>
    <row r="4" spans="1:7">
      <c r="B4">
        <v>1</v>
      </c>
      <c r="F4">
        <f>D2</f>
        <v>0.10461569884316807</v>
      </c>
      <c r="G4">
        <f>D8</f>
        <v>1.4529663145135577E-2</v>
      </c>
    </row>
    <row r="5" spans="1:7">
      <c r="B5">
        <v>1.4</v>
      </c>
    </row>
    <row r="6" spans="1:7">
      <c r="B6">
        <v>1.5</v>
      </c>
    </row>
    <row r="7" spans="1:7">
      <c r="B7">
        <v>1.4</v>
      </c>
    </row>
    <row r="8" spans="1:7">
      <c r="A8" t="s">
        <v>88</v>
      </c>
      <c r="B8">
        <v>0.32</v>
      </c>
      <c r="C8">
        <f>AVERAGE(B8:B10)</f>
        <v>0.29333333333333339</v>
      </c>
      <c r="D8">
        <f>STDEV(B8:B10)/SQRT(COUNT(B8:B10))</f>
        <v>1.4529663145135577E-2</v>
      </c>
      <c r="E8">
        <f>TTEST(B2:B7,B8:B10,2,2)</f>
        <v>1.5983234059444557E-4</v>
      </c>
    </row>
    <row r="9" spans="1:7">
      <c r="B9">
        <v>0.27</v>
      </c>
    </row>
    <row r="10" spans="1:7">
      <c r="B10">
        <v>0.28999999999999998</v>
      </c>
    </row>
  </sheetData>
  <phoneticPr fontId="9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workbookViewId="0">
      <selection activeCell="G23" sqref="G23"/>
    </sheetView>
  </sheetViews>
  <sheetFormatPr defaultRowHeight="15.9"/>
  <sheetData>
    <row r="1" spans="1:8">
      <c r="A1" s="8" t="s">
        <v>36</v>
      </c>
      <c r="B1" t="s">
        <v>31</v>
      </c>
    </row>
    <row r="2" spans="1:8">
      <c r="A2" t="s">
        <v>10</v>
      </c>
      <c r="B2">
        <v>2.1</v>
      </c>
      <c r="C2">
        <v>2.6</v>
      </c>
      <c r="D2">
        <v>3</v>
      </c>
      <c r="G2" s="33" t="s">
        <v>37</v>
      </c>
      <c r="H2" s="33"/>
    </row>
    <row r="3" spans="1:8">
      <c r="B3">
        <v>2.2000000000000002</v>
      </c>
      <c r="C3">
        <v>3</v>
      </c>
      <c r="D3">
        <v>2.9</v>
      </c>
      <c r="F3" t="s">
        <v>34</v>
      </c>
      <c r="G3" t="s">
        <v>18</v>
      </c>
      <c r="H3" t="s">
        <v>35</v>
      </c>
    </row>
    <row r="4" spans="1:8">
      <c r="A4" t="s">
        <v>32</v>
      </c>
      <c r="B4">
        <f>AVERAGE(B2:B3)</f>
        <v>2.1500000000000004</v>
      </c>
      <c r="C4">
        <f t="shared" ref="C4:D4" si="0">AVERAGE(C2:C3)</f>
        <v>2.8</v>
      </c>
      <c r="D4">
        <f t="shared" si="0"/>
        <v>2.95</v>
      </c>
      <c r="G4">
        <f>D19*100</f>
        <v>58.860759493670891</v>
      </c>
      <c r="H4">
        <f>D26*100</f>
        <v>40</v>
      </c>
    </row>
    <row r="5" spans="1:8">
      <c r="C5" t="s">
        <v>32</v>
      </c>
      <c r="D5">
        <f>AVERAGE(B4:D4)</f>
        <v>2.6333333333333333</v>
      </c>
      <c r="G5">
        <f>D20</f>
        <v>1.8987341772151889E-2</v>
      </c>
      <c r="H5">
        <f>D27</f>
        <v>1.818181818181816E-2</v>
      </c>
    </row>
    <row r="6" spans="1:8">
      <c r="C6" t="s">
        <v>7</v>
      </c>
      <c r="D6">
        <f>STDEV(B4:D4)/SQRT(COUNT(B4:D4))</f>
        <v>0.2455153310442699</v>
      </c>
    </row>
    <row r="7" spans="1:8">
      <c r="B7" t="s">
        <v>31</v>
      </c>
    </row>
    <row r="8" spans="1:8">
      <c r="A8" t="s">
        <v>11</v>
      </c>
      <c r="B8">
        <v>2.5</v>
      </c>
      <c r="C8">
        <v>2.5</v>
      </c>
      <c r="D8">
        <v>2.7</v>
      </c>
    </row>
    <row r="9" spans="1:8">
      <c r="B9">
        <v>2.7</v>
      </c>
      <c r="C9">
        <v>3.2</v>
      </c>
      <c r="D9">
        <v>2.9</v>
      </c>
    </row>
    <row r="10" spans="1:8">
      <c r="A10" t="s">
        <v>32</v>
      </c>
      <c r="B10">
        <f>AVERAGE(B8:B9)</f>
        <v>2.6</v>
      </c>
      <c r="C10">
        <f t="shared" ref="C10:D10" si="1">AVERAGE(C8:C9)</f>
        <v>2.85</v>
      </c>
      <c r="D10">
        <f t="shared" si="1"/>
        <v>2.8</v>
      </c>
    </row>
    <row r="11" spans="1:8">
      <c r="C11" t="s">
        <v>32</v>
      </c>
      <c r="D11">
        <f>AVERAGE(B10:D10)</f>
        <v>2.75</v>
      </c>
    </row>
    <row r="12" spans="1:8">
      <c r="C12" t="s">
        <v>7</v>
      </c>
      <c r="D12">
        <f>STDEV(B10:D10)/SQRT(COUNT(B10:D10))</f>
        <v>7.6376261582597318E-2</v>
      </c>
    </row>
    <row r="14" spans="1:8">
      <c r="A14" s="8" t="s">
        <v>34</v>
      </c>
      <c r="C14" t="s">
        <v>31</v>
      </c>
    </row>
    <row r="15" spans="1:8">
      <c r="A15" t="s">
        <v>10</v>
      </c>
      <c r="C15">
        <v>1.5</v>
      </c>
      <c r="D15">
        <v>1.4</v>
      </c>
    </row>
    <row r="16" spans="1:8">
      <c r="C16">
        <v>1.7</v>
      </c>
      <c r="D16">
        <v>1.6</v>
      </c>
    </row>
    <row r="17" spans="1:4">
      <c r="A17" t="s">
        <v>32</v>
      </c>
      <c r="C17">
        <f>AVERAGE(C15:C16)</f>
        <v>1.6</v>
      </c>
      <c r="D17">
        <f>AVERAGE(D15:D16)</f>
        <v>1.5</v>
      </c>
    </row>
    <row r="18" spans="1:4">
      <c r="A18" t="s">
        <v>33</v>
      </c>
      <c r="C18">
        <f>C17/D5</f>
        <v>0.60759493670886078</v>
      </c>
      <c r="D18">
        <f>D17/D5</f>
        <v>0.569620253164557</v>
      </c>
    </row>
    <row r="19" spans="1:4">
      <c r="C19" t="s">
        <v>32</v>
      </c>
      <c r="D19">
        <f>AVERAGE(C18:D18)</f>
        <v>0.58860759493670889</v>
      </c>
    </row>
    <row r="20" spans="1:4">
      <c r="C20" t="s">
        <v>7</v>
      </c>
      <c r="D20">
        <f>STDEV(C18:D18)/SQRT(COUNT(C18:D18))</f>
        <v>1.8987341772151889E-2</v>
      </c>
    </row>
    <row r="21" spans="1:4">
      <c r="C21" t="s">
        <v>31</v>
      </c>
    </row>
    <row r="22" spans="1:4">
      <c r="A22" t="s">
        <v>11</v>
      </c>
      <c r="C22">
        <v>1.1000000000000001</v>
      </c>
      <c r="D22">
        <v>1.1000000000000001</v>
      </c>
    </row>
    <row r="23" spans="1:4">
      <c r="C23">
        <v>1.2</v>
      </c>
      <c r="D23">
        <v>1</v>
      </c>
    </row>
    <row r="24" spans="1:4">
      <c r="A24" t="s">
        <v>32</v>
      </c>
      <c r="C24">
        <f>AVERAGE(C22:C23)</f>
        <v>1.1499999999999999</v>
      </c>
      <c r="D24">
        <f>AVERAGE(D22:D23)</f>
        <v>1.05</v>
      </c>
    </row>
    <row r="25" spans="1:4">
      <c r="A25" t="s">
        <v>33</v>
      </c>
      <c r="C25">
        <f>C24/D11</f>
        <v>0.41818181818181815</v>
      </c>
      <c r="D25">
        <f>D24/D11</f>
        <v>0.38181818181818183</v>
      </c>
    </row>
    <row r="26" spans="1:4">
      <c r="C26" t="s">
        <v>32</v>
      </c>
      <c r="D26">
        <f>AVERAGE(C25:D25)</f>
        <v>0.4</v>
      </c>
    </row>
    <row r="27" spans="1:4">
      <c r="C27" t="s">
        <v>7</v>
      </c>
      <c r="D27">
        <f>STDEV(C25:D25)/SQRT(COUNT(C25:D25))</f>
        <v>1.818181818181816E-2</v>
      </c>
    </row>
    <row r="28" spans="1:4">
      <c r="C28" t="s">
        <v>8</v>
      </c>
      <c r="D28">
        <f>TTEST(C18:D18,C25:D25,2,2)</f>
        <v>1.887926273096726E-2</v>
      </c>
    </row>
  </sheetData>
  <mergeCells count="1">
    <mergeCell ref="G2:H2"/>
  </mergeCells>
  <phoneticPr fontId="9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9"/>
  <sheetViews>
    <sheetView workbookViewId="0">
      <selection activeCell="I29" sqref="I29"/>
    </sheetView>
  </sheetViews>
  <sheetFormatPr defaultRowHeight="15.9"/>
  <sheetData>
    <row r="1" spans="1:11">
      <c r="A1" s="9" t="s">
        <v>39</v>
      </c>
      <c r="B1" t="s">
        <v>31</v>
      </c>
    </row>
    <row r="2" spans="1:11">
      <c r="A2" t="s">
        <v>10</v>
      </c>
      <c r="B2">
        <v>2.6</v>
      </c>
      <c r="C2">
        <v>2.4</v>
      </c>
      <c r="D2">
        <v>2.6</v>
      </c>
      <c r="J2" s="33" t="s">
        <v>37</v>
      </c>
      <c r="K2" s="33"/>
    </row>
    <row r="3" spans="1:11">
      <c r="B3">
        <v>2.4</v>
      </c>
      <c r="C3">
        <v>2.8</v>
      </c>
      <c r="D3">
        <v>2.8</v>
      </c>
      <c r="I3" t="s">
        <v>38</v>
      </c>
      <c r="J3" t="s">
        <v>18</v>
      </c>
      <c r="K3" t="s">
        <v>35</v>
      </c>
    </row>
    <row r="4" spans="1:11">
      <c r="A4" t="s">
        <v>32</v>
      </c>
      <c r="B4">
        <f>AVERAGE(B2:B3)</f>
        <v>2.5</v>
      </c>
      <c r="C4">
        <f t="shared" ref="C4:D4" si="0">AVERAGE(C2:C3)</f>
        <v>2.5999999999999996</v>
      </c>
      <c r="D4">
        <f t="shared" si="0"/>
        <v>2.7</v>
      </c>
      <c r="E4">
        <v>3.3</v>
      </c>
      <c r="F4">
        <v>5.5</v>
      </c>
      <c r="G4">
        <v>5.5</v>
      </c>
      <c r="J4">
        <f>G20</f>
        <v>1.0367132867132867</v>
      </c>
      <c r="K4">
        <f>G27</f>
        <v>0.70225155279503104</v>
      </c>
    </row>
    <row r="5" spans="1:11">
      <c r="C5" t="s">
        <v>32</v>
      </c>
      <c r="D5">
        <f>AVERAGE(B4:D4)</f>
        <v>2.6</v>
      </c>
      <c r="F5" t="s">
        <v>32</v>
      </c>
      <c r="G5">
        <f>AVERAGE(E4:G4)</f>
        <v>4.7666666666666666</v>
      </c>
      <c r="J5">
        <f>G21</f>
        <v>4.876546572423366E-2</v>
      </c>
      <c r="K5">
        <f>G28</f>
        <v>3.0260086942576824E-2</v>
      </c>
    </row>
    <row r="6" spans="1:11">
      <c r="C6" t="s">
        <v>7</v>
      </c>
      <c r="D6">
        <f>STDEV(B4:D4)/SQRT(COUNT(B4:D4))</f>
        <v>5.773502691896263E-2</v>
      </c>
      <c r="F6" t="s">
        <v>7</v>
      </c>
      <c r="G6">
        <f>STDEV(E4:G4)/SQRT(COUNT(E4:G4))</f>
        <v>0.73333333333333262</v>
      </c>
    </row>
    <row r="7" spans="1:11">
      <c r="B7" t="s">
        <v>31</v>
      </c>
    </row>
    <row r="8" spans="1:11">
      <c r="A8" t="s">
        <v>11</v>
      </c>
      <c r="B8">
        <v>2.2999999999999998</v>
      </c>
      <c r="C8">
        <v>2.5</v>
      </c>
      <c r="D8">
        <v>2.6</v>
      </c>
    </row>
    <row r="9" spans="1:11">
      <c r="B9">
        <v>2.9</v>
      </c>
      <c r="C9">
        <v>3</v>
      </c>
      <c r="D9">
        <v>2.8</v>
      </c>
    </row>
    <row r="10" spans="1:11">
      <c r="A10" t="s">
        <v>32</v>
      </c>
      <c r="B10">
        <f>AVERAGE(B8:B9)</f>
        <v>2.5999999999999996</v>
      </c>
      <c r="C10">
        <f t="shared" ref="C10:D10" si="1">AVERAGE(C8:C9)</f>
        <v>2.75</v>
      </c>
      <c r="D10">
        <f t="shared" si="1"/>
        <v>2.7</v>
      </c>
      <c r="E10">
        <v>2</v>
      </c>
      <c r="F10">
        <v>1.2</v>
      </c>
      <c r="G10">
        <v>2.4</v>
      </c>
    </row>
    <row r="11" spans="1:11">
      <c r="C11" t="s">
        <v>32</v>
      </c>
      <c r="D11">
        <f>AVERAGE(B10:D10)</f>
        <v>2.6833333333333336</v>
      </c>
      <c r="F11" t="s">
        <v>32</v>
      </c>
      <c r="G11">
        <f>AVERAGE(E10:G10)</f>
        <v>1.8666666666666665</v>
      </c>
    </row>
    <row r="12" spans="1:11">
      <c r="C12" t="s">
        <v>7</v>
      </c>
      <c r="D12">
        <f>STDEV(B10:D10)/SQRT(COUNT(B10:D10))</f>
        <v>4.4095855184409963E-2</v>
      </c>
      <c r="F12" t="s">
        <v>7</v>
      </c>
      <c r="G12">
        <f>STDEV(E10:G10)/SQRT(COUNT(E10:G10))</f>
        <v>0.35276684147527909</v>
      </c>
    </row>
    <row r="14" spans="1:11">
      <c r="A14" s="9" t="s">
        <v>40</v>
      </c>
    </row>
    <row r="15" spans="1:11">
      <c r="B15" t="s">
        <v>31</v>
      </c>
    </row>
    <row r="16" spans="1:11">
      <c r="A16" t="s">
        <v>10</v>
      </c>
      <c r="B16">
        <v>2.2000000000000002</v>
      </c>
      <c r="C16">
        <v>2.1</v>
      </c>
      <c r="D16">
        <v>2.8</v>
      </c>
    </row>
    <row r="17" spans="1:7">
      <c r="B17">
        <v>2.6</v>
      </c>
      <c r="C17">
        <v>2.5</v>
      </c>
      <c r="D17">
        <v>2.8</v>
      </c>
    </row>
    <row r="18" spans="1:7">
      <c r="A18" t="s">
        <v>32</v>
      </c>
      <c r="B18">
        <f>AVERAGE(B16:B17)</f>
        <v>2.4000000000000004</v>
      </c>
      <c r="C18">
        <f t="shared" ref="C18:D18" si="2">AVERAGE(C16:C17)</f>
        <v>2.2999999999999998</v>
      </c>
      <c r="D18">
        <f t="shared" si="2"/>
        <v>2.8</v>
      </c>
      <c r="E18">
        <v>4.8</v>
      </c>
      <c r="F18">
        <v>5.6</v>
      </c>
      <c r="G18">
        <v>5.5</v>
      </c>
    </row>
    <row r="19" spans="1:7">
      <c r="A19" t="s">
        <v>33</v>
      </c>
      <c r="B19">
        <f>B18/D5</f>
        <v>0.92307692307692313</v>
      </c>
      <c r="C19">
        <f>C18/D5</f>
        <v>0.88461538461538447</v>
      </c>
      <c r="D19">
        <f>D18/D5</f>
        <v>1.0769230769230769</v>
      </c>
      <c r="E19">
        <f>E18/G5</f>
        <v>1.0069930069930069</v>
      </c>
      <c r="F19">
        <f>F18/G5</f>
        <v>1.1748251748251748</v>
      </c>
      <c r="G19">
        <f>G18/G5</f>
        <v>1.153846153846154</v>
      </c>
    </row>
    <row r="20" spans="1:7">
      <c r="F20" t="s">
        <v>32</v>
      </c>
      <c r="G20">
        <f>AVERAGE(B19:G19)</f>
        <v>1.0367132867132867</v>
      </c>
    </row>
    <row r="21" spans="1:7">
      <c r="F21" t="s">
        <v>7</v>
      </c>
      <c r="G21">
        <f>STDEV(B19:G19)/SQRT(COUNT(B19:G19))</f>
        <v>4.876546572423366E-2</v>
      </c>
    </row>
    <row r="22" spans="1:7">
      <c r="B22" t="s">
        <v>31</v>
      </c>
    </row>
    <row r="23" spans="1:7">
      <c r="A23" t="s">
        <v>11</v>
      </c>
      <c r="B23">
        <v>2.1</v>
      </c>
      <c r="C23">
        <v>1.5</v>
      </c>
      <c r="D23">
        <v>1.9</v>
      </c>
    </row>
    <row r="24" spans="1:7">
      <c r="B24">
        <v>2.2000000000000002</v>
      </c>
      <c r="C24">
        <v>1.7</v>
      </c>
      <c r="D24">
        <v>2</v>
      </c>
    </row>
    <row r="25" spans="1:7">
      <c r="A25" t="s">
        <v>32</v>
      </c>
      <c r="B25">
        <f>AVERAGE(B23:B24)</f>
        <v>2.1500000000000004</v>
      </c>
      <c r="C25">
        <f t="shared" ref="C25:D25" si="3">AVERAGE(C23:C24)</f>
        <v>1.6</v>
      </c>
      <c r="D25">
        <f t="shared" si="3"/>
        <v>1.95</v>
      </c>
      <c r="E25">
        <v>1.4</v>
      </c>
      <c r="F25">
        <v>1.2</v>
      </c>
      <c r="G25">
        <v>1.3</v>
      </c>
    </row>
    <row r="26" spans="1:7">
      <c r="A26" t="s">
        <v>33</v>
      </c>
      <c r="B26">
        <f>B25/D11</f>
        <v>0.80124223602484479</v>
      </c>
      <c r="C26">
        <f>C25/D11</f>
        <v>0.59627329192546585</v>
      </c>
      <c r="D26">
        <f>D25/D11</f>
        <v>0.72670807453416142</v>
      </c>
      <c r="E26">
        <f>E25/G11</f>
        <v>0.75</v>
      </c>
      <c r="F26">
        <f>F25/G11</f>
        <v>0.6428571428571429</v>
      </c>
      <c r="G26">
        <f>G25/G11</f>
        <v>0.69642857142857151</v>
      </c>
    </row>
    <row r="27" spans="1:7">
      <c r="F27" t="s">
        <v>32</v>
      </c>
      <c r="G27">
        <f>AVERAGE(B26:G26)</f>
        <v>0.70225155279503104</v>
      </c>
    </row>
    <row r="28" spans="1:7">
      <c r="F28" t="s">
        <v>7</v>
      </c>
      <c r="G28">
        <f>STDEV(B26:G26)/SQRT(COUNT(B26:G26))</f>
        <v>3.0260086942576824E-2</v>
      </c>
    </row>
    <row r="29" spans="1:7">
      <c r="F29" t="s">
        <v>8</v>
      </c>
      <c r="G29">
        <f>TTEST(B19:G19,B26:G26,2,2)</f>
        <v>1.6655554045563181E-4</v>
      </c>
    </row>
  </sheetData>
  <mergeCells count="1">
    <mergeCell ref="J2:K2"/>
  </mergeCells>
  <phoneticPr fontId="9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Figure S5B</vt:lpstr>
      <vt:lpstr>Figure S5A</vt:lpstr>
      <vt:lpstr>Figure S6B</vt:lpstr>
      <vt:lpstr>Figure S6C</vt:lpstr>
      <vt:lpstr>Figure S6D</vt:lpstr>
      <vt:lpstr>Figure S6E</vt:lpstr>
      <vt:lpstr>Figure S6F</vt:lpstr>
      <vt:lpstr>Figure S7A</vt:lpstr>
      <vt:lpstr>Figure S7B</vt:lpstr>
      <vt:lpstr>Figure S7C</vt:lpstr>
      <vt:lpstr>Figure S7D</vt:lpstr>
      <vt:lpstr>Figure S7E</vt:lpstr>
      <vt:lpstr>Figure S7F</vt:lpstr>
      <vt:lpstr>Figure S7G</vt:lpstr>
      <vt:lpstr>Table S3</vt:lpstr>
      <vt:lpstr>Figure S8A</vt:lpstr>
      <vt:lpstr>Figure S8B</vt:lpstr>
      <vt:lpstr>Figure S8C</vt:lpstr>
      <vt:lpstr>Figure S8D</vt:lpstr>
      <vt:lpstr>Figure S8E</vt:lpstr>
      <vt:lpstr>Figure S9A</vt:lpstr>
      <vt:lpstr>Figure S9B</vt:lpstr>
      <vt:lpstr>Figure S9C</vt:lpstr>
      <vt:lpstr>Figure S9F</vt:lpstr>
      <vt:lpstr>Supplementary Figure S10</vt:lpstr>
      <vt:lpstr>Supplementary Figure S11A</vt:lpstr>
      <vt:lpstr>Supplementary Figure S12B</vt:lpstr>
      <vt:lpstr>Supplementary Figure S12C</vt:lpstr>
      <vt:lpstr>Supplementary Figure S12D</vt:lpstr>
      <vt:lpstr>Supplementary Figure S12E</vt:lpstr>
      <vt:lpstr>Supplementary Figure S13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坂田七海</dc:creator>
  <cp:keywords/>
  <dc:description/>
  <cp:lastModifiedBy>MDPI</cp:lastModifiedBy>
  <cp:revision/>
  <dcterms:created xsi:type="dcterms:W3CDTF">2021-06-10T21:30:47Z</dcterms:created>
  <dcterms:modified xsi:type="dcterms:W3CDTF">2022-06-30T10:08:49Z</dcterms:modified>
  <cp:category/>
  <cp:contentStatus/>
</cp:coreProperties>
</file>