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mh-my.sharepoint.com/personal/jmperez_miumh_umh_es/Documents/3 - RESEARCH/ARTÍCULOS/32 - Callus_Olha/OY_Callus_paper/0 - OY_PAPER_FINAL/"/>
    </mc:Choice>
  </mc:AlternateContent>
  <xr:revisionPtr revIDLastSave="6" documentId="8_{F04E37D3-F546-441A-8678-E413BC5BBBA8}" xr6:coauthVersionLast="47" xr6:coauthVersionMax="47" xr10:uidLastSave="{35568BB3-6F3F-4686-BDA0-6552A7346680}"/>
  <bookViews>
    <workbookView minimized="1" xWindow="1725" yWindow="1725" windowWidth="7485" windowHeight="2955" xr2:uid="{F1ED8AF7-F165-48C3-8D47-E4B18BDFC4C1}"/>
  </bookViews>
  <sheets>
    <sheet name="S1_A_E1_E2_E3" sheetId="2" r:id="rId1"/>
    <sheet name="S1_B_E4" sheetId="1" r:id="rId2"/>
  </sheets>
  <definedNames>
    <definedName name="_xlnm._FilterDatabase" localSheetId="0" hidden="1">S1_A_E1_E2_E3!$A$1:$W$590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6" i="2" l="1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1" i="2"/>
  <c r="E1" i="2"/>
  <c r="H2" i="2"/>
  <c r="I2" i="2"/>
  <c r="J2" i="2"/>
  <c r="M2" i="2" s="1"/>
  <c r="K2" i="2"/>
  <c r="N2" i="2" s="1"/>
  <c r="P2" i="2"/>
  <c r="Q2" i="2"/>
  <c r="H5" i="2"/>
  <c r="I5" i="2"/>
  <c r="J5" i="2"/>
  <c r="M5" i="2" s="1"/>
  <c r="K5" i="2"/>
  <c r="N5" i="2" s="1"/>
  <c r="P5" i="2"/>
  <c r="Q5" i="2"/>
  <c r="H7" i="2"/>
  <c r="I7" i="2"/>
  <c r="J7" i="2"/>
  <c r="K7" i="2"/>
  <c r="N7" i="2" s="1"/>
  <c r="H11" i="2"/>
  <c r="I11" i="2"/>
  <c r="L11" i="2" s="1"/>
  <c r="J11" i="2"/>
  <c r="M11" i="2" s="1"/>
  <c r="K11" i="2"/>
  <c r="N11" i="2"/>
  <c r="H20" i="2"/>
  <c r="N20" i="2" s="1"/>
  <c r="I20" i="2"/>
  <c r="J20" i="2"/>
  <c r="K20" i="2"/>
  <c r="H21" i="2"/>
  <c r="I21" i="2"/>
  <c r="J21" i="2"/>
  <c r="K21" i="2"/>
  <c r="N21" i="2" s="1"/>
  <c r="H22" i="2"/>
  <c r="I22" i="2"/>
  <c r="J22" i="2"/>
  <c r="K22" i="2"/>
  <c r="H23" i="2"/>
  <c r="I23" i="2"/>
  <c r="J23" i="2"/>
  <c r="M23" i="2" s="1"/>
  <c r="K23" i="2"/>
  <c r="N23" i="2" s="1"/>
  <c r="H24" i="2"/>
  <c r="I24" i="2"/>
  <c r="L24" i="2" s="1"/>
  <c r="J24" i="2"/>
  <c r="M24" i="2" s="1"/>
  <c r="K24" i="2"/>
  <c r="N24" i="2"/>
  <c r="H25" i="2"/>
  <c r="M25" i="2" s="1"/>
  <c r="I25" i="2"/>
  <c r="J25" i="2"/>
  <c r="K25" i="2"/>
  <c r="H26" i="2"/>
  <c r="I26" i="2"/>
  <c r="L26" i="2" s="1"/>
  <c r="J26" i="2"/>
  <c r="K26" i="2"/>
  <c r="N26" i="2"/>
  <c r="H27" i="2"/>
  <c r="M27" i="2" s="1"/>
  <c r="I27" i="2"/>
  <c r="J27" i="2"/>
  <c r="K27" i="2"/>
  <c r="H28" i="2"/>
  <c r="I28" i="2"/>
  <c r="H29" i="2"/>
  <c r="M29" i="2" s="1"/>
  <c r="I29" i="2"/>
  <c r="J29" i="2"/>
  <c r="K29" i="2"/>
  <c r="H30" i="2"/>
  <c r="I30" i="2"/>
  <c r="J30" i="2"/>
  <c r="K30" i="2"/>
  <c r="N30" i="2" s="1"/>
  <c r="H39" i="2"/>
  <c r="I39" i="2"/>
  <c r="L39" i="2" s="1"/>
  <c r="J39" i="2"/>
  <c r="K39" i="2"/>
  <c r="M39" i="2"/>
  <c r="N39" i="2"/>
  <c r="P39" i="2"/>
  <c r="Q39" i="2"/>
  <c r="H40" i="2"/>
  <c r="I40" i="2"/>
  <c r="J40" i="2"/>
  <c r="K40" i="2"/>
  <c r="H41" i="2"/>
  <c r="M41" i="2" s="1"/>
  <c r="I41" i="2"/>
  <c r="L41" i="2" s="1"/>
  <c r="J41" i="2"/>
  <c r="K41" i="2"/>
  <c r="N41" i="2"/>
  <c r="Q41" i="2"/>
  <c r="H42" i="2"/>
  <c r="I42" i="2"/>
  <c r="L42" i="2" s="1"/>
  <c r="J42" i="2"/>
  <c r="M42" i="2" s="1"/>
  <c r="K42" i="2"/>
  <c r="N42" i="2"/>
  <c r="P42" i="2"/>
  <c r="Q42" i="2"/>
  <c r="H43" i="2"/>
  <c r="I43" i="2"/>
  <c r="L43" i="2" s="1"/>
  <c r="J43" i="2"/>
  <c r="K43" i="2"/>
  <c r="N43" i="2"/>
  <c r="Q43" i="2"/>
  <c r="H44" i="2"/>
  <c r="I44" i="2"/>
  <c r="J44" i="2"/>
  <c r="K44" i="2"/>
  <c r="N44" i="2" s="1"/>
  <c r="L44" i="2"/>
  <c r="P44" i="2"/>
  <c r="Q44" i="2"/>
  <c r="H45" i="2"/>
  <c r="I45" i="2"/>
  <c r="J45" i="2"/>
  <c r="M45" i="2" s="1"/>
  <c r="K45" i="2"/>
  <c r="N45" i="2" s="1"/>
  <c r="L45" i="2"/>
  <c r="P45" i="2"/>
  <c r="Q45" i="2"/>
  <c r="H46" i="2"/>
  <c r="I46" i="2"/>
  <c r="J46" i="2"/>
  <c r="M46" i="2" s="1"/>
  <c r="L46" i="2"/>
  <c r="P46" i="2"/>
  <c r="H47" i="2"/>
  <c r="I47" i="2"/>
  <c r="J47" i="2"/>
  <c r="K47" i="2"/>
  <c r="N47" i="2"/>
  <c r="P47" i="2"/>
  <c r="Q47" i="2"/>
  <c r="H48" i="2"/>
  <c r="I48" i="2"/>
  <c r="L48" i="2" s="1"/>
  <c r="J48" i="2"/>
  <c r="M48" i="2" s="1"/>
  <c r="K48" i="2"/>
  <c r="N48" i="2" s="1"/>
  <c r="P48" i="2"/>
  <c r="Q48" i="2"/>
  <c r="H49" i="2"/>
  <c r="I49" i="2"/>
  <c r="L49" i="2" s="1"/>
  <c r="J49" i="2"/>
  <c r="M49" i="2" s="1"/>
  <c r="K49" i="2"/>
  <c r="N49" i="2"/>
  <c r="P49" i="2"/>
  <c r="Q49" i="2"/>
  <c r="H51" i="2"/>
  <c r="I51" i="2"/>
  <c r="L51" i="2" s="1"/>
  <c r="J51" i="2"/>
  <c r="M51" i="2" s="1"/>
  <c r="K51" i="2"/>
  <c r="N51" i="2" s="1"/>
  <c r="P51" i="2"/>
  <c r="Q51" i="2"/>
  <c r="H52" i="2"/>
  <c r="I52" i="2"/>
  <c r="J52" i="2"/>
  <c r="K52" i="2"/>
  <c r="P52" i="2"/>
  <c r="Q52" i="2"/>
  <c r="H53" i="2"/>
  <c r="I53" i="2"/>
  <c r="L53" i="2" s="1"/>
  <c r="J53" i="2"/>
  <c r="K53" i="2"/>
  <c r="P53" i="2"/>
  <c r="Q53" i="2"/>
  <c r="H55" i="2"/>
  <c r="I55" i="2"/>
  <c r="J55" i="2"/>
  <c r="M55" i="2" s="1"/>
  <c r="P55" i="2"/>
  <c r="H56" i="2"/>
  <c r="I56" i="2"/>
  <c r="J56" i="2"/>
  <c r="K56" i="2"/>
  <c r="P56" i="2"/>
  <c r="Q56" i="2"/>
  <c r="H60" i="2"/>
  <c r="I60" i="2"/>
  <c r="L60" i="2" s="1"/>
  <c r="J60" i="2"/>
  <c r="K60" i="2"/>
  <c r="P60" i="2"/>
  <c r="H61" i="2"/>
  <c r="I61" i="2"/>
  <c r="J61" i="2"/>
  <c r="P61" i="2"/>
  <c r="H62" i="2"/>
  <c r="I62" i="2"/>
  <c r="J62" i="2"/>
  <c r="K62" i="2"/>
  <c r="M62" i="2"/>
  <c r="P62" i="2"/>
  <c r="Q62" i="2"/>
  <c r="H63" i="2"/>
  <c r="I63" i="2"/>
  <c r="J63" i="2"/>
  <c r="K63" i="2"/>
  <c r="P63" i="2"/>
  <c r="Q63" i="2"/>
  <c r="H65" i="2"/>
  <c r="I65" i="2"/>
  <c r="J65" i="2"/>
  <c r="K65" i="2"/>
  <c r="N65" i="2" s="1"/>
  <c r="P65" i="2"/>
  <c r="Q65" i="2"/>
  <c r="H69" i="2"/>
  <c r="I69" i="2"/>
  <c r="J69" i="2"/>
  <c r="K69" i="2"/>
  <c r="H70" i="2"/>
  <c r="I70" i="2"/>
  <c r="L70" i="2" s="1"/>
  <c r="J70" i="2"/>
  <c r="K70" i="2"/>
  <c r="P70" i="2"/>
  <c r="Q70" i="2"/>
  <c r="H71" i="2"/>
  <c r="I71" i="2"/>
  <c r="J71" i="2"/>
  <c r="K71" i="2"/>
  <c r="P71" i="2"/>
  <c r="Q71" i="2"/>
  <c r="H72" i="2"/>
  <c r="I72" i="2"/>
  <c r="L72" i="2" s="1"/>
  <c r="J72" i="2"/>
  <c r="K72" i="2"/>
  <c r="M72" i="2"/>
  <c r="N72" i="2"/>
  <c r="P72" i="2"/>
  <c r="Q72" i="2"/>
  <c r="H73" i="2"/>
  <c r="I73" i="2"/>
  <c r="J73" i="2"/>
  <c r="K73" i="2"/>
  <c r="P73" i="2"/>
  <c r="Q73" i="2"/>
  <c r="H74" i="2"/>
  <c r="L74" i="2" s="1"/>
  <c r="I74" i="2"/>
  <c r="J74" i="2"/>
  <c r="M74" i="2" s="1"/>
  <c r="K74" i="2"/>
  <c r="N74" i="2" s="1"/>
  <c r="P74" i="2"/>
  <c r="Q74" i="2"/>
  <c r="H75" i="2"/>
  <c r="L75" i="2" s="1"/>
  <c r="I75" i="2"/>
  <c r="J75" i="2"/>
  <c r="M75" i="2" s="1"/>
  <c r="K75" i="2"/>
  <c r="N75" i="2" s="1"/>
  <c r="P75" i="2"/>
  <c r="Q75" i="2"/>
  <c r="H76" i="2"/>
  <c r="I76" i="2"/>
  <c r="J76" i="2"/>
  <c r="M76" i="2" s="1"/>
  <c r="K76" i="2"/>
  <c r="N76" i="2" s="1"/>
  <c r="P76" i="2"/>
  <c r="Q76" i="2"/>
  <c r="H78" i="2"/>
  <c r="I78" i="2"/>
  <c r="J78" i="2"/>
  <c r="H94" i="2"/>
  <c r="I94" i="2"/>
  <c r="L94" i="2" s="1"/>
  <c r="J94" i="2"/>
  <c r="K94" i="2"/>
  <c r="M94" i="2"/>
  <c r="P94" i="2"/>
  <c r="Q94" i="2"/>
  <c r="H107" i="2"/>
  <c r="I107" i="2"/>
  <c r="L107" i="2" s="1"/>
  <c r="J107" i="2"/>
  <c r="H108" i="2"/>
  <c r="I108" i="2"/>
  <c r="L108" i="2" s="1"/>
  <c r="J108" i="2"/>
  <c r="H110" i="2"/>
  <c r="I110" i="2"/>
  <c r="J110" i="2"/>
  <c r="M110" i="2" s="1"/>
  <c r="P110" i="2"/>
  <c r="H111" i="2"/>
  <c r="I111" i="2"/>
  <c r="L111" i="2" s="1"/>
  <c r="J111" i="2"/>
  <c r="H112" i="2"/>
  <c r="I112" i="2"/>
  <c r="L112" i="2" s="1"/>
  <c r="J112" i="2"/>
  <c r="K112" i="2"/>
  <c r="M112" i="2"/>
  <c r="N112" i="2"/>
  <c r="P112" i="2"/>
  <c r="Q112" i="2"/>
  <c r="H115" i="2"/>
  <c r="I115" i="2"/>
  <c r="L115" i="2" s="1"/>
  <c r="J115" i="2"/>
  <c r="M115" i="2" s="1"/>
  <c r="H116" i="2"/>
  <c r="I116" i="2"/>
  <c r="L116" i="2" s="1"/>
  <c r="J116" i="2"/>
  <c r="H117" i="2"/>
  <c r="I117" i="2"/>
  <c r="L117" i="2" s="1"/>
  <c r="J117" i="2"/>
  <c r="M117" i="2"/>
  <c r="H118" i="2"/>
  <c r="M118" i="2" s="1"/>
  <c r="I118" i="2"/>
  <c r="J118" i="2"/>
  <c r="K118" i="2"/>
  <c r="P118" i="2"/>
  <c r="Q118" i="2"/>
  <c r="H119" i="2"/>
  <c r="L119" i="2" s="1"/>
  <c r="I119" i="2"/>
  <c r="J119" i="2"/>
  <c r="K119" i="2"/>
  <c r="N119" i="2" s="1"/>
  <c r="P119" i="2"/>
  <c r="Q119" i="2"/>
  <c r="H120" i="2"/>
  <c r="L120" i="2" s="1"/>
  <c r="I120" i="2"/>
  <c r="J120" i="2"/>
  <c r="M120" i="2"/>
  <c r="H121" i="2"/>
  <c r="I121" i="2"/>
  <c r="J121" i="2"/>
  <c r="M121" i="2" s="1"/>
  <c r="H124" i="2"/>
  <c r="L124" i="2" s="1"/>
  <c r="I124" i="2"/>
  <c r="J124" i="2"/>
  <c r="P124" i="2"/>
  <c r="H125" i="2"/>
  <c r="I125" i="2"/>
  <c r="J125" i="2"/>
  <c r="M125" i="2" s="1"/>
  <c r="L125" i="2"/>
  <c r="P125" i="2"/>
  <c r="H126" i="2"/>
  <c r="I126" i="2"/>
  <c r="L126" i="2" s="1"/>
  <c r="J126" i="2"/>
  <c r="H127" i="2"/>
  <c r="I127" i="2"/>
  <c r="J127" i="2"/>
  <c r="K127" i="2"/>
  <c r="Q127" i="2"/>
  <c r="H128" i="2"/>
  <c r="I128" i="2"/>
  <c r="J128" i="2"/>
  <c r="H129" i="2"/>
  <c r="I129" i="2"/>
  <c r="L129" i="2" s="1"/>
  <c r="J129" i="2"/>
  <c r="M129" i="2" s="1"/>
  <c r="H130" i="2"/>
  <c r="I130" i="2"/>
  <c r="J130" i="2"/>
  <c r="H131" i="2"/>
  <c r="I131" i="2"/>
  <c r="L131" i="2" s="1"/>
  <c r="J131" i="2"/>
  <c r="M131" i="2" s="1"/>
  <c r="K131" i="2"/>
  <c r="N131" i="2" s="1"/>
  <c r="P131" i="2"/>
  <c r="Q131" i="2"/>
  <c r="H132" i="2"/>
  <c r="I132" i="2"/>
  <c r="J132" i="2"/>
  <c r="K132" i="2"/>
  <c r="P132" i="2"/>
  <c r="Q132" i="2"/>
  <c r="H133" i="2"/>
  <c r="I133" i="2"/>
  <c r="L133" i="2" s="1"/>
  <c r="J133" i="2"/>
  <c r="K133" i="2"/>
  <c r="P133" i="2"/>
  <c r="Q133" i="2"/>
  <c r="H136" i="2"/>
  <c r="I136" i="2"/>
  <c r="J136" i="2"/>
  <c r="P136" i="2"/>
  <c r="H137" i="2"/>
  <c r="I137" i="2"/>
  <c r="J137" i="2"/>
  <c r="M137" i="2"/>
  <c r="P137" i="2"/>
  <c r="H138" i="2"/>
  <c r="I138" i="2"/>
  <c r="L138" i="2" s="1"/>
  <c r="J138" i="2"/>
  <c r="M138" i="2" s="1"/>
  <c r="H139" i="2"/>
  <c r="I139" i="2"/>
  <c r="L139" i="2" s="1"/>
  <c r="J139" i="2"/>
  <c r="M139" i="2" s="1"/>
  <c r="H140" i="2"/>
  <c r="I140" i="2"/>
  <c r="J140" i="2"/>
  <c r="M140" i="2" s="1"/>
  <c r="H141" i="2"/>
  <c r="L141" i="2" s="1"/>
  <c r="I141" i="2"/>
  <c r="J141" i="2"/>
  <c r="H142" i="2"/>
  <c r="I142" i="2"/>
  <c r="J142" i="2"/>
  <c r="H152" i="2"/>
  <c r="I152" i="2"/>
  <c r="J152" i="2"/>
  <c r="K152" i="2"/>
  <c r="P152" i="2"/>
  <c r="Q152" i="2"/>
  <c r="H157" i="2"/>
  <c r="I157" i="2"/>
  <c r="L157" i="2" s="1"/>
  <c r="J157" i="2"/>
  <c r="K157" i="2"/>
  <c r="H158" i="2"/>
  <c r="I158" i="2"/>
  <c r="L158" i="2" s="1"/>
  <c r="J158" i="2"/>
  <c r="K158" i="2"/>
  <c r="H159" i="2"/>
  <c r="I159" i="2"/>
  <c r="L159" i="2" s="1"/>
  <c r="J159" i="2"/>
  <c r="K159" i="2"/>
  <c r="N159" i="2"/>
  <c r="H160" i="2"/>
  <c r="I160" i="2"/>
  <c r="J160" i="2"/>
  <c r="M160" i="2" s="1"/>
  <c r="L160" i="2"/>
  <c r="H161" i="2"/>
  <c r="I161" i="2"/>
  <c r="J161" i="2"/>
  <c r="M161" i="2" s="1"/>
  <c r="K161" i="2"/>
  <c r="N161" i="2" s="1"/>
  <c r="H162" i="2"/>
  <c r="I162" i="2"/>
  <c r="L162" i="2" s="1"/>
  <c r="J162" i="2"/>
  <c r="K162" i="2"/>
  <c r="H163" i="2"/>
  <c r="I163" i="2"/>
  <c r="L163" i="2" s="1"/>
  <c r="J163" i="2"/>
  <c r="K163" i="2"/>
  <c r="H164" i="2"/>
  <c r="I164" i="2"/>
  <c r="L164" i="2" s="1"/>
  <c r="J164" i="2"/>
  <c r="K164" i="2"/>
  <c r="M164" i="2"/>
  <c r="H165" i="2"/>
  <c r="L165" i="2" s="1"/>
  <c r="I165" i="2"/>
  <c r="J165" i="2"/>
  <c r="K165" i="2"/>
  <c r="H166" i="2"/>
  <c r="I166" i="2"/>
  <c r="M166" i="2"/>
  <c r="H167" i="2"/>
  <c r="M167" i="2" s="1"/>
  <c r="I167" i="2"/>
  <c r="H168" i="2"/>
  <c r="I168" i="2"/>
  <c r="L168" i="2" s="1"/>
  <c r="M168" i="2"/>
  <c r="H169" i="2"/>
  <c r="M169" i="2" s="1"/>
  <c r="I169" i="2"/>
  <c r="H170" i="2"/>
  <c r="M170" i="2" s="1"/>
  <c r="I170" i="2"/>
  <c r="L170" i="2" s="1"/>
  <c r="H184" i="2"/>
  <c r="I184" i="2"/>
  <c r="L184" i="2" s="1"/>
  <c r="J184" i="2"/>
  <c r="K184" i="2"/>
  <c r="P184" i="2"/>
  <c r="Q184" i="2"/>
  <c r="H185" i="2"/>
  <c r="N185" i="2" s="1"/>
  <c r="I185" i="2"/>
  <c r="J185" i="2"/>
  <c r="K185" i="2"/>
  <c r="P185" i="2"/>
  <c r="Q185" i="2"/>
  <c r="H189" i="2"/>
  <c r="M189" i="2" s="1"/>
  <c r="I189" i="2"/>
  <c r="L189" i="2" s="1"/>
  <c r="J189" i="2"/>
  <c r="K189" i="2"/>
  <c r="N189" i="2"/>
  <c r="H192" i="2"/>
  <c r="I192" i="2"/>
  <c r="J192" i="2"/>
  <c r="K192" i="2"/>
  <c r="N192" i="2" s="1"/>
  <c r="P192" i="2"/>
  <c r="Q192" i="2"/>
  <c r="H195" i="2"/>
  <c r="I195" i="2"/>
  <c r="J195" i="2"/>
  <c r="H197" i="2"/>
  <c r="I197" i="2"/>
  <c r="L197" i="2" s="1"/>
  <c r="J197" i="2"/>
  <c r="H198" i="2"/>
  <c r="I198" i="2"/>
  <c r="L198" i="2" s="1"/>
  <c r="J198" i="2"/>
  <c r="M198" i="2" s="1"/>
  <c r="K198" i="2"/>
  <c r="N198" i="2" s="1"/>
  <c r="P198" i="2"/>
  <c r="Q198" i="2"/>
  <c r="H199" i="2"/>
  <c r="I199" i="2"/>
  <c r="L199" i="2" s="1"/>
  <c r="J199" i="2"/>
  <c r="M199" i="2" s="1"/>
  <c r="K199" i="2"/>
  <c r="N199" i="2"/>
  <c r="P199" i="2"/>
  <c r="Q199" i="2"/>
  <c r="H200" i="2"/>
  <c r="I200" i="2"/>
  <c r="L200" i="2" s="1"/>
  <c r="J200" i="2"/>
  <c r="M200" i="2" s="1"/>
  <c r="K200" i="2"/>
  <c r="N200" i="2" s="1"/>
  <c r="P200" i="2"/>
  <c r="Q200" i="2"/>
  <c r="H201" i="2"/>
  <c r="I201" i="2"/>
  <c r="J201" i="2"/>
  <c r="H202" i="2"/>
  <c r="I202" i="2"/>
  <c r="L202" i="2" s="1"/>
  <c r="J202" i="2"/>
  <c r="K202" i="2"/>
  <c r="M202" i="2"/>
  <c r="P202" i="2"/>
  <c r="Q202" i="2"/>
  <c r="H203" i="2"/>
  <c r="I203" i="2"/>
  <c r="L203" i="2" s="1"/>
  <c r="J203" i="2"/>
  <c r="K203" i="2"/>
  <c r="P203" i="2"/>
  <c r="Q203" i="2"/>
  <c r="H206" i="2"/>
  <c r="I206" i="2"/>
  <c r="L206" i="2" s="1"/>
  <c r="J206" i="2"/>
  <c r="M206" i="2" s="1"/>
  <c r="K206" i="2"/>
  <c r="N206" i="2" s="1"/>
  <c r="P206" i="2"/>
  <c r="Q206" i="2"/>
  <c r="H207" i="2"/>
  <c r="L207" i="2" s="1"/>
  <c r="I207" i="2"/>
  <c r="J207" i="2"/>
  <c r="K207" i="2"/>
  <c r="P207" i="2"/>
  <c r="Q207" i="2"/>
  <c r="H208" i="2"/>
  <c r="I208" i="2"/>
  <c r="J208" i="2"/>
  <c r="K208" i="2"/>
  <c r="P208" i="2"/>
  <c r="Q208" i="2"/>
  <c r="H209" i="2"/>
  <c r="I209" i="2"/>
  <c r="J209" i="2"/>
  <c r="M209" i="2" s="1"/>
  <c r="K209" i="2"/>
  <c r="N209" i="2" s="1"/>
  <c r="P209" i="2"/>
  <c r="Q209" i="2"/>
  <c r="H210" i="2"/>
  <c r="I210" i="2"/>
  <c r="J210" i="2"/>
  <c r="K210" i="2"/>
  <c r="N210" i="2" s="1"/>
  <c r="M210" i="2"/>
  <c r="P210" i="2"/>
  <c r="Q210" i="2"/>
  <c r="H211" i="2"/>
  <c r="I211" i="2"/>
  <c r="J211" i="2"/>
  <c r="K211" i="2"/>
  <c r="P211" i="2"/>
  <c r="Q211" i="2"/>
  <c r="H212" i="2"/>
  <c r="I212" i="2"/>
  <c r="L212" i="2" s="1"/>
  <c r="J212" i="2"/>
  <c r="M212" i="2" s="1"/>
  <c r="K212" i="2"/>
  <c r="N212" i="2" s="1"/>
  <c r="P212" i="2"/>
  <c r="Q212" i="2"/>
  <c r="H213" i="2"/>
  <c r="I213" i="2"/>
  <c r="L213" i="2" s="1"/>
  <c r="J213" i="2"/>
  <c r="M213" i="2" s="1"/>
  <c r="K213" i="2"/>
  <c r="N213" i="2" s="1"/>
  <c r="Q213" i="2"/>
  <c r="H214" i="2"/>
  <c r="I214" i="2"/>
  <c r="J214" i="2"/>
  <c r="K214" i="2"/>
  <c r="L214" i="2"/>
  <c r="P214" i="2"/>
  <c r="Q214" i="2"/>
  <c r="H215" i="2"/>
  <c r="I215" i="2"/>
  <c r="L215" i="2" s="1"/>
  <c r="J215" i="2"/>
  <c r="K215" i="2"/>
  <c r="P215" i="2"/>
  <c r="Q215" i="2"/>
  <c r="H224" i="2"/>
  <c r="I224" i="2"/>
  <c r="J224" i="2"/>
  <c r="M224" i="2"/>
  <c r="H225" i="2"/>
  <c r="I225" i="2"/>
  <c r="J225" i="2"/>
  <c r="M225" i="2" s="1"/>
  <c r="L225" i="2"/>
  <c r="H226" i="2"/>
  <c r="I226" i="2"/>
  <c r="J226" i="2"/>
  <c r="K226" i="2"/>
  <c r="H227" i="2"/>
  <c r="I227" i="2"/>
  <c r="L227" i="2" s="1"/>
  <c r="J227" i="2"/>
  <c r="H228" i="2"/>
  <c r="I228" i="2"/>
  <c r="L228" i="2" s="1"/>
  <c r="J228" i="2"/>
  <c r="M228" i="2" s="1"/>
  <c r="H229" i="2"/>
  <c r="I229" i="2"/>
  <c r="L229" i="2" s="1"/>
  <c r="J229" i="2"/>
  <c r="M229" i="2" s="1"/>
  <c r="H230" i="2"/>
  <c r="I230" i="2"/>
  <c r="J230" i="2"/>
  <c r="M230" i="2" s="1"/>
  <c r="H231" i="2"/>
  <c r="M231" i="2" s="1"/>
  <c r="I231" i="2"/>
  <c r="H246" i="2"/>
  <c r="I246" i="2"/>
  <c r="J246" i="2"/>
  <c r="H253" i="2"/>
  <c r="I253" i="2"/>
  <c r="L253" i="2" s="1"/>
  <c r="J253" i="2"/>
  <c r="M253" i="2" s="1"/>
  <c r="H257" i="2"/>
  <c r="I257" i="2"/>
  <c r="L257" i="2" s="1"/>
  <c r="J257" i="2"/>
  <c r="H264" i="2"/>
  <c r="I264" i="2"/>
  <c r="L264" i="2" s="1"/>
  <c r="J264" i="2"/>
  <c r="M264" i="2" s="1"/>
  <c r="H266" i="2"/>
  <c r="I266" i="2"/>
  <c r="L266" i="2" s="1"/>
  <c r="J266" i="2"/>
  <c r="M266" i="2" s="1"/>
  <c r="H270" i="2"/>
  <c r="I270" i="2"/>
  <c r="J270" i="2"/>
  <c r="H271" i="2"/>
  <c r="I271" i="2"/>
  <c r="L271" i="2" s="1"/>
  <c r="J271" i="2"/>
  <c r="M271" i="2" s="1"/>
  <c r="K271" i="2"/>
  <c r="N271" i="2" s="1"/>
  <c r="P271" i="2"/>
  <c r="Q271" i="2"/>
  <c r="H275" i="2"/>
  <c r="I275" i="2"/>
  <c r="J275" i="2"/>
  <c r="H281" i="2"/>
  <c r="I281" i="2"/>
  <c r="L281" i="2" s="1"/>
  <c r="J281" i="2"/>
  <c r="M281" i="2"/>
  <c r="H282" i="2"/>
  <c r="I282" i="2"/>
  <c r="J282" i="2"/>
  <c r="H283" i="2"/>
  <c r="I283" i="2"/>
  <c r="L283" i="2" s="1"/>
  <c r="J283" i="2"/>
  <c r="K283" i="2"/>
  <c r="M283" i="2"/>
  <c r="N283" i="2"/>
  <c r="P283" i="2"/>
  <c r="Q283" i="2"/>
  <c r="H287" i="2"/>
  <c r="I287" i="2"/>
  <c r="J287" i="2"/>
  <c r="H288" i="2"/>
  <c r="I288" i="2"/>
  <c r="J288" i="2"/>
  <c r="M288" i="2" s="1"/>
  <c r="H289" i="2"/>
  <c r="I289" i="2"/>
  <c r="J289" i="2"/>
  <c r="K289" i="2"/>
  <c r="N289" i="2" s="1"/>
  <c r="P289" i="2"/>
  <c r="Q289" i="2"/>
  <c r="H290" i="2"/>
  <c r="I290" i="2"/>
  <c r="J290" i="2"/>
  <c r="M290" i="2" s="1"/>
  <c r="K290" i="2"/>
  <c r="N290" i="2" s="1"/>
  <c r="P290" i="2"/>
  <c r="Q290" i="2"/>
  <c r="H291" i="2"/>
  <c r="I291" i="2"/>
  <c r="J291" i="2"/>
  <c r="M291" i="2" s="1"/>
  <c r="K291" i="2"/>
  <c r="P291" i="2"/>
  <c r="Q291" i="2"/>
  <c r="H292" i="2"/>
  <c r="I292" i="2"/>
  <c r="J292" i="2"/>
  <c r="K292" i="2"/>
  <c r="L292" i="2"/>
  <c r="Q292" i="2"/>
  <c r="H293" i="2"/>
  <c r="I293" i="2"/>
  <c r="J293" i="2"/>
  <c r="M293" i="2" s="1"/>
  <c r="K293" i="2"/>
  <c r="P293" i="2"/>
  <c r="Q293" i="2"/>
  <c r="H294" i="2"/>
  <c r="L294" i="2" s="1"/>
  <c r="I294" i="2"/>
  <c r="J294" i="2"/>
  <c r="M294" i="2" s="1"/>
  <c r="K294" i="2"/>
  <c r="N294" i="2" s="1"/>
  <c r="H295" i="2"/>
  <c r="I295" i="2"/>
  <c r="L295" i="2" s="1"/>
  <c r="J295" i="2"/>
  <c r="M295" i="2"/>
  <c r="H296" i="2"/>
  <c r="I296" i="2"/>
  <c r="J296" i="2"/>
  <c r="H297" i="2"/>
  <c r="I297" i="2"/>
  <c r="L297" i="2" s="1"/>
  <c r="J297" i="2"/>
  <c r="H298" i="2"/>
  <c r="I298" i="2"/>
  <c r="L298" i="2" s="1"/>
  <c r="J298" i="2"/>
  <c r="M298" i="2" s="1"/>
  <c r="K298" i="2"/>
  <c r="N298" i="2"/>
  <c r="H299" i="2"/>
  <c r="I299" i="2"/>
  <c r="J299" i="2"/>
  <c r="H300" i="2"/>
  <c r="I300" i="2"/>
  <c r="J300" i="2"/>
  <c r="H301" i="2"/>
  <c r="I301" i="2"/>
  <c r="L301" i="2" s="1"/>
  <c r="J301" i="2"/>
  <c r="M301" i="2" s="1"/>
  <c r="H302" i="2"/>
  <c r="I302" i="2"/>
  <c r="L302" i="2" s="1"/>
  <c r="J302" i="2"/>
  <c r="H303" i="2"/>
  <c r="I303" i="2"/>
  <c r="L303" i="2" s="1"/>
  <c r="J303" i="2"/>
  <c r="H304" i="2"/>
  <c r="I304" i="2"/>
  <c r="L304" i="2" s="1"/>
  <c r="J304" i="2"/>
  <c r="M304" i="2" s="1"/>
  <c r="H305" i="2"/>
  <c r="I305" i="2"/>
  <c r="L305" i="2" s="1"/>
  <c r="J305" i="2"/>
  <c r="H318" i="2"/>
  <c r="I318" i="2"/>
  <c r="L318" i="2" s="1"/>
  <c r="J318" i="2"/>
  <c r="K318" i="2"/>
  <c r="N318" i="2"/>
  <c r="P318" i="2"/>
  <c r="Q318" i="2"/>
  <c r="H319" i="2"/>
  <c r="N319" i="2" s="1"/>
  <c r="I319" i="2"/>
  <c r="L319" i="2" s="1"/>
  <c r="J319" i="2"/>
  <c r="K319" i="2"/>
  <c r="P319" i="2"/>
  <c r="Q319" i="2"/>
  <c r="H320" i="2"/>
  <c r="I320" i="2"/>
  <c r="L320" i="2" s="1"/>
  <c r="J320" i="2"/>
  <c r="M320" i="2" s="1"/>
  <c r="K320" i="2"/>
  <c r="P320" i="2"/>
  <c r="Q320" i="2"/>
  <c r="H321" i="2"/>
  <c r="I321" i="2"/>
  <c r="J321" i="2"/>
  <c r="K321" i="2"/>
  <c r="P321" i="2"/>
  <c r="Q321" i="2"/>
  <c r="H322" i="2"/>
  <c r="I322" i="2"/>
  <c r="J322" i="2"/>
  <c r="M322" i="2" s="1"/>
  <c r="K322" i="2"/>
  <c r="P322" i="2"/>
  <c r="Q322" i="2"/>
  <c r="H323" i="2"/>
  <c r="I323" i="2"/>
  <c r="J323" i="2"/>
  <c r="K323" i="2"/>
  <c r="N323" i="2" s="1"/>
  <c r="P323" i="2"/>
  <c r="Q323" i="2"/>
  <c r="H324" i="2"/>
  <c r="I324" i="2"/>
  <c r="J324" i="2"/>
  <c r="K324" i="2"/>
  <c r="P324" i="2"/>
  <c r="Q324" i="2"/>
  <c r="H325" i="2"/>
  <c r="I325" i="2"/>
  <c r="J325" i="2"/>
  <c r="M325" i="2" s="1"/>
  <c r="K325" i="2"/>
  <c r="N325" i="2" s="1"/>
  <c r="P325" i="2"/>
  <c r="Q325" i="2"/>
  <c r="H326" i="2"/>
  <c r="I326" i="2"/>
  <c r="J326" i="2"/>
  <c r="M326" i="2" s="1"/>
  <c r="K326" i="2"/>
  <c r="N326" i="2" s="1"/>
  <c r="L326" i="2"/>
  <c r="P326" i="2"/>
  <c r="Q326" i="2"/>
  <c r="H332" i="2"/>
  <c r="L332" i="2" s="1"/>
  <c r="I332" i="2"/>
  <c r="J332" i="2"/>
  <c r="H333" i="2"/>
  <c r="N333" i="2" s="1"/>
  <c r="I333" i="2"/>
  <c r="J333" i="2"/>
  <c r="K333" i="2"/>
  <c r="M333" i="2"/>
  <c r="H334" i="2"/>
  <c r="I334" i="2"/>
  <c r="L334" i="2" s="1"/>
  <c r="J334" i="2"/>
  <c r="M334" i="2" s="1"/>
  <c r="K334" i="2"/>
  <c r="N334" i="2" s="1"/>
  <c r="H335" i="2"/>
  <c r="I335" i="2"/>
  <c r="J335" i="2"/>
  <c r="K335" i="2"/>
  <c r="H336" i="2"/>
  <c r="I336" i="2"/>
  <c r="J336" i="2"/>
  <c r="K336" i="2"/>
  <c r="H337" i="2"/>
  <c r="I337" i="2"/>
  <c r="J337" i="2"/>
  <c r="K337" i="2"/>
  <c r="L337" i="2"/>
  <c r="H348" i="2"/>
  <c r="I348" i="2"/>
  <c r="J348" i="2"/>
  <c r="K348" i="2"/>
  <c r="N348" i="2" s="1"/>
  <c r="P348" i="2"/>
  <c r="Q348" i="2"/>
  <c r="H349" i="2"/>
  <c r="M349" i="2" s="1"/>
  <c r="I349" i="2"/>
  <c r="J349" i="2"/>
  <c r="K349" i="2"/>
  <c r="P349" i="2"/>
  <c r="Q349" i="2"/>
  <c r="H350" i="2"/>
  <c r="I350" i="2"/>
  <c r="L350" i="2" s="1"/>
  <c r="J350" i="2"/>
  <c r="K350" i="2"/>
  <c r="P350" i="2"/>
  <c r="Q350" i="2"/>
  <c r="H351" i="2"/>
  <c r="I351" i="2"/>
  <c r="J351" i="2"/>
  <c r="M351" i="2" s="1"/>
  <c r="K351" i="2"/>
  <c r="N351" i="2" s="1"/>
  <c r="P351" i="2"/>
  <c r="Q351" i="2"/>
  <c r="H354" i="2"/>
  <c r="I354" i="2"/>
  <c r="L354" i="2" s="1"/>
  <c r="J354" i="2"/>
  <c r="M354" i="2" s="1"/>
  <c r="K354" i="2"/>
  <c r="N354" i="2"/>
  <c r="P354" i="2"/>
  <c r="Q354" i="2"/>
  <c r="H355" i="2"/>
  <c r="I355" i="2"/>
  <c r="J355" i="2"/>
  <c r="K355" i="2"/>
  <c r="P355" i="2"/>
  <c r="Q355" i="2"/>
  <c r="H356" i="2"/>
  <c r="I356" i="2"/>
  <c r="L356" i="2" s="1"/>
  <c r="J356" i="2"/>
  <c r="H357" i="2"/>
  <c r="I357" i="2"/>
  <c r="J357" i="2"/>
  <c r="K357" i="2"/>
  <c r="P357" i="2"/>
  <c r="Q357" i="2"/>
  <c r="H360" i="2"/>
  <c r="I360" i="2"/>
  <c r="J360" i="2"/>
  <c r="K360" i="2"/>
  <c r="N360" i="2" s="1"/>
  <c r="P360" i="2"/>
  <c r="Q360" i="2"/>
  <c r="H361" i="2"/>
  <c r="M361" i="2" s="1"/>
  <c r="I361" i="2"/>
  <c r="J361" i="2"/>
  <c r="K361" i="2"/>
  <c r="N361" i="2" s="1"/>
  <c r="P361" i="2"/>
  <c r="Q361" i="2"/>
  <c r="H362" i="2"/>
  <c r="M362" i="2" s="1"/>
  <c r="I362" i="2"/>
  <c r="J362" i="2"/>
  <c r="K362" i="2"/>
  <c r="P362" i="2"/>
  <c r="Q362" i="2"/>
  <c r="H363" i="2"/>
  <c r="I363" i="2"/>
  <c r="J363" i="2"/>
  <c r="H364" i="2"/>
  <c r="I364" i="2"/>
  <c r="H365" i="2"/>
  <c r="I365" i="2"/>
  <c r="J365" i="2"/>
  <c r="K365" i="2"/>
  <c r="H366" i="2"/>
  <c r="I366" i="2"/>
  <c r="J366" i="2"/>
  <c r="K366" i="2"/>
  <c r="H368" i="2"/>
  <c r="I368" i="2"/>
  <c r="J368" i="2"/>
  <c r="M368" i="2" s="1"/>
  <c r="K368" i="2"/>
  <c r="N368" i="2" s="1"/>
  <c r="L368" i="2"/>
  <c r="P368" i="2"/>
  <c r="Q368" i="2"/>
  <c r="H373" i="2"/>
  <c r="M373" i="2" s="1"/>
  <c r="I373" i="2"/>
  <c r="J373" i="2"/>
  <c r="K373" i="2"/>
  <c r="P373" i="2"/>
  <c r="Q373" i="2"/>
  <c r="H374" i="2"/>
  <c r="I374" i="2"/>
  <c r="L374" i="2" s="1"/>
  <c r="J374" i="2"/>
  <c r="M374" i="2" s="1"/>
  <c r="K374" i="2"/>
  <c r="P374" i="2"/>
  <c r="Q374" i="2"/>
  <c r="H375" i="2"/>
  <c r="I375" i="2"/>
  <c r="J375" i="2"/>
  <c r="M375" i="2" s="1"/>
  <c r="H376" i="2"/>
  <c r="I376" i="2"/>
  <c r="L376" i="2" s="1"/>
  <c r="J376" i="2"/>
  <c r="M376" i="2" s="1"/>
  <c r="K376" i="2"/>
  <c r="N376" i="2" s="1"/>
  <c r="P376" i="2"/>
  <c r="Q376" i="2"/>
  <c r="H377" i="2"/>
  <c r="I377" i="2"/>
  <c r="J377" i="2"/>
  <c r="M377" i="2" s="1"/>
  <c r="L377" i="2"/>
  <c r="H378" i="2"/>
  <c r="M378" i="2" s="1"/>
  <c r="I378" i="2"/>
  <c r="J378" i="2"/>
  <c r="K378" i="2"/>
  <c r="N378" i="2" s="1"/>
  <c r="P378" i="2"/>
  <c r="Q378" i="2"/>
  <c r="H379" i="2"/>
  <c r="M379" i="2" s="1"/>
  <c r="I379" i="2"/>
  <c r="J379" i="2"/>
  <c r="K379" i="2"/>
  <c r="P379" i="2"/>
  <c r="Q379" i="2"/>
  <c r="H380" i="2"/>
  <c r="N380" i="2" s="1"/>
  <c r="I380" i="2"/>
  <c r="J380" i="2"/>
  <c r="K380" i="2"/>
  <c r="L380" i="2"/>
  <c r="P380" i="2"/>
  <c r="Q380" i="2"/>
  <c r="H381" i="2"/>
  <c r="I381" i="2"/>
  <c r="J381" i="2"/>
  <c r="K381" i="2"/>
  <c r="N381" i="2"/>
  <c r="P381" i="2"/>
  <c r="Q381" i="2"/>
  <c r="H382" i="2"/>
  <c r="I382" i="2"/>
  <c r="L382" i="2" s="1"/>
  <c r="J382" i="2"/>
  <c r="M382" i="2" s="1"/>
  <c r="K382" i="2"/>
  <c r="P382" i="2"/>
  <c r="Q382" i="2"/>
  <c r="H383" i="2"/>
  <c r="I383" i="2"/>
  <c r="L383" i="2" s="1"/>
  <c r="J383" i="2"/>
  <c r="K383" i="2"/>
  <c r="P383" i="2"/>
  <c r="Q383" i="2"/>
  <c r="H384" i="2"/>
  <c r="I384" i="2"/>
  <c r="J384" i="2"/>
  <c r="K384" i="2"/>
  <c r="P384" i="2"/>
  <c r="Q384" i="2"/>
  <c r="H390" i="2"/>
  <c r="I390" i="2"/>
  <c r="L390" i="2" s="1"/>
  <c r="J390" i="2"/>
  <c r="M390" i="2" s="1"/>
  <c r="K390" i="2"/>
  <c r="N390" i="2"/>
  <c r="H391" i="2"/>
  <c r="I391" i="2"/>
  <c r="H392" i="2"/>
  <c r="I392" i="2"/>
  <c r="L392" i="2" s="1"/>
  <c r="J392" i="2"/>
  <c r="K392" i="2"/>
  <c r="N392" i="2"/>
  <c r="H393" i="2"/>
  <c r="N393" i="2" s="1"/>
  <c r="I393" i="2"/>
  <c r="J393" i="2"/>
  <c r="K393" i="2"/>
  <c r="P393" i="2"/>
  <c r="Q393" i="2"/>
  <c r="H394" i="2"/>
  <c r="M394" i="2" s="1"/>
  <c r="I394" i="2"/>
  <c r="J394" i="2"/>
  <c r="K394" i="2"/>
  <c r="P394" i="2"/>
  <c r="Q394" i="2"/>
  <c r="H395" i="2"/>
  <c r="I395" i="2"/>
  <c r="L395" i="2" s="1"/>
  <c r="J395" i="2"/>
  <c r="K395" i="2"/>
  <c r="H396" i="2"/>
  <c r="I396" i="2"/>
  <c r="J396" i="2"/>
  <c r="K396" i="2"/>
  <c r="M396" i="2"/>
  <c r="H397" i="2"/>
  <c r="I397" i="2"/>
  <c r="L397" i="2" s="1"/>
  <c r="J397" i="2"/>
  <c r="M397" i="2" s="1"/>
  <c r="K397" i="2"/>
  <c r="N397" i="2" s="1"/>
  <c r="H398" i="2"/>
  <c r="N398" i="2" s="1"/>
  <c r="I398" i="2"/>
  <c r="J398" i="2"/>
  <c r="K398" i="2"/>
  <c r="H399" i="2"/>
  <c r="L399" i="2" s="1"/>
  <c r="I399" i="2"/>
  <c r="J399" i="2"/>
  <c r="K399" i="2"/>
  <c r="H400" i="2"/>
  <c r="I400" i="2"/>
  <c r="J400" i="2"/>
  <c r="K400" i="2"/>
  <c r="H401" i="2"/>
  <c r="I401" i="2"/>
  <c r="J401" i="2"/>
  <c r="M401" i="2" s="1"/>
  <c r="K401" i="2"/>
  <c r="N401" i="2" s="1"/>
  <c r="H402" i="2"/>
  <c r="I402" i="2"/>
  <c r="L402" i="2" s="1"/>
  <c r="J402" i="2"/>
  <c r="M402" i="2" s="1"/>
  <c r="K402" i="2"/>
  <c r="H403" i="2"/>
  <c r="M403" i="2" s="1"/>
  <c r="I403" i="2"/>
  <c r="J403" i="2"/>
  <c r="K403" i="2"/>
  <c r="H404" i="2"/>
  <c r="I404" i="2"/>
  <c r="H405" i="2"/>
  <c r="I405" i="2"/>
  <c r="L405" i="2" s="1"/>
  <c r="J405" i="2"/>
  <c r="M405" i="2" s="1"/>
  <c r="K405" i="2"/>
  <c r="N405" i="2"/>
  <c r="H406" i="2"/>
  <c r="I406" i="2"/>
  <c r="J406" i="2"/>
  <c r="M406" i="2" s="1"/>
  <c r="K406" i="2"/>
  <c r="N406" i="2" s="1"/>
  <c r="L406" i="2"/>
  <c r="H407" i="2"/>
  <c r="I407" i="2"/>
  <c r="L407" i="2" s="1"/>
  <c r="J407" i="2"/>
  <c r="K407" i="2"/>
  <c r="P407" i="2"/>
  <c r="Q407" i="2"/>
  <c r="H408" i="2"/>
  <c r="L408" i="2" s="1"/>
  <c r="I408" i="2"/>
  <c r="J408" i="2"/>
  <c r="K408" i="2"/>
  <c r="N408" i="2" s="1"/>
  <c r="P408" i="2"/>
  <c r="Q408" i="2"/>
  <c r="H409" i="2"/>
  <c r="M409" i="2" s="1"/>
  <c r="I409" i="2"/>
  <c r="J409" i="2"/>
  <c r="K409" i="2"/>
  <c r="P409" i="2"/>
  <c r="Q409" i="2"/>
  <c r="H410" i="2"/>
  <c r="I410" i="2"/>
  <c r="L410" i="2" s="1"/>
  <c r="J410" i="2"/>
  <c r="K410" i="2"/>
  <c r="P410" i="2"/>
  <c r="Q410" i="2"/>
  <c r="H411" i="2"/>
  <c r="I411" i="2"/>
  <c r="J411" i="2"/>
  <c r="M411" i="2"/>
  <c r="P411" i="2"/>
  <c r="H412" i="2"/>
  <c r="I412" i="2"/>
  <c r="L412" i="2" s="1"/>
  <c r="J412" i="2"/>
  <c r="M412" i="2" s="1"/>
  <c r="K412" i="2"/>
  <c r="N412" i="2" s="1"/>
  <c r="P412" i="2"/>
  <c r="Q412" i="2"/>
  <c r="H413" i="2"/>
  <c r="I413" i="2"/>
  <c r="J413" i="2"/>
  <c r="K413" i="2"/>
  <c r="P413" i="2"/>
  <c r="Q413" i="2"/>
  <c r="H414" i="2"/>
  <c r="I414" i="2"/>
  <c r="L414" i="2" s="1"/>
  <c r="J414" i="2"/>
  <c r="M414" i="2" s="1"/>
  <c r="K414" i="2"/>
  <c r="N414" i="2" s="1"/>
  <c r="P414" i="2"/>
  <c r="Q414" i="2"/>
  <c r="H415" i="2"/>
  <c r="I415" i="2"/>
  <c r="J415" i="2"/>
  <c r="M415" i="2" s="1"/>
  <c r="K415" i="2"/>
  <c r="N415" i="2" s="1"/>
  <c r="L415" i="2"/>
  <c r="P415" i="2"/>
  <c r="Q415" i="2"/>
  <c r="H416" i="2"/>
  <c r="I416" i="2"/>
  <c r="J416" i="2"/>
  <c r="K416" i="2"/>
  <c r="P416" i="2"/>
  <c r="Q416" i="2"/>
  <c r="H417" i="2"/>
  <c r="I417" i="2"/>
  <c r="L417" i="2" s="1"/>
  <c r="J417" i="2"/>
  <c r="M417" i="2" s="1"/>
  <c r="K417" i="2"/>
  <c r="N417" i="2" s="1"/>
  <c r="P417" i="2"/>
  <c r="Q417" i="2"/>
  <c r="H418" i="2"/>
  <c r="I418" i="2"/>
  <c r="J418" i="2"/>
  <c r="K418" i="2"/>
  <c r="M418" i="2"/>
  <c r="P418" i="2"/>
  <c r="Q418" i="2"/>
  <c r="H419" i="2"/>
  <c r="N419" i="2" s="1"/>
  <c r="I419" i="2"/>
  <c r="J419" i="2"/>
  <c r="K419" i="2"/>
  <c r="L419" i="2"/>
  <c r="P419" i="2"/>
  <c r="Q419" i="2"/>
  <c r="H420" i="2"/>
  <c r="I420" i="2"/>
  <c r="J420" i="2"/>
  <c r="K420" i="2"/>
  <c r="N420" i="2"/>
  <c r="P420" i="2"/>
  <c r="Q420" i="2"/>
  <c r="H421" i="2"/>
  <c r="I421" i="2"/>
  <c r="L421" i="2" s="1"/>
  <c r="J421" i="2"/>
  <c r="M421" i="2" s="1"/>
  <c r="K421" i="2"/>
  <c r="P421" i="2"/>
  <c r="Q421" i="2"/>
  <c r="H422" i="2"/>
  <c r="I422" i="2"/>
  <c r="L422" i="2" s="1"/>
  <c r="J422" i="2"/>
  <c r="K422" i="2"/>
  <c r="N422" i="2" s="1"/>
  <c r="P422" i="2"/>
  <c r="Q422" i="2"/>
  <c r="H423" i="2"/>
  <c r="I423" i="2"/>
  <c r="J423" i="2"/>
  <c r="K423" i="2"/>
  <c r="N423" i="2" s="1"/>
  <c r="L423" i="2"/>
  <c r="P423" i="2"/>
  <c r="Q423" i="2"/>
  <c r="H424" i="2"/>
  <c r="I424" i="2"/>
  <c r="J424" i="2"/>
  <c r="P424" i="2"/>
  <c r="H425" i="2"/>
  <c r="M425" i="2" s="1"/>
  <c r="I425" i="2"/>
  <c r="J425" i="2"/>
  <c r="K425" i="2"/>
  <c r="P425" i="2"/>
  <c r="Q425" i="2"/>
  <c r="H426" i="2"/>
  <c r="N426" i="2" s="1"/>
  <c r="I426" i="2"/>
  <c r="J426" i="2"/>
  <c r="K426" i="2"/>
  <c r="P426" i="2"/>
  <c r="Q426" i="2"/>
  <c r="H427" i="2"/>
  <c r="N427" i="2" s="1"/>
  <c r="I427" i="2"/>
  <c r="J427" i="2"/>
  <c r="K427" i="2"/>
  <c r="P427" i="2"/>
  <c r="Q427" i="2"/>
  <c r="H428" i="2"/>
  <c r="M428" i="2" s="1"/>
  <c r="I428" i="2"/>
  <c r="J428" i="2"/>
  <c r="K428" i="2"/>
  <c r="N428" i="2" s="1"/>
  <c r="P428" i="2"/>
  <c r="Q428" i="2"/>
  <c r="H429" i="2"/>
  <c r="I429" i="2"/>
  <c r="J429" i="2"/>
  <c r="M429" i="2" s="1"/>
  <c r="K429" i="2"/>
  <c r="N429" i="2" s="1"/>
  <c r="L429" i="2"/>
  <c r="P429" i="2"/>
  <c r="Q429" i="2"/>
  <c r="H430" i="2"/>
  <c r="I430" i="2"/>
  <c r="J430" i="2"/>
  <c r="L430" i="2"/>
  <c r="M430" i="2"/>
  <c r="P430" i="2"/>
  <c r="H431" i="2"/>
  <c r="I431" i="2"/>
  <c r="J431" i="2"/>
  <c r="M431" i="2" s="1"/>
  <c r="K431" i="2"/>
  <c r="P431" i="2"/>
  <c r="Q431" i="2"/>
  <c r="H432" i="2"/>
  <c r="I432" i="2"/>
  <c r="L432" i="2" s="1"/>
  <c r="J432" i="2"/>
  <c r="M432" i="2" s="1"/>
  <c r="K432" i="2"/>
  <c r="N432" i="2" s="1"/>
  <c r="P432" i="2"/>
  <c r="Q432" i="2"/>
  <c r="H433" i="2"/>
  <c r="I433" i="2"/>
  <c r="L433" i="2" s="1"/>
  <c r="J433" i="2"/>
  <c r="M433" i="2" s="1"/>
  <c r="K433" i="2"/>
  <c r="N433" i="2" s="1"/>
  <c r="P433" i="2"/>
  <c r="Q433" i="2"/>
  <c r="H434" i="2"/>
  <c r="I434" i="2"/>
  <c r="L434" i="2" s="1"/>
  <c r="J434" i="2"/>
  <c r="M434" i="2" s="1"/>
  <c r="K434" i="2"/>
  <c r="N434" i="2" s="1"/>
  <c r="P434" i="2"/>
  <c r="Q434" i="2"/>
  <c r="H435" i="2"/>
  <c r="I435" i="2"/>
  <c r="L435" i="2" s="1"/>
  <c r="J435" i="2"/>
  <c r="M435" i="2" s="1"/>
  <c r="K435" i="2"/>
  <c r="N435" i="2"/>
  <c r="P435" i="2"/>
  <c r="Q435" i="2"/>
  <c r="H436" i="2"/>
  <c r="I436" i="2"/>
  <c r="L436" i="2" s="1"/>
  <c r="J436" i="2"/>
  <c r="K436" i="2"/>
  <c r="M436" i="2"/>
  <c r="P436" i="2"/>
  <c r="Q436" i="2"/>
  <c r="H437" i="2"/>
  <c r="I437" i="2"/>
  <c r="L437" i="2" s="1"/>
  <c r="J437" i="2"/>
  <c r="K437" i="2"/>
  <c r="P437" i="2"/>
  <c r="Q437" i="2"/>
  <c r="H438" i="2"/>
  <c r="I438" i="2"/>
  <c r="L438" i="2" s="1"/>
  <c r="J438" i="2"/>
  <c r="M438" i="2" s="1"/>
  <c r="K438" i="2"/>
  <c r="N438" i="2" s="1"/>
  <c r="P438" i="2"/>
  <c r="Q438" i="2"/>
  <c r="H439" i="2"/>
  <c r="I439" i="2"/>
  <c r="J439" i="2"/>
  <c r="M439" i="2" s="1"/>
  <c r="K439" i="2"/>
  <c r="N439" i="2" s="1"/>
  <c r="L439" i="2"/>
  <c r="P439" i="2"/>
  <c r="Q439" i="2"/>
  <c r="H440" i="2"/>
  <c r="I440" i="2"/>
  <c r="L440" i="2" s="1"/>
  <c r="J440" i="2"/>
  <c r="M440" i="2" s="1"/>
  <c r="K440" i="2"/>
  <c r="N440" i="2" s="1"/>
  <c r="P440" i="2"/>
  <c r="Q440" i="2"/>
  <c r="H441" i="2"/>
  <c r="I441" i="2"/>
  <c r="L441" i="2" s="1"/>
  <c r="J441" i="2"/>
  <c r="M441" i="2" s="1"/>
  <c r="K441" i="2"/>
  <c r="N441" i="2" s="1"/>
  <c r="P441" i="2"/>
  <c r="Q441" i="2"/>
  <c r="H442" i="2"/>
  <c r="I442" i="2"/>
  <c r="L442" i="2" s="1"/>
  <c r="J442" i="2"/>
  <c r="M442" i="2" s="1"/>
  <c r="K442" i="2"/>
  <c r="N442" i="2" s="1"/>
  <c r="P442" i="2"/>
  <c r="Q442" i="2"/>
  <c r="H443" i="2"/>
  <c r="I443" i="2"/>
  <c r="J443" i="2"/>
  <c r="M443" i="2" s="1"/>
  <c r="K443" i="2"/>
  <c r="N443" i="2" s="1"/>
  <c r="P443" i="2"/>
  <c r="Q443" i="2"/>
  <c r="H444" i="2"/>
  <c r="I444" i="2"/>
  <c r="L444" i="2" s="1"/>
  <c r="J444" i="2"/>
  <c r="M444" i="2" s="1"/>
  <c r="K444" i="2"/>
  <c r="H445" i="2"/>
  <c r="I445" i="2"/>
  <c r="L445" i="2" s="1"/>
  <c r="J445" i="2"/>
  <c r="M445" i="2" s="1"/>
  <c r="H446" i="2"/>
  <c r="I446" i="2"/>
  <c r="L446" i="2" s="1"/>
  <c r="J446" i="2"/>
  <c r="K446" i="2"/>
  <c r="M446" i="2"/>
  <c r="N446" i="2"/>
  <c r="H447" i="2"/>
  <c r="I447" i="2"/>
  <c r="J447" i="2"/>
  <c r="M447" i="2" s="1"/>
  <c r="K447" i="2"/>
  <c r="H448" i="2"/>
  <c r="N448" i="2" s="1"/>
  <c r="I448" i="2"/>
  <c r="L448" i="2" s="1"/>
  <c r="J448" i="2"/>
  <c r="K448" i="2"/>
  <c r="H449" i="2"/>
  <c r="I449" i="2"/>
  <c r="J449" i="2"/>
  <c r="K449" i="2"/>
  <c r="H450" i="2"/>
  <c r="I450" i="2"/>
  <c r="J450" i="2"/>
  <c r="K450" i="2"/>
  <c r="H451" i="2"/>
  <c r="L451" i="2" s="1"/>
  <c r="I451" i="2"/>
  <c r="J451" i="2"/>
  <c r="K451" i="2"/>
  <c r="H452" i="2"/>
  <c r="I452" i="2"/>
  <c r="J452" i="2"/>
  <c r="L452" i="2"/>
  <c r="H453" i="2"/>
  <c r="I453" i="2"/>
  <c r="J453" i="2"/>
  <c r="H454" i="2"/>
  <c r="I454" i="2"/>
  <c r="J454" i="2"/>
  <c r="H455" i="2"/>
  <c r="L455" i="2" s="1"/>
  <c r="I455" i="2"/>
  <c r="J455" i="2"/>
  <c r="H456" i="2"/>
  <c r="I456" i="2"/>
  <c r="J456" i="2"/>
  <c r="H457" i="2"/>
  <c r="M457" i="2" s="1"/>
  <c r="I457" i="2"/>
  <c r="J457" i="2"/>
  <c r="H458" i="2"/>
  <c r="M458" i="2" s="1"/>
  <c r="I458" i="2"/>
  <c r="J458" i="2"/>
  <c r="H459" i="2"/>
  <c r="I459" i="2"/>
  <c r="J459" i="2"/>
  <c r="M459" i="2" s="1"/>
  <c r="H460" i="2"/>
  <c r="I460" i="2"/>
  <c r="L460" i="2" s="1"/>
  <c r="J460" i="2"/>
  <c r="H461" i="2"/>
  <c r="I461" i="2"/>
  <c r="J461" i="2"/>
  <c r="H462" i="2"/>
  <c r="I462" i="2"/>
  <c r="L462" i="2" s="1"/>
  <c r="J462" i="2"/>
  <c r="H463" i="2"/>
  <c r="I463" i="2"/>
  <c r="L463" i="2" s="1"/>
  <c r="J463" i="2"/>
  <c r="M463" i="2"/>
  <c r="H464" i="2"/>
  <c r="I464" i="2"/>
  <c r="J464" i="2"/>
  <c r="H465" i="2"/>
  <c r="I465" i="2"/>
  <c r="L465" i="2" s="1"/>
  <c r="J465" i="2"/>
  <c r="M465" i="2" s="1"/>
  <c r="H466" i="2"/>
  <c r="I466" i="2"/>
  <c r="L466" i="2" s="1"/>
  <c r="J466" i="2"/>
  <c r="M466" i="2" s="1"/>
  <c r="H467" i="2"/>
  <c r="I467" i="2"/>
  <c r="J467" i="2"/>
  <c r="K467" i="2"/>
  <c r="P467" i="2"/>
  <c r="Q467" i="2"/>
  <c r="H468" i="2"/>
  <c r="I468" i="2"/>
  <c r="J468" i="2"/>
  <c r="K468" i="2"/>
  <c r="N468" i="2" s="1"/>
  <c r="H469" i="2"/>
  <c r="I469" i="2"/>
  <c r="L469" i="2" s="1"/>
  <c r="J469" i="2"/>
  <c r="M469" i="2" s="1"/>
  <c r="K469" i="2"/>
  <c r="H470" i="2"/>
  <c r="I470" i="2"/>
  <c r="L470" i="2" s="1"/>
  <c r="J470" i="2"/>
  <c r="M470" i="2" s="1"/>
  <c r="K470" i="2"/>
  <c r="H471" i="2"/>
  <c r="I471" i="2"/>
  <c r="L471" i="2" s="1"/>
  <c r="H472" i="2"/>
  <c r="M472" i="2" s="1"/>
  <c r="I472" i="2"/>
  <c r="J472" i="2"/>
  <c r="K472" i="2"/>
  <c r="N472" i="2" s="1"/>
  <c r="H473" i="2"/>
  <c r="I473" i="2"/>
  <c r="L473" i="2" s="1"/>
  <c r="J473" i="2"/>
  <c r="M473" i="2" s="1"/>
  <c r="K473" i="2"/>
  <c r="H474" i="2"/>
  <c r="I474" i="2"/>
  <c r="L474" i="2" s="1"/>
  <c r="J474" i="2"/>
  <c r="M474" i="2" s="1"/>
  <c r="K474" i="2"/>
  <c r="H475" i="2"/>
  <c r="I475" i="2"/>
  <c r="L475" i="2" s="1"/>
  <c r="J475" i="2"/>
  <c r="M475" i="2" s="1"/>
  <c r="K475" i="2"/>
  <c r="H476" i="2"/>
  <c r="I476" i="2"/>
  <c r="J476" i="2"/>
  <c r="K476" i="2"/>
  <c r="M476" i="2"/>
  <c r="H477" i="2"/>
  <c r="I477" i="2"/>
  <c r="L477" i="2" s="1"/>
  <c r="H478" i="2"/>
  <c r="I478" i="2"/>
  <c r="H479" i="2"/>
  <c r="I479" i="2"/>
  <c r="L479" i="2" s="1"/>
  <c r="H480" i="2"/>
  <c r="I480" i="2"/>
  <c r="L480" i="2" s="1"/>
  <c r="H481" i="2"/>
  <c r="I481" i="2"/>
  <c r="L481" i="2" s="1"/>
  <c r="H482" i="2"/>
  <c r="I482" i="2"/>
  <c r="L482" i="2" s="1"/>
  <c r="J482" i="2"/>
  <c r="M482" i="2" s="1"/>
  <c r="K482" i="2"/>
  <c r="N482" i="2" s="1"/>
  <c r="P482" i="2"/>
  <c r="Q482" i="2"/>
  <c r="H483" i="2"/>
  <c r="I483" i="2"/>
  <c r="L483" i="2" s="1"/>
  <c r="J483" i="2"/>
  <c r="M483" i="2" s="1"/>
  <c r="K483" i="2"/>
  <c r="N483" i="2" s="1"/>
  <c r="P483" i="2"/>
  <c r="Q483" i="2"/>
  <c r="H484" i="2"/>
  <c r="I484" i="2"/>
  <c r="L484" i="2" s="1"/>
  <c r="J484" i="2"/>
  <c r="M484" i="2" s="1"/>
  <c r="K484" i="2"/>
  <c r="N484" i="2" s="1"/>
  <c r="P484" i="2"/>
  <c r="Q484" i="2"/>
  <c r="H485" i="2"/>
  <c r="I485" i="2"/>
  <c r="J485" i="2"/>
  <c r="M485" i="2" s="1"/>
  <c r="K485" i="2"/>
  <c r="N485" i="2" s="1"/>
  <c r="L485" i="2"/>
  <c r="P485" i="2"/>
  <c r="Q485" i="2"/>
  <c r="H486" i="2"/>
  <c r="I486" i="2"/>
  <c r="J486" i="2"/>
  <c r="K486" i="2"/>
  <c r="P486" i="2"/>
  <c r="Q486" i="2"/>
  <c r="H487" i="2"/>
  <c r="I487" i="2"/>
  <c r="J487" i="2"/>
  <c r="M487" i="2" s="1"/>
  <c r="K487" i="2"/>
  <c r="P487" i="2"/>
  <c r="Q487" i="2"/>
  <c r="H488" i="2"/>
  <c r="N488" i="2" s="1"/>
  <c r="I488" i="2"/>
  <c r="L488" i="2" s="1"/>
  <c r="J488" i="2"/>
  <c r="K488" i="2"/>
  <c r="P488" i="2"/>
  <c r="Q488" i="2"/>
  <c r="H489" i="2"/>
  <c r="I489" i="2"/>
  <c r="J489" i="2"/>
  <c r="K489" i="2"/>
  <c r="P489" i="2"/>
  <c r="Q489" i="2"/>
  <c r="H490" i="2"/>
  <c r="I490" i="2"/>
  <c r="L490" i="2" s="1"/>
  <c r="J490" i="2"/>
  <c r="M490" i="2" s="1"/>
  <c r="H491" i="2"/>
  <c r="I491" i="2"/>
  <c r="L491" i="2" s="1"/>
  <c r="J491" i="2"/>
  <c r="M491" i="2" s="1"/>
  <c r="H492" i="2"/>
  <c r="I492" i="2"/>
  <c r="L492" i="2" s="1"/>
  <c r="J492" i="2"/>
  <c r="M492" i="2" s="1"/>
  <c r="H493" i="2"/>
  <c r="I493" i="2"/>
  <c r="H494" i="2"/>
  <c r="I494" i="2"/>
  <c r="L494" i="2" s="1"/>
  <c r="J494" i="2"/>
  <c r="H495" i="2"/>
  <c r="I495" i="2"/>
  <c r="J495" i="2"/>
  <c r="H496" i="2"/>
  <c r="I496" i="2"/>
  <c r="L496" i="2" s="1"/>
  <c r="J496" i="2"/>
  <c r="M496" i="2" s="1"/>
  <c r="K496" i="2"/>
  <c r="H497" i="2"/>
  <c r="I497" i="2"/>
  <c r="J497" i="2"/>
  <c r="H498" i="2"/>
  <c r="I498" i="2"/>
  <c r="L498" i="2" s="1"/>
  <c r="J498" i="2"/>
  <c r="M498" i="2" s="1"/>
  <c r="K498" i="2"/>
  <c r="P498" i="2"/>
  <c r="Q498" i="2"/>
  <c r="H499" i="2"/>
  <c r="I499" i="2"/>
  <c r="L499" i="2" s="1"/>
  <c r="J499" i="2"/>
  <c r="M499" i="2"/>
  <c r="H500" i="2"/>
  <c r="I500" i="2"/>
  <c r="L500" i="2" s="1"/>
  <c r="J500" i="2"/>
  <c r="M500" i="2" s="1"/>
  <c r="K500" i="2"/>
  <c r="N500" i="2"/>
  <c r="P500" i="2"/>
  <c r="Q500" i="2"/>
  <c r="H501" i="2"/>
  <c r="I501" i="2"/>
  <c r="J501" i="2"/>
  <c r="H502" i="2"/>
  <c r="I502" i="2"/>
  <c r="L502" i="2" s="1"/>
  <c r="J502" i="2"/>
  <c r="M502" i="2" s="1"/>
  <c r="H503" i="2"/>
  <c r="I503" i="2"/>
  <c r="L503" i="2" s="1"/>
  <c r="J503" i="2"/>
  <c r="H504" i="2"/>
  <c r="I504" i="2"/>
  <c r="J504" i="2"/>
  <c r="H505" i="2"/>
  <c r="I505" i="2"/>
  <c r="L505" i="2" s="1"/>
  <c r="J505" i="2"/>
  <c r="M505" i="2" s="1"/>
  <c r="K505" i="2"/>
  <c r="P505" i="2"/>
  <c r="Q505" i="2"/>
  <c r="H506" i="2"/>
  <c r="I506" i="2"/>
  <c r="J506" i="2"/>
  <c r="M506" i="2" s="1"/>
  <c r="L506" i="2"/>
  <c r="H507" i="2"/>
  <c r="I507" i="2"/>
  <c r="J507" i="2"/>
  <c r="K507" i="2"/>
  <c r="N507" i="2" s="1"/>
  <c r="Q507" i="2"/>
  <c r="H508" i="2"/>
  <c r="I508" i="2"/>
  <c r="L508" i="2" s="1"/>
  <c r="J508" i="2"/>
  <c r="M508" i="2" s="1"/>
  <c r="K508" i="2"/>
  <c r="P508" i="2"/>
  <c r="Q508" i="2"/>
  <c r="H509" i="2"/>
  <c r="I509" i="2"/>
  <c r="L509" i="2" s="1"/>
  <c r="J509" i="2"/>
  <c r="M509" i="2" s="1"/>
  <c r="K509" i="2"/>
  <c r="N509" i="2" s="1"/>
  <c r="Q509" i="2"/>
  <c r="H510" i="2"/>
  <c r="I510" i="2"/>
  <c r="J510" i="2"/>
  <c r="K510" i="2"/>
  <c r="N510" i="2" s="1"/>
  <c r="M510" i="2"/>
  <c r="P510" i="2"/>
  <c r="Q510" i="2"/>
  <c r="H511" i="2"/>
  <c r="I511" i="2"/>
  <c r="J511" i="2"/>
  <c r="M511" i="2" s="1"/>
  <c r="K511" i="2"/>
  <c r="N511" i="2" s="1"/>
  <c r="L511" i="2"/>
  <c r="P511" i="2"/>
  <c r="Q511" i="2"/>
  <c r="H512" i="2"/>
  <c r="I512" i="2"/>
  <c r="J512" i="2"/>
  <c r="M512" i="2" s="1"/>
  <c r="K512" i="2"/>
  <c r="P512" i="2"/>
  <c r="Q512" i="2"/>
  <c r="H513" i="2"/>
  <c r="I513" i="2"/>
  <c r="L513" i="2" s="1"/>
  <c r="J513" i="2"/>
  <c r="K513" i="2"/>
  <c r="Q513" i="2"/>
  <c r="H514" i="2"/>
  <c r="I514" i="2"/>
  <c r="L514" i="2" s="1"/>
  <c r="J514" i="2"/>
  <c r="M514" i="2" s="1"/>
  <c r="K514" i="2"/>
  <c r="P514" i="2"/>
  <c r="Q514" i="2"/>
  <c r="H515" i="2"/>
  <c r="I515" i="2"/>
  <c r="J515" i="2"/>
  <c r="K515" i="2"/>
  <c r="M515" i="2"/>
  <c r="N515" i="2"/>
  <c r="P515" i="2"/>
  <c r="Q515" i="2"/>
  <c r="H516" i="2"/>
  <c r="I516" i="2"/>
  <c r="J516" i="2"/>
  <c r="K516" i="2"/>
  <c r="P516" i="2"/>
  <c r="Q516" i="2"/>
  <c r="H517" i="2"/>
  <c r="I517" i="2"/>
  <c r="L517" i="2" s="1"/>
  <c r="J517" i="2"/>
  <c r="M517" i="2" s="1"/>
  <c r="K517" i="2"/>
  <c r="P517" i="2"/>
  <c r="Q517" i="2"/>
  <c r="H518" i="2"/>
  <c r="I518" i="2"/>
  <c r="L518" i="2" s="1"/>
  <c r="J518" i="2"/>
  <c r="K518" i="2"/>
  <c r="N518" i="2" s="1"/>
  <c r="Q518" i="2"/>
  <c r="H519" i="2"/>
  <c r="I519" i="2"/>
  <c r="L519" i="2" s="1"/>
  <c r="J519" i="2"/>
  <c r="K519" i="2"/>
  <c r="N519" i="2" s="1"/>
  <c r="P519" i="2"/>
  <c r="Q519" i="2"/>
  <c r="H520" i="2"/>
  <c r="M520" i="2" s="1"/>
  <c r="I520" i="2"/>
  <c r="L520" i="2" s="1"/>
  <c r="J520" i="2"/>
  <c r="K520" i="2"/>
  <c r="P520" i="2"/>
  <c r="Q520" i="2"/>
  <c r="H521" i="2"/>
  <c r="I521" i="2"/>
  <c r="L521" i="2" s="1"/>
  <c r="J521" i="2"/>
  <c r="M521" i="2" s="1"/>
  <c r="K521" i="2"/>
  <c r="P521" i="2"/>
  <c r="Q521" i="2"/>
  <c r="H522" i="2"/>
  <c r="I522" i="2"/>
  <c r="L522" i="2" s="1"/>
  <c r="J522" i="2"/>
  <c r="M522" i="2" s="1"/>
  <c r="K522" i="2"/>
  <c r="N522" i="2" s="1"/>
  <c r="P522" i="2"/>
  <c r="Q522" i="2"/>
  <c r="H523" i="2"/>
  <c r="I523" i="2"/>
  <c r="J523" i="2"/>
  <c r="K523" i="2"/>
  <c r="P523" i="2"/>
  <c r="Q523" i="2"/>
  <c r="H524" i="2"/>
  <c r="I524" i="2"/>
  <c r="L524" i="2" s="1"/>
  <c r="J524" i="2"/>
  <c r="M524" i="2" s="1"/>
  <c r="K524" i="2"/>
  <c r="N524" i="2"/>
  <c r="P524" i="2"/>
  <c r="Q524" i="2"/>
  <c r="H525" i="2"/>
  <c r="I525" i="2"/>
  <c r="J525" i="2"/>
  <c r="K525" i="2"/>
  <c r="P525" i="2"/>
  <c r="Q525" i="2"/>
  <c r="H526" i="2"/>
  <c r="I526" i="2"/>
  <c r="L526" i="2" s="1"/>
  <c r="J526" i="2"/>
  <c r="M526" i="2" s="1"/>
  <c r="K526" i="2"/>
  <c r="P526" i="2"/>
  <c r="Q526" i="2"/>
  <c r="H527" i="2"/>
  <c r="I527" i="2"/>
  <c r="L527" i="2" s="1"/>
  <c r="J527" i="2"/>
  <c r="K527" i="2"/>
  <c r="N527" i="2" s="1"/>
  <c r="H528" i="2"/>
  <c r="I528" i="2"/>
  <c r="J528" i="2"/>
  <c r="M528" i="2" s="1"/>
  <c r="L528" i="2"/>
  <c r="H529" i="2"/>
  <c r="I529" i="2"/>
  <c r="J529" i="2"/>
  <c r="K529" i="2"/>
  <c r="N529" i="2"/>
  <c r="H530" i="2"/>
  <c r="I530" i="2"/>
  <c r="L530" i="2" s="1"/>
  <c r="J530" i="2"/>
  <c r="K530" i="2"/>
  <c r="H531" i="2"/>
  <c r="I531" i="2"/>
  <c r="J531" i="2"/>
  <c r="M531" i="2"/>
  <c r="H532" i="2"/>
  <c r="M532" i="2" s="1"/>
  <c r="I532" i="2"/>
  <c r="L532" i="2" s="1"/>
  <c r="J532" i="2"/>
  <c r="H533" i="2"/>
  <c r="I533" i="2"/>
  <c r="J533" i="2"/>
  <c r="M533" i="2" s="1"/>
  <c r="K533" i="2"/>
  <c r="N533" i="2" s="1"/>
  <c r="L533" i="2"/>
  <c r="H534" i="2"/>
  <c r="I534" i="2"/>
  <c r="J534" i="2"/>
  <c r="K534" i="2"/>
  <c r="H535" i="2"/>
  <c r="I535" i="2"/>
  <c r="L535" i="2" s="1"/>
  <c r="J535" i="2"/>
  <c r="M535" i="2" s="1"/>
  <c r="H536" i="2"/>
  <c r="I536" i="2"/>
  <c r="L536" i="2" s="1"/>
  <c r="J536" i="2"/>
  <c r="M536" i="2"/>
  <c r="H537" i="2"/>
  <c r="I537" i="2"/>
  <c r="L537" i="2" s="1"/>
  <c r="J537" i="2"/>
  <c r="H538" i="2"/>
  <c r="I538" i="2"/>
  <c r="J538" i="2"/>
  <c r="H539" i="2"/>
  <c r="I539" i="2"/>
  <c r="J539" i="2"/>
  <c r="K539" i="2"/>
  <c r="H540" i="2"/>
  <c r="I540" i="2"/>
  <c r="L540" i="2" s="1"/>
  <c r="J540" i="2"/>
  <c r="H541" i="2"/>
  <c r="I541" i="2"/>
  <c r="L541" i="2" s="1"/>
  <c r="J541" i="2"/>
  <c r="M541" i="2"/>
  <c r="H542" i="2"/>
  <c r="I542" i="2"/>
  <c r="L542" i="2" s="1"/>
  <c r="J542" i="2"/>
  <c r="M542" i="2" s="1"/>
  <c r="K542" i="2"/>
  <c r="P542" i="2"/>
  <c r="Q542" i="2"/>
  <c r="H543" i="2"/>
  <c r="I543" i="2"/>
  <c r="L543" i="2" s="1"/>
  <c r="J543" i="2"/>
  <c r="K543" i="2"/>
  <c r="N543" i="2" s="1"/>
  <c r="P543" i="2"/>
  <c r="Q543" i="2"/>
  <c r="H544" i="2"/>
  <c r="I544" i="2"/>
  <c r="J544" i="2"/>
  <c r="M544" i="2" s="1"/>
  <c r="K544" i="2"/>
  <c r="P544" i="2"/>
  <c r="Q544" i="2"/>
  <c r="H545" i="2"/>
  <c r="I545" i="2"/>
  <c r="L545" i="2" s="1"/>
  <c r="J545" i="2"/>
  <c r="K545" i="2"/>
  <c r="P545" i="2"/>
  <c r="Q545" i="2"/>
  <c r="H546" i="2"/>
  <c r="I546" i="2"/>
  <c r="L546" i="2" s="1"/>
  <c r="J546" i="2"/>
  <c r="M546" i="2" s="1"/>
  <c r="K546" i="2"/>
  <c r="P546" i="2"/>
  <c r="Q546" i="2"/>
  <c r="H547" i="2"/>
  <c r="I547" i="2"/>
  <c r="L547" i="2" s="1"/>
  <c r="J547" i="2"/>
  <c r="M547" i="2" s="1"/>
  <c r="K547" i="2"/>
  <c r="N547" i="2"/>
  <c r="P547" i="2"/>
  <c r="Q547" i="2"/>
  <c r="H548" i="2"/>
  <c r="I548" i="2"/>
  <c r="J548" i="2"/>
  <c r="K548" i="2"/>
  <c r="M548" i="2"/>
  <c r="N548" i="2"/>
  <c r="P548" i="2"/>
  <c r="Q548" i="2"/>
  <c r="H549" i="2"/>
  <c r="I549" i="2"/>
  <c r="J549" i="2"/>
  <c r="K549" i="2"/>
  <c r="P549" i="2"/>
  <c r="Q549" i="2"/>
  <c r="H550" i="2"/>
  <c r="I550" i="2"/>
  <c r="L550" i="2" s="1"/>
  <c r="J550" i="2"/>
  <c r="K550" i="2"/>
  <c r="M550" i="2"/>
  <c r="N550" i="2"/>
  <c r="P550" i="2"/>
  <c r="Q550" i="2"/>
  <c r="H551" i="2"/>
  <c r="I551" i="2"/>
  <c r="L551" i="2" s="1"/>
  <c r="J551" i="2"/>
  <c r="M551" i="2"/>
  <c r="H552" i="2"/>
  <c r="I552" i="2"/>
  <c r="L552" i="2" s="1"/>
  <c r="J552" i="2"/>
  <c r="K552" i="2"/>
  <c r="N552" i="2" s="1"/>
  <c r="H553" i="2"/>
  <c r="I553" i="2"/>
  <c r="L553" i="2" s="1"/>
  <c r="J553" i="2"/>
  <c r="M553" i="2" s="1"/>
  <c r="K553" i="2"/>
  <c r="H554" i="2"/>
  <c r="I554" i="2"/>
  <c r="J554" i="2"/>
  <c r="K554" i="2"/>
  <c r="H555" i="2"/>
  <c r="I555" i="2"/>
  <c r="J555" i="2"/>
  <c r="M555" i="2" s="1"/>
  <c r="K555" i="2"/>
  <c r="N555" i="2" s="1"/>
  <c r="L555" i="2"/>
  <c r="H556" i="2"/>
  <c r="I556" i="2"/>
  <c r="L556" i="2" s="1"/>
  <c r="J556" i="2"/>
  <c r="K556" i="2"/>
  <c r="M556" i="2"/>
  <c r="H557" i="2"/>
  <c r="I557" i="2"/>
  <c r="L557" i="2" s="1"/>
  <c r="J557" i="2"/>
  <c r="M557" i="2" s="1"/>
  <c r="K557" i="2"/>
  <c r="N557" i="2" s="1"/>
  <c r="P557" i="2"/>
  <c r="Q557" i="2"/>
  <c r="H558" i="2"/>
  <c r="I558" i="2"/>
  <c r="L558" i="2" s="1"/>
  <c r="J558" i="2"/>
  <c r="M558" i="2" s="1"/>
  <c r="K558" i="2"/>
  <c r="P558" i="2"/>
  <c r="Q558" i="2"/>
  <c r="H559" i="2"/>
  <c r="I559" i="2"/>
  <c r="L559" i="2" s="1"/>
  <c r="J559" i="2"/>
  <c r="K559" i="2"/>
  <c r="P559" i="2"/>
  <c r="Q559" i="2"/>
  <c r="H560" i="2"/>
  <c r="I560" i="2"/>
  <c r="L560" i="2" s="1"/>
  <c r="J560" i="2"/>
  <c r="K560" i="2"/>
  <c r="P560" i="2"/>
  <c r="Q560" i="2"/>
  <c r="H561" i="2"/>
  <c r="I561" i="2"/>
  <c r="L561" i="2" s="1"/>
  <c r="J561" i="2"/>
  <c r="M561" i="2" s="1"/>
  <c r="K561" i="2"/>
  <c r="N561" i="2" s="1"/>
  <c r="P561" i="2"/>
  <c r="Q561" i="2"/>
  <c r="H562" i="2"/>
  <c r="I562" i="2"/>
  <c r="L562" i="2" s="1"/>
  <c r="J562" i="2"/>
  <c r="K562" i="2"/>
  <c r="N562" i="2" s="1"/>
  <c r="M562" i="2"/>
  <c r="P562" i="2"/>
  <c r="Q562" i="2"/>
  <c r="H563" i="2"/>
  <c r="I563" i="2"/>
  <c r="J563" i="2"/>
  <c r="K563" i="2"/>
  <c r="P563" i="2"/>
  <c r="Q563" i="2"/>
  <c r="H564" i="2"/>
  <c r="I564" i="2"/>
  <c r="J564" i="2"/>
  <c r="K564" i="2"/>
  <c r="L564" i="2"/>
  <c r="M564" i="2"/>
  <c r="P564" i="2"/>
  <c r="Q564" i="2"/>
  <c r="H565" i="2"/>
  <c r="I565" i="2"/>
  <c r="J565" i="2"/>
  <c r="K565" i="2"/>
  <c r="L565" i="2"/>
  <c r="M565" i="2"/>
  <c r="N565" i="2"/>
  <c r="P565" i="2"/>
  <c r="Q565" i="2"/>
  <c r="H566" i="2"/>
  <c r="I566" i="2"/>
  <c r="J566" i="2"/>
  <c r="K566" i="2"/>
  <c r="N566" i="2" s="1"/>
  <c r="L566" i="2"/>
  <c r="M566" i="2"/>
  <c r="P566" i="2"/>
  <c r="Q566" i="2"/>
  <c r="H567" i="2"/>
  <c r="I567" i="2"/>
  <c r="H568" i="2"/>
  <c r="I568" i="2"/>
  <c r="L568" i="2" s="1"/>
  <c r="H569" i="2"/>
  <c r="I569" i="2"/>
  <c r="L569" i="2" s="1"/>
  <c r="H570" i="2"/>
  <c r="I570" i="2"/>
  <c r="L570" i="2" s="1"/>
  <c r="J570" i="2"/>
  <c r="H571" i="2"/>
  <c r="I571" i="2"/>
  <c r="L571" i="2" s="1"/>
  <c r="J571" i="2"/>
  <c r="M571" i="2" s="1"/>
  <c r="H572" i="2"/>
  <c r="I572" i="2"/>
  <c r="J572" i="2"/>
  <c r="K572" i="2"/>
  <c r="N572" i="2"/>
  <c r="P572" i="2"/>
  <c r="Q572" i="2"/>
  <c r="H573" i="2"/>
  <c r="I573" i="2"/>
  <c r="J573" i="2"/>
  <c r="K573" i="2"/>
  <c r="P573" i="2"/>
  <c r="Q573" i="2"/>
  <c r="H574" i="2"/>
  <c r="N574" i="2" s="1"/>
  <c r="I574" i="2"/>
  <c r="L574" i="2" s="1"/>
  <c r="J574" i="2"/>
  <c r="M574" i="2" s="1"/>
  <c r="K574" i="2"/>
  <c r="P574" i="2"/>
  <c r="Q574" i="2"/>
  <c r="H575" i="2"/>
  <c r="I575" i="2"/>
  <c r="L575" i="2" s="1"/>
  <c r="J575" i="2"/>
  <c r="K575" i="2"/>
  <c r="M575" i="2"/>
  <c r="N575" i="2"/>
  <c r="P575" i="2"/>
  <c r="Q575" i="2"/>
  <c r="H576" i="2"/>
  <c r="I576" i="2"/>
  <c r="J576" i="2"/>
  <c r="K576" i="2"/>
  <c r="L576" i="2"/>
  <c r="M576" i="2"/>
  <c r="P576" i="2"/>
  <c r="Q576" i="2"/>
  <c r="H577" i="2"/>
  <c r="I577" i="2"/>
  <c r="J577" i="2"/>
  <c r="K577" i="2"/>
  <c r="L577" i="2"/>
  <c r="P577" i="2"/>
  <c r="Q577" i="2"/>
  <c r="H578" i="2"/>
  <c r="I578" i="2"/>
  <c r="L578" i="2" s="1"/>
  <c r="J578" i="2"/>
  <c r="M578" i="2" s="1"/>
  <c r="K578" i="2"/>
  <c r="P578" i="2"/>
  <c r="Q578" i="2"/>
  <c r="H579" i="2"/>
  <c r="I579" i="2"/>
  <c r="J579" i="2"/>
  <c r="K579" i="2"/>
  <c r="P579" i="2"/>
  <c r="Q579" i="2"/>
  <c r="H580" i="2"/>
  <c r="N580" i="2" s="1"/>
  <c r="I580" i="2"/>
  <c r="L580" i="2" s="1"/>
  <c r="J580" i="2"/>
  <c r="M580" i="2" s="1"/>
  <c r="K580" i="2"/>
  <c r="P580" i="2"/>
  <c r="Q580" i="2"/>
  <c r="H581" i="2"/>
  <c r="I581" i="2"/>
  <c r="L581" i="2" s="1"/>
  <c r="J581" i="2"/>
  <c r="K581" i="2"/>
  <c r="P581" i="2"/>
  <c r="Q581" i="2"/>
  <c r="H582" i="2"/>
  <c r="I582" i="2"/>
  <c r="J582" i="2"/>
  <c r="K582" i="2"/>
  <c r="P582" i="2"/>
  <c r="Q582" i="2"/>
  <c r="H583" i="2"/>
  <c r="I583" i="2"/>
  <c r="L583" i="2" s="1"/>
  <c r="J583" i="2"/>
  <c r="K583" i="2"/>
  <c r="M583" i="2"/>
  <c r="N583" i="2"/>
  <c r="H584" i="2"/>
  <c r="I584" i="2"/>
  <c r="J584" i="2"/>
  <c r="H585" i="2"/>
  <c r="I585" i="2"/>
  <c r="J585" i="2"/>
  <c r="L585" i="2"/>
  <c r="H586" i="2"/>
  <c r="I586" i="2"/>
  <c r="M585" i="2" l="1"/>
  <c r="N577" i="2"/>
  <c r="N576" i="2"/>
  <c r="N564" i="2"/>
  <c r="N534" i="2"/>
  <c r="M523" i="2"/>
  <c r="N396" i="2"/>
  <c r="N578" i="2"/>
  <c r="M577" i="2"/>
  <c r="L572" i="2"/>
  <c r="M570" i="2"/>
  <c r="L567" i="2"/>
  <c r="N556" i="2"/>
  <c r="L548" i="2"/>
  <c r="M538" i="2"/>
  <c r="L531" i="2"/>
  <c r="M529" i="2"/>
  <c r="L523" i="2"/>
  <c r="N512" i="2"/>
  <c r="L510" i="2"/>
  <c r="L504" i="2"/>
  <c r="M497" i="2"/>
  <c r="N486" i="2"/>
  <c r="L454" i="2"/>
  <c r="L425" i="2"/>
  <c r="M393" i="2"/>
  <c r="M141" i="2"/>
  <c r="N579" i="2"/>
  <c r="N559" i="2"/>
  <c r="N558" i="2"/>
  <c r="N554" i="2"/>
  <c r="N544" i="2"/>
  <c r="N542" i="2"/>
  <c r="L538" i="2"/>
  <c r="L534" i="2"/>
  <c r="N517" i="2"/>
  <c r="L515" i="2"/>
  <c r="L497" i="2"/>
  <c r="L426" i="2"/>
  <c r="M579" i="2"/>
  <c r="N560" i="2"/>
  <c r="M559" i="2"/>
  <c r="M554" i="2"/>
  <c r="N545" i="2"/>
  <c r="M543" i="2"/>
  <c r="N530" i="2"/>
  <c r="N526" i="2"/>
  <c r="N520" i="2"/>
  <c r="M518" i="2"/>
  <c r="M507" i="2"/>
  <c r="M427" i="2"/>
  <c r="L29" i="2"/>
  <c r="N27" i="2"/>
  <c r="L579" i="2"/>
  <c r="M560" i="2"/>
  <c r="L554" i="2"/>
  <c r="N546" i="2"/>
  <c r="M545" i="2"/>
  <c r="L544" i="2"/>
  <c r="M537" i="2"/>
  <c r="M527" i="2"/>
  <c r="N521" i="2"/>
  <c r="M519" i="2"/>
  <c r="M513" i="2"/>
  <c r="N508" i="2"/>
  <c r="L507" i="2"/>
  <c r="N505" i="2"/>
  <c r="M503" i="2"/>
  <c r="M488" i="2"/>
  <c r="L458" i="2"/>
  <c r="M455" i="2"/>
  <c r="L428" i="2"/>
  <c r="N118" i="2"/>
  <c r="L25" i="2"/>
  <c r="N476" i="2"/>
  <c r="N451" i="2"/>
  <c r="N416" i="2"/>
  <c r="N399" i="2"/>
  <c r="N384" i="2"/>
  <c r="N373" i="2"/>
  <c r="N357" i="2"/>
  <c r="N152" i="2"/>
  <c r="N25" i="2"/>
  <c r="L512" i="2"/>
  <c r="N498" i="2"/>
  <c r="N496" i="2"/>
  <c r="M494" i="2"/>
  <c r="M486" i="2"/>
  <c r="N474" i="2"/>
  <c r="N470" i="2"/>
  <c r="M467" i="2"/>
  <c r="L459" i="2"/>
  <c r="M451" i="2"/>
  <c r="M449" i="2"/>
  <c r="N444" i="2"/>
  <c r="L443" i="2"/>
  <c r="M424" i="2"/>
  <c r="M416" i="2"/>
  <c r="L411" i="2"/>
  <c r="L404" i="2"/>
  <c r="N402" i="2"/>
  <c r="L401" i="2"/>
  <c r="M384" i="2"/>
  <c r="L365" i="2"/>
  <c r="M337" i="2"/>
  <c r="M335" i="2"/>
  <c r="M332" i="2"/>
  <c r="N322" i="2"/>
  <c r="L321" i="2"/>
  <c r="M299" i="2"/>
  <c r="L230" i="2"/>
  <c r="L224" i="2"/>
  <c r="N203" i="2"/>
  <c r="N202" i="2"/>
  <c r="M195" i="2"/>
  <c r="L166" i="2"/>
  <c r="N164" i="2"/>
  <c r="N162" i="2"/>
  <c r="M152" i="2"/>
  <c r="L137" i="2"/>
  <c r="N133" i="2"/>
  <c r="N94" i="2"/>
  <c r="L65" i="2"/>
  <c r="M20" i="2"/>
  <c r="L486" i="2"/>
  <c r="L478" i="2"/>
  <c r="L476" i="2"/>
  <c r="L467" i="2"/>
  <c r="L457" i="2"/>
  <c r="L449" i="2"/>
  <c r="L424" i="2"/>
  <c r="L416" i="2"/>
  <c r="L396" i="2"/>
  <c r="L373" i="2"/>
  <c r="L357" i="2"/>
  <c r="M303" i="2"/>
  <c r="L299" i="2"/>
  <c r="M297" i="2"/>
  <c r="M287" i="2"/>
  <c r="M257" i="2"/>
  <c r="L210" i="2"/>
  <c r="M203" i="2"/>
  <c r="L195" i="2"/>
  <c r="M159" i="2"/>
  <c r="L152" i="2"/>
  <c r="M130" i="2"/>
  <c r="M126" i="2"/>
  <c r="M107" i="2"/>
  <c r="L61" i="2"/>
  <c r="L487" i="2"/>
  <c r="L468" i="2"/>
  <c r="M452" i="2"/>
  <c r="N450" i="2"/>
  <c r="N425" i="2"/>
  <c r="N409" i="2"/>
  <c r="M408" i="2"/>
  <c r="M400" i="2"/>
  <c r="M348" i="2"/>
  <c r="M323" i="2"/>
  <c r="N292" i="2"/>
  <c r="N214" i="2"/>
  <c r="N165" i="2"/>
  <c r="N62" i="2"/>
  <c r="N29" i="2"/>
  <c r="N475" i="2"/>
  <c r="L472" i="2"/>
  <c r="M460" i="2"/>
  <c r="L456" i="2"/>
  <c r="M454" i="2"/>
  <c r="M450" i="2"/>
  <c r="N437" i="2"/>
  <c r="N436" i="2"/>
  <c r="M426" i="2"/>
  <c r="M420" i="2"/>
  <c r="M419" i="2"/>
  <c r="L418" i="2"/>
  <c r="M413" i="2"/>
  <c r="L400" i="2"/>
  <c r="N395" i="2"/>
  <c r="M381" i="2"/>
  <c r="M380" i="2"/>
  <c r="L378" i="2"/>
  <c r="L366" i="2"/>
  <c r="L362" i="2"/>
  <c r="L361" i="2"/>
  <c r="L348" i="2"/>
  <c r="L323" i="2"/>
  <c r="M296" i="2"/>
  <c r="L290" i="2"/>
  <c r="N215" i="2"/>
  <c r="M214" i="2"/>
  <c r="M207" i="2"/>
  <c r="M201" i="2"/>
  <c r="M165" i="2"/>
  <c r="N158" i="2"/>
  <c r="L140" i="2"/>
  <c r="M124" i="2"/>
  <c r="M78" i="2"/>
  <c r="L76" i="2"/>
  <c r="N70" i="2"/>
  <c r="N60" i="2"/>
  <c r="N53" i="2"/>
  <c r="L23" i="2"/>
  <c r="L21" i="2"/>
  <c r="L5" i="2"/>
  <c r="L464" i="2"/>
  <c r="M462" i="2"/>
  <c r="L450" i="2"/>
  <c r="M437" i="2"/>
  <c r="L427" i="2"/>
  <c r="L420" i="2"/>
  <c r="L413" i="2"/>
  <c r="L409" i="2"/>
  <c r="L394" i="2"/>
  <c r="L393" i="2"/>
  <c r="L381" i="2"/>
  <c r="L349" i="2"/>
  <c r="L336" i="2"/>
  <c r="L333" i="2"/>
  <c r="M319" i="2"/>
  <c r="M318" i="2"/>
  <c r="M302" i="2"/>
  <c r="L275" i="2"/>
  <c r="M270" i="2"/>
  <c r="L231" i="2"/>
  <c r="M215" i="2"/>
  <c r="L201" i="2"/>
  <c r="M197" i="2"/>
  <c r="M158" i="2"/>
  <c r="L118" i="2"/>
  <c r="M111" i="2"/>
  <c r="M108" i="2"/>
  <c r="L78" i="2"/>
  <c r="L62" i="2"/>
  <c r="L27" i="2"/>
  <c r="M584" i="2"/>
  <c r="L582" i="2"/>
  <c r="M581" i="2"/>
  <c r="L573" i="2"/>
  <c r="M572" i="2"/>
  <c r="L563" i="2"/>
  <c r="N553" i="2"/>
  <c r="M552" i="2"/>
  <c r="L549" i="2"/>
  <c r="M540" i="2"/>
  <c r="L539" i="2"/>
  <c r="M534" i="2"/>
  <c r="M530" i="2"/>
  <c r="L529" i="2"/>
  <c r="L525" i="2"/>
  <c r="N523" i="2"/>
  <c r="L516" i="2"/>
  <c r="N514" i="2"/>
  <c r="N513" i="2"/>
  <c r="M504" i="2"/>
  <c r="L501" i="2"/>
  <c r="L495" i="2"/>
  <c r="L493" i="2"/>
  <c r="L489" i="2"/>
  <c r="N487" i="2"/>
  <c r="N473" i="2"/>
  <c r="N469" i="2"/>
  <c r="M468" i="2"/>
  <c r="N467" i="2"/>
  <c r="M464" i="2"/>
  <c r="L461" i="2"/>
  <c r="M456" i="2"/>
  <c r="L453" i="2"/>
  <c r="N449" i="2"/>
  <c r="M448" i="2"/>
  <c r="L447" i="2"/>
  <c r="L431" i="2"/>
  <c r="M422" i="2"/>
  <c r="N421" i="2"/>
  <c r="N413" i="2"/>
  <c r="N410" i="2"/>
  <c r="M407" i="2"/>
  <c r="L403" i="2"/>
  <c r="N400" i="2"/>
  <c r="M399" i="2"/>
  <c r="L398" i="2"/>
  <c r="M395" i="2"/>
  <c r="N394" i="2"/>
  <c r="M392" i="2"/>
  <c r="L384" i="2"/>
  <c r="M383" i="2"/>
  <c r="N382" i="2"/>
  <c r="L379" i="2"/>
  <c r="L375" i="2"/>
  <c r="N374" i="2"/>
  <c r="L363" i="2"/>
  <c r="N362" i="2"/>
  <c r="L360" i="2"/>
  <c r="M357" i="2"/>
  <c r="L355" i="2"/>
  <c r="L351" i="2"/>
  <c r="M350" i="2"/>
  <c r="N349" i="2"/>
  <c r="N337" i="2"/>
  <c r="M336" i="2"/>
  <c r="L335" i="2"/>
  <c r="L325" i="2"/>
  <c r="L324" i="2"/>
  <c r="L322" i="2"/>
  <c r="M321" i="2"/>
  <c r="N320" i="2"/>
  <c r="M305" i="2"/>
  <c r="M300" i="2"/>
  <c r="L296" i="2"/>
  <c r="L293" i="2"/>
  <c r="M292" i="2"/>
  <c r="L291" i="2"/>
  <c r="L289" i="2"/>
  <c r="L288" i="2"/>
  <c r="L282" i="2"/>
  <c r="M275" i="2"/>
  <c r="L270" i="2"/>
  <c r="M246" i="2"/>
  <c r="M227" i="2"/>
  <c r="L226" i="2"/>
  <c r="L211" i="2"/>
  <c r="L209" i="2"/>
  <c r="M208" i="2"/>
  <c r="N207" i="2"/>
  <c r="L192" i="2"/>
  <c r="L185" i="2"/>
  <c r="M184" i="2"/>
  <c r="N163" i="2"/>
  <c r="M162" i="2"/>
  <c r="L161" i="2"/>
  <c r="N157" i="2"/>
  <c r="L142" i="2"/>
  <c r="L136" i="2"/>
  <c r="M133" i="2"/>
  <c r="N132" i="2"/>
  <c r="L130" i="2"/>
  <c r="M128" i="2"/>
  <c r="N127" i="2"/>
  <c r="L121" i="2"/>
  <c r="M119" i="2"/>
  <c r="M116" i="2"/>
  <c r="M73" i="2"/>
  <c r="L71" i="2"/>
  <c r="M70" i="2"/>
  <c r="L69" i="2"/>
  <c r="M65" i="2"/>
  <c r="N63" i="2"/>
  <c r="M61" i="2"/>
  <c r="M60" i="2"/>
  <c r="N56" i="2"/>
  <c r="L55" i="2"/>
  <c r="M53" i="2"/>
  <c r="N52" i="2"/>
  <c r="M47" i="2"/>
  <c r="M44" i="2"/>
  <c r="M43" i="2"/>
  <c r="M40" i="2"/>
  <c r="M30" i="2"/>
  <c r="L28" i="2"/>
  <c r="M26" i="2"/>
  <c r="N22" i="2"/>
  <c r="M21" i="2"/>
  <c r="L20" i="2"/>
  <c r="M7" i="2"/>
  <c r="L2" i="2"/>
  <c r="N582" i="2"/>
  <c r="N407" i="2"/>
  <c r="N336" i="2"/>
  <c r="M282" i="2"/>
  <c r="M226" i="2"/>
  <c r="M136" i="2"/>
  <c r="M69" i="2"/>
  <c r="M22" i="2"/>
  <c r="M582" i="2"/>
  <c r="N581" i="2"/>
  <c r="N573" i="2"/>
  <c r="N563" i="2"/>
  <c r="N549" i="2"/>
  <c r="N539" i="2"/>
  <c r="N525" i="2"/>
  <c r="N516" i="2"/>
  <c r="N489" i="2"/>
  <c r="N447" i="2"/>
  <c r="N431" i="2"/>
  <c r="M423" i="2"/>
  <c r="N418" i="2"/>
  <c r="M398" i="2"/>
  <c r="N383" i="2"/>
  <c r="N379" i="2"/>
  <c r="L364" i="2"/>
  <c r="L300" i="2"/>
  <c r="N291" i="2"/>
  <c r="M185" i="2"/>
  <c r="L128" i="2"/>
  <c r="M549" i="2"/>
  <c r="M539" i="2"/>
  <c r="M525" i="2"/>
  <c r="M516" i="2"/>
  <c r="M489" i="2"/>
  <c r="M573" i="2"/>
  <c r="M563" i="2"/>
  <c r="L584" i="2"/>
  <c r="M501" i="2"/>
  <c r="M495" i="2"/>
  <c r="M461" i="2"/>
  <c r="M453" i="2"/>
  <c r="L132" i="2"/>
  <c r="N73" i="2"/>
  <c r="N71" i="2"/>
  <c r="L63" i="2"/>
  <c r="L56" i="2"/>
  <c r="L47" i="2"/>
  <c r="L30" i="2"/>
  <c r="L7" i="2"/>
  <c r="N403" i="2"/>
  <c r="M360" i="2"/>
  <c r="N355" i="2"/>
  <c r="N335" i="2"/>
  <c r="N324" i="2"/>
  <c r="N293" i="2"/>
  <c r="M289" i="2"/>
  <c r="N211" i="2"/>
  <c r="N208" i="2"/>
  <c r="M192" i="2"/>
  <c r="L167" i="2"/>
  <c r="M157" i="2"/>
  <c r="L127" i="2"/>
  <c r="L110" i="2"/>
  <c r="L73" i="2"/>
  <c r="L52" i="2"/>
  <c r="N40" i="2"/>
  <c r="M355" i="2"/>
  <c r="N350" i="2"/>
  <c r="M324" i="2"/>
  <c r="N321" i="2"/>
  <c r="M211" i="2"/>
  <c r="M132" i="2"/>
  <c r="M71" i="2"/>
  <c r="M63" i="2"/>
  <c r="M56" i="2"/>
  <c r="L40" i="2"/>
  <c r="M410" i="2"/>
  <c r="L287" i="2"/>
  <c r="N226" i="2"/>
  <c r="L208" i="2"/>
  <c r="N184" i="2"/>
  <c r="L169" i="2"/>
  <c r="M163" i="2"/>
  <c r="M142" i="2"/>
  <c r="M127" i="2"/>
  <c r="N69" i="2"/>
  <c r="M52" i="2"/>
  <c r="L22" i="2"/>
  <c r="L246" i="2"/>
  <c r="W433" i="1" l="1"/>
  <c r="P433" i="1"/>
  <c r="Q433" i="1" s="1"/>
  <c r="M433" i="1"/>
  <c r="G433" i="1"/>
  <c r="M432" i="1"/>
  <c r="G432" i="1"/>
  <c r="M431" i="1"/>
  <c r="G431" i="1"/>
  <c r="W430" i="1"/>
  <c r="M430" i="1"/>
  <c r="G430" i="1"/>
  <c r="M429" i="1"/>
  <c r="G429" i="1"/>
  <c r="M428" i="1"/>
  <c r="G428" i="1"/>
  <c r="P427" i="1"/>
  <c r="Q427" i="1" s="1"/>
  <c r="M427" i="1"/>
  <c r="G427" i="1"/>
  <c r="M426" i="1"/>
  <c r="G426" i="1"/>
  <c r="M425" i="1"/>
  <c r="G425" i="1"/>
  <c r="M424" i="1"/>
  <c r="G424" i="1"/>
  <c r="P423" i="1"/>
  <c r="Q423" i="1" s="1"/>
  <c r="M423" i="1"/>
  <c r="G423" i="1"/>
  <c r="P422" i="1"/>
  <c r="Q422" i="1" s="1"/>
  <c r="M422" i="1"/>
  <c r="G422" i="1"/>
  <c r="W421" i="1"/>
  <c r="P421" i="1"/>
  <c r="Q421" i="1" s="1"/>
  <c r="M421" i="1"/>
  <c r="G421" i="1"/>
  <c r="M420" i="1"/>
  <c r="G420" i="1"/>
  <c r="M419" i="1"/>
  <c r="G419" i="1"/>
  <c r="M418" i="1"/>
  <c r="G418" i="1"/>
  <c r="M417" i="1"/>
  <c r="G417" i="1"/>
  <c r="M416" i="1"/>
  <c r="G416" i="1"/>
  <c r="M415" i="1"/>
  <c r="G415" i="1"/>
  <c r="W414" i="1"/>
  <c r="P414" i="1"/>
  <c r="Q414" i="1" s="1"/>
  <c r="M414" i="1"/>
  <c r="G414" i="1"/>
  <c r="M413" i="1"/>
  <c r="G413" i="1"/>
  <c r="M412" i="1"/>
  <c r="G412" i="1"/>
  <c r="M411" i="1"/>
  <c r="G411" i="1"/>
  <c r="W410" i="1"/>
  <c r="P410" i="1"/>
  <c r="Q410" i="1" s="1"/>
  <c r="M410" i="1"/>
  <c r="G410" i="1"/>
  <c r="W409" i="1"/>
  <c r="P409" i="1"/>
  <c r="Q409" i="1" s="1"/>
  <c r="M409" i="1"/>
  <c r="K409" i="1"/>
  <c r="G409" i="1"/>
  <c r="M408" i="1"/>
  <c r="G408" i="1"/>
  <c r="M407" i="1"/>
  <c r="G407" i="1"/>
  <c r="M406" i="1"/>
  <c r="G406" i="1"/>
  <c r="M405" i="1"/>
  <c r="G405" i="1"/>
  <c r="W404" i="1"/>
  <c r="P404" i="1"/>
  <c r="Q404" i="1" s="1"/>
  <c r="M404" i="1"/>
  <c r="G404" i="1"/>
  <c r="W403" i="1"/>
  <c r="P403" i="1"/>
  <c r="Q403" i="1" s="1"/>
  <c r="M403" i="1"/>
  <c r="G403" i="1"/>
  <c r="M402" i="1"/>
  <c r="G402" i="1"/>
  <c r="M401" i="1"/>
  <c r="G401" i="1"/>
  <c r="W400" i="1"/>
  <c r="P400" i="1"/>
  <c r="Q400" i="1" s="1"/>
  <c r="M400" i="1"/>
  <c r="G400" i="1"/>
  <c r="M399" i="1"/>
  <c r="G399" i="1"/>
  <c r="M398" i="1"/>
  <c r="G398" i="1"/>
  <c r="P397" i="1"/>
  <c r="Q397" i="1" s="1"/>
  <c r="M397" i="1"/>
  <c r="G397" i="1"/>
  <c r="P396" i="1"/>
  <c r="Q396" i="1" s="1"/>
  <c r="M396" i="1"/>
  <c r="G396" i="1"/>
  <c r="M395" i="1"/>
  <c r="G395" i="1"/>
  <c r="W394" i="1"/>
  <c r="P394" i="1"/>
  <c r="Q394" i="1" s="1"/>
  <c r="M394" i="1"/>
  <c r="G394" i="1"/>
  <c r="P393" i="1"/>
  <c r="Q393" i="1" s="1"/>
  <c r="M393" i="1"/>
  <c r="G393" i="1"/>
  <c r="M392" i="1"/>
  <c r="G392" i="1"/>
  <c r="P391" i="1"/>
  <c r="Q391" i="1" s="1"/>
  <c r="M391" i="1"/>
  <c r="G391" i="1"/>
  <c r="M390" i="1"/>
  <c r="G390" i="1"/>
  <c r="M389" i="1"/>
  <c r="G389" i="1"/>
  <c r="M388" i="1"/>
  <c r="G388" i="1"/>
  <c r="P387" i="1"/>
  <c r="Q387" i="1" s="1"/>
  <c r="M387" i="1"/>
  <c r="G387" i="1"/>
  <c r="M386" i="1"/>
  <c r="G386" i="1"/>
  <c r="W385" i="1"/>
  <c r="P385" i="1"/>
  <c r="Q385" i="1" s="1"/>
  <c r="M385" i="1"/>
  <c r="G385" i="1"/>
  <c r="M384" i="1"/>
  <c r="G384" i="1"/>
  <c r="M383" i="1"/>
  <c r="G383" i="1"/>
  <c r="W382" i="1"/>
  <c r="P382" i="1"/>
  <c r="Q382" i="1" s="1"/>
  <c r="M382" i="1"/>
  <c r="G382" i="1"/>
  <c r="M381" i="1"/>
  <c r="G381" i="1"/>
  <c r="M380" i="1"/>
  <c r="G380" i="1"/>
  <c r="M379" i="1"/>
  <c r="G379" i="1"/>
  <c r="W378" i="1"/>
  <c r="M378" i="1"/>
  <c r="G378" i="1"/>
  <c r="M377" i="1"/>
  <c r="G377" i="1"/>
  <c r="P376" i="1"/>
  <c r="Q376" i="1" s="1"/>
  <c r="M376" i="1"/>
  <c r="G376" i="1"/>
  <c r="M375" i="1"/>
  <c r="G375" i="1"/>
  <c r="P374" i="1"/>
  <c r="Q374" i="1" s="1"/>
  <c r="M374" i="1"/>
  <c r="G374" i="1"/>
  <c r="W373" i="1"/>
  <c r="M373" i="1"/>
  <c r="G373" i="1"/>
  <c r="M372" i="1"/>
  <c r="G372" i="1"/>
  <c r="M371" i="1"/>
  <c r="G371" i="1"/>
  <c r="P370" i="1"/>
  <c r="Q370" i="1" s="1"/>
  <c r="M370" i="1"/>
  <c r="G370" i="1"/>
  <c r="M369" i="1"/>
  <c r="G369" i="1"/>
  <c r="M368" i="1"/>
  <c r="G368" i="1"/>
  <c r="M367" i="1"/>
  <c r="G367" i="1"/>
  <c r="P366" i="1"/>
  <c r="Q366" i="1" s="1"/>
  <c r="M366" i="1"/>
  <c r="G366" i="1"/>
  <c r="M365" i="1"/>
  <c r="G365" i="1"/>
  <c r="W364" i="1"/>
  <c r="M364" i="1"/>
  <c r="G364" i="1"/>
  <c r="M363" i="1"/>
  <c r="G363" i="1"/>
  <c r="M362" i="1"/>
  <c r="G362" i="1"/>
  <c r="P361" i="1"/>
  <c r="Q361" i="1" s="1"/>
  <c r="M361" i="1"/>
  <c r="G361" i="1"/>
  <c r="P360" i="1"/>
  <c r="Q360" i="1" s="1"/>
  <c r="M360" i="1"/>
  <c r="G360" i="1"/>
  <c r="W359" i="1"/>
  <c r="P359" i="1"/>
  <c r="Q359" i="1" s="1"/>
  <c r="M359" i="1"/>
  <c r="G359" i="1"/>
  <c r="P358" i="1"/>
  <c r="Q358" i="1" s="1"/>
  <c r="M358" i="1"/>
  <c r="G358" i="1"/>
  <c r="P357" i="1"/>
  <c r="Q357" i="1" s="1"/>
  <c r="M357" i="1"/>
  <c r="G357" i="1"/>
  <c r="P356" i="1"/>
  <c r="Q356" i="1" s="1"/>
  <c r="M356" i="1"/>
  <c r="G356" i="1"/>
  <c r="W355" i="1"/>
  <c r="P355" i="1"/>
  <c r="Q355" i="1" s="1"/>
  <c r="M355" i="1"/>
  <c r="G355" i="1"/>
  <c r="P354" i="1"/>
  <c r="Q354" i="1" s="1"/>
  <c r="M354" i="1"/>
  <c r="G354" i="1"/>
  <c r="P353" i="1"/>
  <c r="Q353" i="1" s="1"/>
  <c r="M353" i="1"/>
  <c r="G353" i="1"/>
  <c r="M352" i="1"/>
  <c r="G352" i="1"/>
  <c r="M351" i="1"/>
  <c r="G351" i="1"/>
  <c r="M350" i="1"/>
  <c r="G350" i="1"/>
  <c r="M349" i="1"/>
  <c r="G349" i="1"/>
  <c r="M348" i="1"/>
  <c r="G348" i="1"/>
  <c r="M347" i="1"/>
  <c r="G347" i="1"/>
  <c r="W346" i="1"/>
  <c r="P346" i="1"/>
  <c r="Q346" i="1" s="1"/>
  <c r="M346" i="1"/>
  <c r="G346" i="1"/>
  <c r="M345" i="1"/>
  <c r="G345" i="1"/>
  <c r="P344" i="1"/>
  <c r="Q344" i="1" s="1"/>
  <c r="M344" i="1"/>
  <c r="G344" i="1"/>
  <c r="M343" i="1"/>
  <c r="G343" i="1"/>
  <c r="M342" i="1"/>
  <c r="G342" i="1"/>
  <c r="M341" i="1"/>
  <c r="G341" i="1"/>
  <c r="W340" i="1"/>
  <c r="P340" i="1"/>
  <c r="Q340" i="1" s="1"/>
  <c r="M340" i="1"/>
  <c r="G340" i="1"/>
  <c r="W339" i="1"/>
  <c r="P339" i="1"/>
  <c r="Q339" i="1" s="1"/>
  <c r="M339" i="1"/>
  <c r="G339" i="1"/>
  <c r="P338" i="1"/>
  <c r="Q338" i="1" s="1"/>
  <c r="M338" i="1"/>
  <c r="G338" i="1"/>
  <c r="W337" i="1"/>
  <c r="P337" i="1"/>
  <c r="Q337" i="1" s="1"/>
  <c r="M337" i="1"/>
  <c r="G337" i="1"/>
  <c r="W336" i="1"/>
  <c r="P336" i="1"/>
  <c r="Q336" i="1" s="1"/>
  <c r="M336" i="1"/>
  <c r="G336" i="1"/>
  <c r="P335" i="1"/>
  <c r="Q335" i="1" s="1"/>
  <c r="M335" i="1"/>
  <c r="G335" i="1"/>
  <c r="M334" i="1"/>
  <c r="G334" i="1"/>
  <c r="W333" i="1"/>
  <c r="M333" i="1"/>
  <c r="G333" i="1"/>
  <c r="M332" i="1"/>
  <c r="G332" i="1"/>
  <c r="P331" i="1"/>
  <c r="Q331" i="1" s="1"/>
  <c r="M331" i="1"/>
  <c r="G331" i="1"/>
  <c r="P330" i="1"/>
  <c r="Q330" i="1" s="1"/>
  <c r="M330" i="1"/>
  <c r="G330" i="1"/>
  <c r="W329" i="1"/>
  <c r="P329" i="1"/>
  <c r="Q329" i="1" s="1"/>
  <c r="M329" i="1"/>
  <c r="G329" i="1"/>
  <c r="P328" i="1"/>
  <c r="Q328" i="1" s="1"/>
  <c r="M328" i="1"/>
  <c r="G328" i="1"/>
  <c r="W327" i="1"/>
  <c r="P327" i="1"/>
  <c r="Q327" i="1" s="1"/>
  <c r="M327" i="1"/>
  <c r="G327" i="1"/>
  <c r="P326" i="1"/>
  <c r="Q326" i="1" s="1"/>
  <c r="M326" i="1"/>
  <c r="G326" i="1"/>
  <c r="M325" i="1"/>
  <c r="G325" i="1"/>
  <c r="M324" i="1"/>
  <c r="G324" i="1"/>
  <c r="M323" i="1"/>
  <c r="G323" i="1"/>
  <c r="M322" i="1"/>
  <c r="G322" i="1"/>
  <c r="P321" i="1"/>
  <c r="Q321" i="1" s="1"/>
  <c r="M321" i="1"/>
  <c r="G321" i="1"/>
  <c r="J320" i="1"/>
  <c r="G320" i="1"/>
  <c r="W319" i="1"/>
  <c r="M319" i="1"/>
  <c r="G319" i="1"/>
  <c r="M318" i="1"/>
  <c r="G318" i="1"/>
  <c r="M317" i="1"/>
  <c r="G317" i="1"/>
  <c r="P316" i="1"/>
  <c r="Q316" i="1" s="1"/>
  <c r="M316" i="1"/>
  <c r="G316" i="1"/>
  <c r="M315" i="1"/>
  <c r="G315" i="1"/>
  <c r="M314" i="1"/>
  <c r="G314" i="1"/>
  <c r="P313" i="1"/>
  <c r="Q313" i="1" s="1"/>
  <c r="M313" i="1"/>
  <c r="G313" i="1"/>
  <c r="M312" i="1"/>
  <c r="G312" i="1"/>
  <c r="M311" i="1"/>
  <c r="G311" i="1"/>
  <c r="M310" i="1"/>
  <c r="G310" i="1"/>
  <c r="M309" i="1"/>
  <c r="G309" i="1"/>
  <c r="M308" i="1"/>
  <c r="G308" i="1"/>
  <c r="W307" i="1"/>
  <c r="M307" i="1"/>
  <c r="G307" i="1"/>
  <c r="P306" i="1"/>
  <c r="Q306" i="1" s="1"/>
  <c r="M306" i="1"/>
  <c r="G306" i="1"/>
  <c r="P305" i="1"/>
  <c r="Q305" i="1" s="1"/>
  <c r="M305" i="1"/>
  <c r="G305" i="1"/>
  <c r="P304" i="1"/>
  <c r="Q304" i="1" s="1"/>
  <c r="M304" i="1"/>
  <c r="G304" i="1"/>
  <c r="P303" i="1"/>
  <c r="Q303" i="1" s="1"/>
  <c r="M303" i="1"/>
  <c r="G303" i="1"/>
  <c r="P302" i="1"/>
  <c r="Q302" i="1" s="1"/>
  <c r="M302" i="1"/>
  <c r="G302" i="1"/>
  <c r="M301" i="1"/>
  <c r="G301" i="1"/>
  <c r="M300" i="1"/>
  <c r="G300" i="1"/>
  <c r="M299" i="1"/>
  <c r="G299" i="1"/>
  <c r="W298" i="1"/>
  <c r="P298" i="1"/>
  <c r="Q298" i="1" s="1"/>
  <c r="M298" i="1"/>
  <c r="G298" i="1"/>
  <c r="P297" i="1"/>
  <c r="Q297" i="1" s="1"/>
  <c r="M297" i="1"/>
  <c r="G297" i="1"/>
  <c r="M296" i="1"/>
  <c r="G296" i="1"/>
  <c r="M295" i="1"/>
  <c r="G295" i="1"/>
  <c r="M294" i="1"/>
  <c r="G294" i="1"/>
  <c r="M293" i="1"/>
  <c r="G293" i="1"/>
  <c r="P292" i="1"/>
  <c r="Q292" i="1" s="1"/>
  <c r="M292" i="1"/>
  <c r="G292" i="1"/>
  <c r="P291" i="1"/>
  <c r="Q291" i="1" s="1"/>
  <c r="M291" i="1"/>
  <c r="G291" i="1"/>
  <c r="M290" i="1"/>
  <c r="G290" i="1"/>
  <c r="W289" i="1"/>
  <c r="Q289" i="1"/>
  <c r="M289" i="1"/>
  <c r="G289" i="1"/>
  <c r="W288" i="1"/>
  <c r="Q288" i="1"/>
  <c r="M288" i="1"/>
  <c r="G288" i="1"/>
  <c r="W287" i="1"/>
  <c r="Q287" i="1"/>
  <c r="M287" i="1"/>
  <c r="G287" i="1"/>
  <c r="Q286" i="1"/>
  <c r="M286" i="1"/>
  <c r="G286" i="1"/>
  <c r="Q285" i="1"/>
  <c r="M285" i="1"/>
  <c r="G285" i="1"/>
  <c r="W284" i="1"/>
  <c r="Q284" i="1"/>
  <c r="M284" i="1"/>
  <c r="G284" i="1"/>
  <c r="Q283" i="1"/>
  <c r="M283" i="1"/>
  <c r="G283" i="1"/>
  <c r="W282" i="1"/>
  <c r="M282" i="1"/>
  <c r="G282" i="1"/>
  <c r="W281" i="1"/>
  <c r="M281" i="1"/>
  <c r="G281" i="1"/>
  <c r="W280" i="1"/>
  <c r="Q280" i="1"/>
  <c r="M280" i="1"/>
  <c r="G280" i="1"/>
  <c r="W279" i="1"/>
  <c r="Q279" i="1"/>
  <c r="M279" i="1"/>
  <c r="G279" i="1"/>
  <c r="M278" i="1"/>
  <c r="G278" i="1"/>
  <c r="M277" i="1"/>
  <c r="G277" i="1"/>
  <c r="J276" i="1"/>
  <c r="G276" i="1"/>
  <c r="J275" i="1"/>
  <c r="G275" i="1"/>
  <c r="W274" i="1"/>
  <c r="Q274" i="1"/>
  <c r="M274" i="1"/>
  <c r="G274" i="1"/>
  <c r="W273" i="1"/>
  <c r="M273" i="1"/>
  <c r="G273" i="1"/>
  <c r="M272" i="1"/>
  <c r="G272" i="1"/>
  <c r="W271" i="1"/>
  <c r="Q271" i="1"/>
  <c r="M271" i="1"/>
  <c r="G271" i="1"/>
  <c r="W270" i="1"/>
  <c r="Q270" i="1"/>
  <c r="M270" i="1"/>
  <c r="G270" i="1"/>
  <c r="W269" i="1"/>
  <c r="Q269" i="1"/>
  <c r="M269" i="1"/>
  <c r="G269" i="1"/>
  <c r="W268" i="1"/>
  <c r="Q268" i="1"/>
  <c r="M268" i="1"/>
  <c r="G268" i="1"/>
  <c r="W267" i="1"/>
  <c r="Q267" i="1"/>
  <c r="M267" i="1"/>
  <c r="G267" i="1"/>
  <c r="M266" i="1"/>
  <c r="G266" i="1"/>
  <c r="W265" i="1"/>
  <c r="Q265" i="1"/>
  <c r="M265" i="1"/>
  <c r="G265" i="1"/>
  <c r="Q264" i="1"/>
  <c r="M264" i="1"/>
  <c r="G264" i="1"/>
  <c r="M263" i="1"/>
  <c r="G263" i="1"/>
  <c r="W262" i="1"/>
  <c r="Q262" i="1"/>
  <c r="M262" i="1"/>
  <c r="G262" i="1"/>
  <c r="Q261" i="1"/>
  <c r="M261" i="1"/>
  <c r="G261" i="1"/>
  <c r="M260" i="1"/>
  <c r="G260" i="1"/>
  <c r="Q259" i="1"/>
  <c r="M259" i="1"/>
  <c r="G259" i="1"/>
  <c r="W258" i="1"/>
  <c r="Q258" i="1"/>
  <c r="M258" i="1"/>
  <c r="G258" i="1"/>
  <c r="Q257" i="1"/>
  <c r="M257" i="1"/>
  <c r="G257" i="1"/>
  <c r="W256" i="1"/>
  <c r="M256" i="1"/>
  <c r="G256" i="1"/>
  <c r="W255" i="1"/>
  <c r="Q255" i="1"/>
  <c r="M255" i="1"/>
  <c r="G255" i="1"/>
  <c r="W254" i="1"/>
  <c r="M254" i="1"/>
  <c r="G254" i="1"/>
  <c r="W253" i="1"/>
  <c r="Q253" i="1"/>
  <c r="M253" i="1"/>
  <c r="G253" i="1"/>
  <c r="W252" i="1"/>
  <c r="Q252" i="1"/>
  <c r="M252" i="1"/>
  <c r="G252" i="1"/>
  <c r="M251" i="1"/>
  <c r="G251" i="1"/>
  <c r="W250" i="1"/>
  <c r="Q250" i="1"/>
  <c r="M250" i="1"/>
  <c r="G250" i="1"/>
  <c r="W249" i="1"/>
  <c r="Q249" i="1"/>
  <c r="M249" i="1"/>
  <c r="K249" i="1"/>
  <c r="J249" i="1"/>
  <c r="G249" i="1"/>
  <c r="Q248" i="1"/>
  <c r="M248" i="1"/>
  <c r="K248" i="1"/>
  <c r="G248" i="1"/>
  <c r="W247" i="1"/>
  <c r="Q247" i="1"/>
  <c r="M247" i="1"/>
  <c r="G247" i="1"/>
  <c r="Q246" i="1"/>
  <c r="M246" i="1"/>
  <c r="G246" i="1"/>
  <c r="M245" i="1"/>
  <c r="G245" i="1"/>
  <c r="Q244" i="1"/>
  <c r="M244" i="1"/>
  <c r="G244" i="1"/>
  <c r="W243" i="1"/>
  <c r="Q243" i="1"/>
  <c r="M243" i="1"/>
  <c r="G243" i="1"/>
  <c r="M242" i="1"/>
  <c r="G242" i="1"/>
  <c r="J241" i="1"/>
  <c r="G241" i="1"/>
  <c r="W240" i="1"/>
  <c r="Q240" i="1"/>
  <c r="M240" i="1"/>
  <c r="G240" i="1"/>
  <c r="W239" i="1"/>
  <c r="Q239" i="1"/>
  <c r="M239" i="1"/>
  <c r="G239" i="1"/>
  <c r="W238" i="1"/>
  <c r="Q238" i="1"/>
  <c r="M238" i="1"/>
  <c r="G238" i="1"/>
  <c r="Q237" i="1"/>
  <c r="M237" i="1"/>
  <c r="G237" i="1"/>
  <c r="W236" i="1"/>
  <c r="M236" i="1"/>
  <c r="G236" i="1"/>
  <c r="W235" i="1"/>
  <c r="Q235" i="1"/>
  <c r="M235" i="1"/>
  <c r="G235" i="1"/>
  <c r="M234" i="1"/>
  <c r="G234" i="1"/>
  <c r="M233" i="1"/>
  <c r="G233" i="1"/>
  <c r="W232" i="1"/>
  <c r="Q232" i="1"/>
  <c r="M232" i="1"/>
  <c r="G232" i="1"/>
  <c r="W231" i="1"/>
  <c r="Q231" i="1"/>
  <c r="M231" i="1"/>
  <c r="G231" i="1"/>
  <c r="W230" i="1"/>
  <c r="Q230" i="1"/>
  <c r="M230" i="1"/>
  <c r="G230" i="1"/>
  <c r="W229" i="1"/>
  <c r="Q229" i="1"/>
  <c r="M229" i="1"/>
  <c r="G229" i="1"/>
  <c r="Q228" i="1"/>
  <c r="M228" i="1"/>
  <c r="G228" i="1"/>
  <c r="Q227" i="1"/>
  <c r="M227" i="1"/>
  <c r="G227" i="1"/>
  <c r="Q226" i="1"/>
  <c r="M226" i="1"/>
  <c r="K226" i="1"/>
  <c r="G226" i="1"/>
  <c r="W225" i="1"/>
  <c r="Q225" i="1"/>
  <c r="M225" i="1"/>
  <c r="G225" i="1"/>
  <c r="M224" i="1"/>
  <c r="G224" i="1"/>
  <c r="L223" i="1"/>
  <c r="K223" i="1"/>
  <c r="G223" i="1"/>
  <c r="Q222" i="1"/>
  <c r="M222" i="1"/>
  <c r="G222" i="1"/>
  <c r="M221" i="1"/>
  <c r="G221" i="1"/>
  <c r="Q220" i="1"/>
  <c r="M220" i="1"/>
  <c r="G220" i="1"/>
  <c r="W219" i="1"/>
  <c r="Q219" i="1"/>
  <c r="M219" i="1"/>
  <c r="G219" i="1"/>
  <c r="Q218" i="1"/>
  <c r="M218" i="1"/>
  <c r="G218" i="1"/>
  <c r="P217" i="1"/>
  <c r="Q217" i="1" s="1"/>
  <c r="M217" i="1"/>
  <c r="G217" i="1"/>
  <c r="P216" i="1"/>
  <c r="Q216" i="1" s="1"/>
  <c r="M216" i="1"/>
  <c r="G216" i="1"/>
  <c r="P215" i="1"/>
  <c r="Q215" i="1" s="1"/>
  <c r="M215" i="1"/>
  <c r="G215" i="1"/>
  <c r="P214" i="1"/>
  <c r="Q214" i="1" s="1"/>
  <c r="M214" i="1"/>
  <c r="G214" i="1"/>
  <c r="G213" i="1"/>
  <c r="G212" i="1"/>
  <c r="P211" i="1"/>
  <c r="Q211" i="1" s="1"/>
  <c r="M211" i="1"/>
  <c r="G211" i="1"/>
  <c r="P210" i="1"/>
  <c r="Q210" i="1" s="1"/>
  <c r="M210" i="1"/>
  <c r="G210" i="1"/>
  <c r="P209" i="1"/>
  <c r="Q209" i="1" s="1"/>
  <c r="M209" i="1"/>
  <c r="G209" i="1"/>
  <c r="P208" i="1"/>
  <c r="Q208" i="1" s="1"/>
  <c r="M208" i="1"/>
  <c r="G208" i="1"/>
  <c r="P207" i="1"/>
  <c r="Q207" i="1" s="1"/>
  <c r="M207" i="1"/>
  <c r="G207" i="1"/>
  <c r="M206" i="1"/>
  <c r="G206" i="1"/>
  <c r="M205" i="1"/>
  <c r="G205" i="1"/>
  <c r="G204" i="1"/>
  <c r="M203" i="1"/>
  <c r="G203" i="1"/>
  <c r="M202" i="1"/>
  <c r="G202" i="1"/>
  <c r="M201" i="1"/>
  <c r="G201" i="1"/>
  <c r="M200" i="1"/>
  <c r="G200" i="1"/>
  <c r="M199" i="1"/>
  <c r="G199" i="1"/>
  <c r="P198" i="1"/>
  <c r="Q198" i="1" s="1"/>
  <c r="M198" i="1"/>
  <c r="G198" i="1"/>
  <c r="P197" i="1"/>
  <c r="Q197" i="1" s="1"/>
  <c r="M197" i="1"/>
  <c r="G197" i="1"/>
  <c r="P196" i="1"/>
  <c r="Q196" i="1" s="1"/>
  <c r="M196" i="1"/>
  <c r="G196" i="1"/>
  <c r="P195" i="1"/>
  <c r="Q195" i="1" s="1"/>
  <c r="M195" i="1"/>
  <c r="G195" i="1"/>
  <c r="P194" i="1"/>
  <c r="Q194" i="1" s="1"/>
  <c r="M194" i="1"/>
  <c r="G194" i="1"/>
  <c r="W193" i="1"/>
  <c r="P193" i="1"/>
  <c r="Q193" i="1" s="1"/>
  <c r="M193" i="1"/>
  <c r="G193" i="1"/>
  <c r="W192" i="1"/>
  <c r="P192" i="1"/>
  <c r="Q192" i="1" s="1"/>
  <c r="M192" i="1"/>
  <c r="G192" i="1"/>
  <c r="P191" i="1"/>
  <c r="Q191" i="1" s="1"/>
  <c r="M191" i="1"/>
  <c r="G191" i="1"/>
  <c r="W190" i="1"/>
  <c r="P190" i="1"/>
  <c r="Q190" i="1" s="1"/>
  <c r="M190" i="1"/>
  <c r="G190" i="1"/>
  <c r="W189" i="1"/>
  <c r="P189" i="1"/>
  <c r="Q189" i="1" s="1"/>
  <c r="M189" i="1"/>
  <c r="G189" i="1"/>
  <c r="P188" i="1"/>
  <c r="Q188" i="1" s="1"/>
  <c r="M188" i="1"/>
  <c r="G188" i="1"/>
  <c r="W187" i="1"/>
  <c r="P187" i="1"/>
  <c r="Q187" i="1" s="1"/>
  <c r="M187" i="1"/>
  <c r="G187" i="1"/>
  <c r="P186" i="1"/>
  <c r="Q186" i="1" s="1"/>
  <c r="M186" i="1"/>
  <c r="G186" i="1"/>
  <c r="P185" i="1"/>
  <c r="Q185" i="1" s="1"/>
  <c r="M185" i="1"/>
  <c r="G185" i="1"/>
  <c r="W184" i="1"/>
  <c r="P184" i="1"/>
  <c r="Q184" i="1" s="1"/>
  <c r="M184" i="1"/>
  <c r="G184" i="1"/>
  <c r="P183" i="1"/>
  <c r="Q183" i="1" s="1"/>
  <c r="M183" i="1"/>
  <c r="G183" i="1"/>
  <c r="M182" i="1"/>
  <c r="G182" i="1"/>
  <c r="M181" i="1"/>
  <c r="G181" i="1"/>
  <c r="P180" i="1"/>
  <c r="Q180" i="1" s="1"/>
  <c r="M180" i="1"/>
  <c r="G180" i="1"/>
  <c r="G179" i="1"/>
  <c r="M178" i="1"/>
  <c r="G178" i="1"/>
  <c r="P177" i="1"/>
  <c r="Q177" i="1" s="1"/>
  <c r="M177" i="1"/>
  <c r="G177" i="1"/>
  <c r="M176" i="1"/>
  <c r="G176" i="1"/>
  <c r="M175" i="1"/>
  <c r="G175" i="1"/>
  <c r="W174" i="1"/>
  <c r="P174" i="1"/>
  <c r="Q174" i="1" s="1"/>
  <c r="M174" i="1"/>
  <c r="G174" i="1"/>
  <c r="G173" i="1"/>
  <c r="M172" i="1"/>
  <c r="G172" i="1"/>
  <c r="P171" i="1"/>
  <c r="Q171" i="1" s="1"/>
  <c r="M171" i="1"/>
  <c r="G171" i="1"/>
  <c r="P170" i="1"/>
  <c r="L170" i="1"/>
  <c r="M170" i="1" s="1"/>
  <c r="G170" i="1"/>
  <c r="W169" i="1"/>
  <c r="M169" i="1"/>
  <c r="G169" i="1"/>
  <c r="P168" i="1"/>
  <c r="Q168" i="1" s="1"/>
  <c r="M168" i="1"/>
  <c r="G168" i="1"/>
  <c r="G167" i="1"/>
  <c r="M166" i="1"/>
  <c r="G166" i="1"/>
  <c r="M165" i="1"/>
  <c r="G165" i="1"/>
  <c r="M164" i="1"/>
  <c r="G164" i="1"/>
  <c r="W163" i="1"/>
  <c r="P163" i="1"/>
  <c r="Q163" i="1" s="1"/>
  <c r="M163" i="1"/>
  <c r="G163" i="1"/>
  <c r="P162" i="1"/>
  <c r="Q162" i="1" s="1"/>
  <c r="M162" i="1"/>
  <c r="G162" i="1"/>
  <c r="M161" i="1"/>
  <c r="G161" i="1"/>
  <c r="P160" i="1"/>
  <c r="Q160" i="1" s="1"/>
  <c r="M160" i="1"/>
  <c r="G160" i="1"/>
  <c r="M159" i="1"/>
  <c r="G159" i="1"/>
  <c r="L158" i="1"/>
  <c r="M158" i="1" s="1"/>
  <c r="G158" i="1"/>
  <c r="W157" i="1"/>
  <c r="M157" i="1"/>
  <c r="G157" i="1"/>
  <c r="P156" i="1"/>
  <c r="Q156" i="1" s="1"/>
  <c r="M156" i="1"/>
  <c r="G156" i="1"/>
  <c r="M155" i="1"/>
  <c r="G155" i="1"/>
  <c r="P154" i="1"/>
  <c r="Q154" i="1" s="1"/>
  <c r="M154" i="1"/>
  <c r="G154" i="1"/>
  <c r="P153" i="1"/>
  <c r="Q153" i="1" s="1"/>
  <c r="M153" i="1"/>
  <c r="G153" i="1"/>
  <c r="M152" i="1"/>
  <c r="G152" i="1"/>
  <c r="W151" i="1"/>
  <c r="P151" i="1"/>
  <c r="Q151" i="1" s="1"/>
  <c r="M151" i="1"/>
  <c r="G151" i="1"/>
  <c r="M150" i="1"/>
  <c r="G150" i="1"/>
  <c r="P149" i="1"/>
  <c r="Q149" i="1" s="1"/>
  <c r="M149" i="1"/>
  <c r="G149" i="1"/>
  <c r="P148" i="1"/>
  <c r="Q148" i="1" s="1"/>
  <c r="M148" i="1"/>
  <c r="G148" i="1"/>
  <c r="P147" i="1"/>
  <c r="Q147" i="1" s="1"/>
  <c r="M147" i="1"/>
  <c r="G147" i="1"/>
  <c r="P146" i="1"/>
  <c r="Q146" i="1" s="1"/>
  <c r="M146" i="1"/>
  <c r="G146" i="1"/>
  <c r="L145" i="1"/>
  <c r="K145" i="1"/>
  <c r="J145" i="1"/>
  <c r="I145" i="1"/>
  <c r="G145" i="1"/>
  <c r="P144" i="1"/>
  <c r="L144" i="1"/>
  <c r="K144" i="1"/>
  <c r="J144" i="1"/>
  <c r="I144" i="1"/>
  <c r="G144" i="1"/>
  <c r="L143" i="1"/>
  <c r="K143" i="1"/>
  <c r="J143" i="1"/>
  <c r="I143" i="1"/>
  <c r="G143" i="1"/>
  <c r="L142" i="1"/>
  <c r="K142" i="1"/>
  <c r="J142" i="1"/>
  <c r="I142" i="1"/>
  <c r="M142" i="1" s="1"/>
  <c r="G142" i="1"/>
  <c r="P141" i="1"/>
  <c r="L141" i="1"/>
  <c r="Q141" i="1" s="1"/>
  <c r="K141" i="1"/>
  <c r="J141" i="1"/>
  <c r="I141" i="1"/>
  <c r="M141" i="1" s="1"/>
  <c r="G141" i="1"/>
  <c r="L140" i="1"/>
  <c r="K140" i="1"/>
  <c r="J140" i="1"/>
  <c r="I140" i="1"/>
  <c r="M140" i="1" s="1"/>
  <c r="G140" i="1"/>
  <c r="W139" i="1"/>
  <c r="P139" i="1"/>
  <c r="L139" i="1"/>
  <c r="K139" i="1"/>
  <c r="J139" i="1"/>
  <c r="I139" i="1"/>
  <c r="G139" i="1"/>
  <c r="L138" i="1"/>
  <c r="K138" i="1"/>
  <c r="J138" i="1"/>
  <c r="I138" i="1"/>
  <c r="G138" i="1"/>
  <c r="L137" i="1"/>
  <c r="K137" i="1"/>
  <c r="J137" i="1"/>
  <c r="I137" i="1"/>
  <c r="G137" i="1"/>
  <c r="L136" i="1"/>
  <c r="K136" i="1"/>
  <c r="J136" i="1"/>
  <c r="I136" i="1"/>
  <c r="M136" i="1" s="1"/>
  <c r="G136" i="1"/>
  <c r="L135" i="1"/>
  <c r="K135" i="1"/>
  <c r="J135" i="1"/>
  <c r="I135" i="1"/>
  <c r="G135" i="1"/>
  <c r="W134" i="1"/>
  <c r="P134" i="1"/>
  <c r="L134" i="1"/>
  <c r="Q134" i="1" s="1"/>
  <c r="K134" i="1"/>
  <c r="J134" i="1"/>
  <c r="I134" i="1"/>
  <c r="M134" i="1" s="1"/>
  <c r="G134" i="1"/>
  <c r="W133" i="1"/>
  <c r="P133" i="1"/>
  <c r="L133" i="1"/>
  <c r="K133" i="1"/>
  <c r="J133" i="1"/>
  <c r="I133" i="1"/>
  <c r="M133" i="1" s="1"/>
  <c r="G133" i="1"/>
  <c r="L132" i="1"/>
  <c r="K132" i="1"/>
  <c r="J132" i="1"/>
  <c r="I132" i="1"/>
  <c r="G132" i="1"/>
  <c r="L131" i="1"/>
  <c r="K131" i="1"/>
  <c r="J131" i="1"/>
  <c r="I131" i="1"/>
  <c r="G131" i="1"/>
  <c r="W130" i="1"/>
  <c r="P130" i="1"/>
  <c r="L130" i="1"/>
  <c r="K130" i="1"/>
  <c r="J130" i="1"/>
  <c r="I130" i="1"/>
  <c r="M130" i="1" s="1"/>
  <c r="G130" i="1"/>
  <c r="L129" i="1"/>
  <c r="K129" i="1"/>
  <c r="J129" i="1"/>
  <c r="I129" i="1"/>
  <c r="G129" i="1"/>
  <c r="L128" i="1"/>
  <c r="K128" i="1"/>
  <c r="J128" i="1"/>
  <c r="I128" i="1"/>
  <c r="G128" i="1"/>
  <c r="L127" i="1"/>
  <c r="K127" i="1"/>
  <c r="J127" i="1"/>
  <c r="I127" i="1"/>
  <c r="M127" i="1" s="1"/>
  <c r="G127" i="1"/>
  <c r="L126" i="1"/>
  <c r="K126" i="1"/>
  <c r="J126" i="1"/>
  <c r="I126" i="1"/>
  <c r="M126" i="1" s="1"/>
  <c r="G126" i="1"/>
  <c r="W125" i="1"/>
  <c r="P125" i="1"/>
  <c r="L125" i="1"/>
  <c r="K125" i="1"/>
  <c r="J125" i="1"/>
  <c r="I125" i="1"/>
  <c r="G125" i="1"/>
  <c r="L124" i="1"/>
  <c r="K124" i="1"/>
  <c r="J124" i="1"/>
  <c r="I124" i="1"/>
  <c r="G124" i="1"/>
  <c r="P123" i="1"/>
  <c r="L123" i="1"/>
  <c r="K123" i="1"/>
  <c r="J123" i="1"/>
  <c r="I123" i="1"/>
  <c r="G123" i="1"/>
  <c r="P122" i="1"/>
  <c r="L122" i="1"/>
  <c r="K122" i="1"/>
  <c r="J122" i="1"/>
  <c r="I122" i="1"/>
  <c r="G122" i="1"/>
  <c r="L121" i="1"/>
  <c r="K121" i="1"/>
  <c r="J121" i="1"/>
  <c r="I121" i="1"/>
  <c r="G121" i="1"/>
  <c r="L120" i="1"/>
  <c r="K120" i="1"/>
  <c r="J120" i="1"/>
  <c r="I120" i="1"/>
  <c r="M120" i="1" s="1"/>
  <c r="G120" i="1"/>
  <c r="L119" i="1"/>
  <c r="K119" i="1"/>
  <c r="J119" i="1"/>
  <c r="I119" i="1"/>
  <c r="G119" i="1"/>
  <c r="P118" i="1"/>
  <c r="L118" i="1"/>
  <c r="K118" i="1"/>
  <c r="J118" i="1"/>
  <c r="I118" i="1"/>
  <c r="G118" i="1"/>
  <c r="L117" i="1"/>
  <c r="K117" i="1"/>
  <c r="J117" i="1"/>
  <c r="I117" i="1"/>
  <c r="G117" i="1"/>
  <c r="L116" i="1"/>
  <c r="K116" i="1"/>
  <c r="J116" i="1"/>
  <c r="I116" i="1"/>
  <c r="G116" i="1"/>
  <c r="P115" i="1"/>
  <c r="L115" i="1"/>
  <c r="K115" i="1"/>
  <c r="J115" i="1"/>
  <c r="I115" i="1"/>
  <c r="G115" i="1"/>
  <c r="P114" i="1"/>
  <c r="L114" i="1"/>
  <c r="K114" i="1"/>
  <c r="J114" i="1"/>
  <c r="I114" i="1"/>
  <c r="G114" i="1"/>
  <c r="L113" i="1"/>
  <c r="K113" i="1"/>
  <c r="J113" i="1"/>
  <c r="I113" i="1"/>
  <c r="M113" i="1" s="1"/>
  <c r="G113" i="1"/>
  <c r="P112" i="1"/>
  <c r="L112" i="1"/>
  <c r="K112" i="1"/>
  <c r="J112" i="1"/>
  <c r="I112" i="1"/>
  <c r="M112" i="1" s="1"/>
  <c r="G112" i="1"/>
  <c r="P111" i="1"/>
  <c r="L111" i="1"/>
  <c r="K111" i="1"/>
  <c r="J111" i="1"/>
  <c r="I111" i="1"/>
  <c r="M111" i="1" s="1"/>
  <c r="G111" i="1"/>
  <c r="L110" i="1"/>
  <c r="K110" i="1"/>
  <c r="J110" i="1"/>
  <c r="I110" i="1"/>
  <c r="G110" i="1"/>
  <c r="L109" i="1"/>
  <c r="K109" i="1"/>
  <c r="J109" i="1"/>
  <c r="I109" i="1"/>
  <c r="G109" i="1"/>
  <c r="L108" i="1"/>
  <c r="K108" i="1"/>
  <c r="J108" i="1"/>
  <c r="I108" i="1"/>
  <c r="G108" i="1"/>
  <c r="L107" i="1"/>
  <c r="K107" i="1"/>
  <c r="J107" i="1"/>
  <c r="I107" i="1"/>
  <c r="M107" i="1" s="1"/>
  <c r="G107" i="1"/>
  <c r="W106" i="1"/>
  <c r="P106" i="1"/>
  <c r="L106" i="1"/>
  <c r="K106" i="1"/>
  <c r="J106" i="1"/>
  <c r="I106" i="1"/>
  <c r="G106" i="1"/>
  <c r="L105" i="1"/>
  <c r="K105" i="1"/>
  <c r="J105" i="1"/>
  <c r="I105" i="1"/>
  <c r="M105" i="1" s="1"/>
  <c r="G105" i="1"/>
  <c r="J104" i="1"/>
  <c r="I104" i="1"/>
  <c r="G104" i="1"/>
  <c r="W103" i="1"/>
  <c r="P103" i="1"/>
  <c r="L103" i="1"/>
  <c r="K103" i="1"/>
  <c r="J103" i="1"/>
  <c r="I103" i="1"/>
  <c r="G103" i="1"/>
  <c r="L102" i="1"/>
  <c r="K102" i="1"/>
  <c r="J102" i="1"/>
  <c r="I102" i="1"/>
  <c r="G102" i="1"/>
  <c r="L101" i="1"/>
  <c r="K101" i="1"/>
  <c r="J101" i="1"/>
  <c r="I101" i="1"/>
  <c r="M101" i="1" s="1"/>
  <c r="G101" i="1"/>
  <c r="L100" i="1"/>
  <c r="K100" i="1"/>
  <c r="J100" i="1"/>
  <c r="I100" i="1"/>
  <c r="M100" i="1" s="1"/>
  <c r="G100" i="1"/>
  <c r="L99" i="1"/>
  <c r="K99" i="1"/>
  <c r="J99" i="1"/>
  <c r="I99" i="1"/>
  <c r="G99" i="1"/>
  <c r="W98" i="1"/>
  <c r="L98" i="1"/>
  <c r="K98" i="1"/>
  <c r="J98" i="1"/>
  <c r="I98" i="1"/>
  <c r="G98" i="1"/>
  <c r="W97" i="1"/>
  <c r="P97" i="1"/>
  <c r="L97" i="1"/>
  <c r="K97" i="1"/>
  <c r="J97" i="1"/>
  <c r="I97" i="1"/>
  <c r="G97" i="1"/>
  <c r="L96" i="1"/>
  <c r="K96" i="1"/>
  <c r="J96" i="1"/>
  <c r="I96" i="1"/>
  <c r="G96" i="1"/>
  <c r="L95" i="1"/>
  <c r="K95" i="1"/>
  <c r="J95" i="1"/>
  <c r="I95" i="1"/>
  <c r="M95" i="1" s="1"/>
  <c r="G95" i="1"/>
  <c r="W94" i="1"/>
  <c r="L94" i="1"/>
  <c r="K94" i="1"/>
  <c r="J94" i="1"/>
  <c r="I94" i="1"/>
  <c r="G94" i="1"/>
  <c r="L93" i="1"/>
  <c r="K93" i="1"/>
  <c r="J93" i="1"/>
  <c r="I93" i="1"/>
  <c r="G93" i="1"/>
  <c r="L92" i="1"/>
  <c r="K92" i="1"/>
  <c r="J92" i="1"/>
  <c r="I92" i="1"/>
  <c r="G92" i="1"/>
  <c r="P91" i="1"/>
  <c r="L91" i="1"/>
  <c r="K91" i="1"/>
  <c r="J91" i="1"/>
  <c r="I91" i="1"/>
  <c r="G91" i="1"/>
  <c r="W90" i="1"/>
  <c r="P90" i="1"/>
  <c r="L90" i="1"/>
  <c r="K90" i="1"/>
  <c r="J90" i="1"/>
  <c r="I90" i="1"/>
  <c r="G90" i="1"/>
  <c r="P89" i="1"/>
  <c r="L89" i="1"/>
  <c r="K89" i="1"/>
  <c r="J89" i="1"/>
  <c r="I89" i="1"/>
  <c r="G89" i="1"/>
  <c r="P88" i="1"/>
  <c r="L88" i="1"/>
  <c r="K88" i="1"/>
  <c r="J88" i="1"/>
  <c r="I88" i="1"/>
  <c r="G88" i="1"/>
  <c r="P87" i="1"/>
  <c r="L87" i="1"/>
  <c r="K87" i="1"/>
  <c r="J87" i="1"/>
  <c r="I87" i="1"/>
  <c r="G87" i="1"/>
  <c r="P86" i="1"/>
  <c r="L86" i="1"/>
  <c r="K86" i="1"/>
  <c r="J86" i="1"/>
  <c r="I86" i="1"/>
  <c r="G86" i="1"/>
  <c r="W85" i="1"/>
  <c r="P85" i="1"/>
  <c r="L85" i="1"/>
  <c r="K85" i="1"/>
  <c r="J85" i="1"/>
  <c r="I85" i="1"/>
  <c r="G85" i="1"/>
  <c r="P84" i="1"/>
  <c r="L84" i="1"/>
  <c r="K84" i="1"/>
  <c r="J84" i="1"/>
  <c r="I84" i="1"/>
  <c r="G84" i="1"/>
  <c r="L83" i="1"/>
  <c r="K83" i="1"/>
  <c r="J83" i="1"/>
  <c r="I83" i="1"/>
  <c r="G83" i="1"/>
  <c r="P82" i="1"/>
  <c r="L82" i="1"/>
  <c r="K82" i="1"/>
  <c r="J82" i="1"/>
  <c r="I82" i="1"/>
  <c r="G82" i="1"/>
  <c r="P81" i="1"/>
  <c r="L81" i="1"/>
  <c r="K81" i="1"/>
  <c r="J81" i="1"/>
  <c r="I81" i="1"/>
  <c r="G81" i="1"/>
  <c r="L80" i="1"/>
  <c r="K80" i="1"/>
  <c r="J80" i="1"/>
  <c r="I80" i="1"/>
  <c r="M80" i="1" s="1"/>
  <c r="G80" i="1"/>
  <c r="W79" i="1"/>
  <c r="P79" i="1"/>
  <c r="L79" i="1"/>
  <c r="K79" i="1"/>
  <c r="J79" i="1"/>
  <c r="I79" i="1"/>
  <c r="G79" i="1"/>
  <c r="L78" i="1"/>
  <c r="K78" i="1"/>
  <c r="J78" i="1"/>
  <c r="I78" i="1"/>
  <c r="M78" i="1" s="1"/>
  <c r="G78" i="1"/>
  <c r="L77" i="1"/>
  <c r="K77" i="1"/>
  <c r="J77" i="1"/>
  <c r="I77" i="1"/>
  <c r="G77" i="1"/>
  <c r="P76" i="1"/>
  <c r="L76" i="1"/>
  <c r="K76" i="1"/>
  <c r="J76" i="1"/>
  <c r="I76" i="1"/>
  <c r="M76" i="1" s="1"/>
  <c r="G76" i="1"/>
  <c r="L75" i="1"/>
  <c r="K75" i="1"/>
  <c r="J75" i="1"/>
  <c r="I75" i="1"/>
  <c r="G75" i="1"/>
  <c r="L74" i="1"/>
  <c r="K74" i="1"/>
  <c r="J74" i="1"/>
  <c r="I74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W61" i="1"/>
  <c r="Q61" i="1"/>
  <c r="M61" i="1"/>
  <c r="G61" i="1"/>
  <c r="W60" i="1"/>
  <c r="Q60" i="1"/>
  <c r="M60" i="1"/>
  <c r="G60" i="1"/>
  <c r="W59" i="1"/>
  <c r="Q59" i="1"/>
  <c r="M59" i="1"/>
  <c r="G59" i="1"/>
  <c r="W58" i="1"/>
  <c r="Q58" i="1"/>
  <c r="M58" i="1"/>
  <c r="G58" i="1"/>
  <c r="W57" i="1"/>
  <c r="Q57" i="1"/>
  <c r="M57" i="1"/>
  <c r="G57" i="1"/>
  <c r="W56" i="1"/>
  <c r="Q56" i="1"/>
  <c r="M56" i="1"/>
  <c r="G56" i="1"/>
  <c r="M55" i="1"/>
  <c r="G55" i="1"/>
  <c r="W54" i="1"/>
  <c r="Q54" i="1"/>
  <c r="M54" i="1"/>
  <c r="G54" i="1"/>
  <c r="W53" i="1"/>
  <c r="Q53" i="1"/>
  <c r="M53" i="1"/>
  <c r="G53" i="1"/>
  <c r="W52" i="1"/>
  <c r="Q52" i="1"/>
  <c r="M52" i="1"/>
  <c r="G52" i="1"/>
  <c r="Q51" i="1"/>
  <c r="M51" i="1"/>
  <c r="G51" i="1"/>
  <c r="W50" i="1"/>
  <c r="Q50" i="1"/>
  <c r="M50" i="1"/>
  <c r="G50" i="1"/>
  <c r="W49" i="1"/>
  <c r="Q49" i="1"/>
  <c r="M49" i="1"/>
  <c r="G49" i="1"/>
  <c r="M48" i="1"/>
  <c r="G48" i="1"/>
  <c r="Q47" i="1"/>
  <c r="M47" i="1"/>
  <c r="G47" i="1"/>
  <c r="W46" i="1"/>
  <c r="Q46" i="1"/>
  <c r="M46" i="1"/>
  <c r="G46" i="1"/>
  <c r="W45" i="1"/>
  <c r="M45" i="1"/>
  <c r="G45" i="1"/>
  <c r="Q44" i="1"/>
  <c r="M44" i="1"/>
  <c r="G44" i="1"/>
  <c r="W43" i="1"/>
  <c r="Q43" i="1"/>
  <c r="M43" i="1"/>
  <c r="G43" i="1"/>
  <c r="Q42" i="1"/>
  <c r="M42" i="1"/>
  <c r="G42" i="1"/>
  <c r="M41" i="1"/>
  <c r="G41" i="1"/>
  <c r="W40" i="1"/>
  <c r="Q40" i="1"/>
  <c r="M40" i="1"/>
  <c r="G40" i="1"/>
  <c r="W39" i="1"/>
  <c r="Q39" i="1"/>
  <c r="M39" i="1"/>
  <c r="G39" i="1"/>
  <c r="M38" i="1"/>
  <c r="G38" i="1"/>
  <c r="W37" i="1"/>
  <c r="Q37" i="1"/>
  <c r="M37" i="1"/>
  <c r="G37" i="1"/>
  <c r="Q36" i="1"/>
  <c r="M36" i="1"/>
  <c r="G36" i="1"/>
  <c r="M35" i="1"/>
  <c r="G35" i="1"/>
  <c r="W34" i="1"/>
  <c r="M34" i="1"/>
  <c r="G34" i="1"/>
  <c r="Q33" i="1"/>
  <c r="M33" i="1"/>
  <c r="G33" i="1"/>
  <c r="M32" i="1"/>
  <c r="G32" i="1"/>
  <c r="W31" i="1"/>
  <c r="M31" i="1"/>
  <c r="G31" i="1"/>
  <c r="W30" i="1"/>
  <c r="Q30" i="1"/>
  <c r="M30" i="1"/>
  <c r="G30" i="1"/>
  <c r="W29" i="1"/>
  <c r="Q29" i="1"/>
  <c r="M29" i="1"/>
  <c r="G29" i="1"/>
  <c r="W28" i="1"/>
  <c r="Q28" i="1"/>
  <c r="M28" i="1"/>
  <c r="G28" i="1"/>
  <c r="W27" i="1"/>
  <c r="Q27" i="1"/>
  <c r="M27" i="1"/>
  <c r="G27" i="1"/>
  <c r="W26" i="1"/>
  <c r="Q26" i="1"/>
  <c r="M26" i="1"/>
  <c r="G26" i="1"/>
  <c r="W25" i="1"/>
  <c r="Q25" i="1"/>
  <c r="M25" i="1"/>
  <c r="G25" i="1"/>
  <c r="W24" i="1"/>
  <c r="Q24" i="1"/>
  <c r="M24" i="1"/>
  <c r="G24" i="1"/>
  <c r="P23" i="1"/>
  <c r="Q23" i="1" s="1"/>
  <c r="M23" i="1"/>
  <c r="G23" i="1"/>
  <c r="W22" i="1"/>
  <c r="Q22" i="1"/>
  <c r="M22" i="1"/>
  <c r="G22" i="1"/>
  <c r="W21" i="1"/>
  <c r="Q21" i="1"/>
  <c r="M21" i="1"/>
  <c r="G21" i="1"/>
  <c r="W20" i="1"/>
  <c r="Q20" i="1"/>
  <c r="M20" i="1"/>
  <c r="G20" i="1"/>
  <c r="W19" i="1"/>
  <c r="Q19" i="1"/>
  <c r="M19" i="1"/>
  <c r="G19" i="1"/>
  <c r="W18" i="1"/>
  <c r="Q18" i="1"/>
  <c r="M18" i="1"/>
  <c r="G18" i="1"/>
  <c r="W17" i="1"/>
  <c r="Q17" i="1"/>
  <c r="M17" i="1"/>
  <c r="G17" i="1"/>
  <c r="W16" i="1"/>
  <c r="Q16" i="1"/>
  <c r="M16" i="1"/>
  <c r="G16" i="1"/>
  <c r="W15" i="1"/>
  <c r="Q15" i="1"/>
  <c r="M15" i="1"/>
  <c r="G15" i="1"/>
  <c r="M14" i="1"/>
  <c r="G14" i="1"/>
  <c r="W13" i="1"/>
  <c r="Q13" i="1"/>
  <c r="M13" i="1"/>
  <c r="G13" i="1"/>
  <c r="W12" i="1"/>
  <c r="Q12" i="1"/>
  <c r="M12" i="1"/>
  <c r="G12" i="1"/>
  <c r="Q11" i="1"/>
  <c r="M11" i="1"/>
  <c r="G11" i="1"/>
  <c r="W10" i="1"/>
  <c r="Q10" i="1"/>
  <c r="M10" i="1"/>
  <c r="G10" i="1"/>
  <c r="W9" i="1"/>
  <c r="Q9" i="1"/>
  <c r="M9" i="1"/>
  <c r="G9" i="1"/>
  <c r="M8" i="1"/>
  <c r="G8" i="1"/>
  <c r="W7" i="1"/>
  <c r="Q7" i="1"/>
  <c r="M7" i="1"/>
  <c r="G7" i="1"/>
  <c r="W6" i="1"/>
  <c r="Q6" i="1"/>
  <c r="M6" i="1"/>
  <c r="G6" i="1"/>
  <c r="W5" i="1"/>
  <c r="Q5" i="1"/>
  <c r="M5" i="1"/>
  <c r="G5" i="1"/>
  <c r="W4" i="1"/>
  <c r="Q4" i="1"/>
  <c r="M4" i="1"/>
  <c r="G4" i="1"/>
  <c r="W3" i="1"/>
  <c r="Q3" i="1"/>
  <c r="M3" i="1"/>
  <c r="G3" i="1"/>
  <c r="W2" i="1"/>
  <c r="Q2" i="1"/>
  <c r="M2" i="1"/>
  <c r="G2" i="1"/>
  <c r="G1" i="1"/>
  <c r="M74" i="1" l="1"/>
  <c r="M75" i="1"/>
  <c r="Q76" i="1"/>
  <c r="M77" i="1"/>
  <c r="M79" i="1"/>
  <c r="Q81" i="1"/>
  <c r="M81" i="1"/>
  <c r="Q82" i="1"/>
  <c r="M82" i="1"/>
  <c r="M83" i="1"/>
  <c r="M84" i="1"/>
  <c r="Q84" i="1"/>
  <c r="M85" i="1"/>
  <c r="Q85" i="1"/>
  <c r="M86" i="1"/>
  <c r="Q86" i="1"/>
  <c r="M87" i="1"/>
  <c r="Q87" i="1"/>
  <c r="M88" i="1"/>
  <c r="Q88" i="1"/>
  <c r="M89" i="1"/>
  <c r="Q89" i="1"/>
  <c r="M90" i="1"/>
  <c r="Q90" i="1"/>
  <c r="Q91" i="1"/>
  <c r="M91" i="1"/>
  <c r="M92" i="1"/>
  <c r="M93" i="1"/>
  <c r="M94" i="1"/>
  <c r="M96" i="1"/>
  <c r="M97" i="1"/>
  <c r="Q97" i="1"/>
  <c r="M98" i="1"/>
  <c r="M99" i="1"/>
  <c r="M102" i="1"/>
  <c r="M103" i="1"/>
  <c r="Q103" i="1"/>
  <c r="M106" i="1"/>
  <c r="M108" i="1"/>
  <c r="M109" i="1"/>
  <c r="M110" i="1"/>
  <c r="Q111" i="1"/>
  <c r="Q112" i="1"/>
  <c r="Q114" i="1"/>
  <c r="M114" i="1"/>
  <c r="Q115" i="1"/>
  <c r="M115" i="1"/>
  <c r="M116" i="1"/>
  <c r="M117" i="1"/>
  <c r="M118" i="1"/>
  <c r="Q118" i="1"/>
  <c r="M119" i="1"/>
  <c r="M121" i="1"/>
  <c r="M122" i="1"/>
  <c r="Q122" i="1"/>
  <c r="M123" i="1"/>
  <c r="Q123" i="1"/>
  <c r="M124" i="1"/>
  <c r="M125" i="1"/>
  <c r="Q125" i="1"/>
  <c r="M128" i="1"/>
  <c r="M129" i="1"/>
  <c r="Q130" i="1"/>
  <c r="M131" i="1"/>
  <c r="M132" i="1"/>
  <c r="Q133" i="1"/>
  <c r="M135" i="1"/>
  <c r="M137" i="1"/>
  <c r="M138" i="1"/>
  <c r="M139" i="1"/>
  <c r="Q139" i="1"/>
  <c r="M143" i="1"/>
  <c r="M144" i="1"/>
  <c r="Q144" i="1"/>
  <c r="M145" i="1"/>
  <c r="Q170" i="1"/>
  <c r="Q223" i="1"/>
  <c r="M223" i="1"/>
  <c r="Q79" i="1"/>
  <c r="Q106" i="1"/>
</calcChain>
</file>

<file path=xl/sharedStrings.xml><?xml version="1.0" encoding="utf-8"?>
<sst xmlns="http://schemas.openxmlformats.org/spreadsheetml/2006/main" count="3664" uniqueCount="74">
  <si>
    <t>Experiment</t>
  </si>
  <si>
    <t>Genotype</t>
  </si>
  <si>
    <t>ZT (mg/L)</t>
  </si>
  <si>
    <t>IAA (mg/l)</t>
  </si>
  <si>
    <t>Explant size factor</t>
  </si>
  <si>
    <t>Explant area_T0w</t>
  </si>
  <si>
    <t>Explant area_T1w</t>
  </si>
  <si>
    <t>Explant area_T2w</t>
  </si>
  <si>
    <t>Explant area_T3w</t>
  </si>
  <si>
    <t>Explant   growth_T1w-T0w</t>
  </si>
  <si>
    <t>Explant   growth_T2w-T0w</t>
  </si>
  <si>
    <t>Explant   growth_T3w-T0w</t>
  </si>
  <si>
    <t>Callus formation (YES/NO)</t>
  </si>
  <si>
    <t>Callus area_T2w</t>
  </si>
  <si>
    <t>Callus area_T3w (cm2)</t>
  </si>
  <si>
    <t xml:space="preserve">Callus Area Ratio </t>
  </si>
  <si>
    <t>Shoot regeneration (YES/NO)</t>
  </si>
  <si>
    <t>Number of shoots_TXw</t>
  </si>
  <si>
    <t>E5</t>
  </si>
  <si>
    <t>M82</t>
  </si>
  <si>
    <t>0.0</t>
  </si>
  <si>
    <t>1_0</t>
  </si>
  <si>
    <t>E1</t>
  </si>
  <si>
    <t>0.1</t>
  </si>
  <si>
    <t>1_0,1</t>
  </si>
  <si>
    <t>E4</t>
  </si>
  <si>
    <t>0.5</t>
  </si>
  <si>
    <t>1_0,5</t>
  </si>
  <si>
    <t>2_0</t>
  </si>
  <si>
    <t>2_0,1</t>
  </si>
  <si>
    <t>2_0,5</t>
  </si>
  <si>
    <t>3_0</t>
  </si>
  <si>
    <t>3_0,1</t>
  </si>
  <si>
    <t>3_0,5</t>
  </si>
  <si>
    <t>E2</t>
  </si>
  <si>
    <t>MT</t>
  </si>
  <si>
    <t>E3</t>
  </si>
  <si>
    <t>ID</t>
  </si>
  <si>
    <t>Explant</t>
  </si>
  <si>
    <t>Region</t>
  </si>
  <si>
    <t>Region_Explant size factor</t>
  </si>
  <si>
    <t>Explant growth Tw3-Tw0</t>
  </si>
  <si>
    <t>Callus emergence (day)</t>
  </si>
  <si>
    <t>Callus area_T3w</t>
  </si>
  <si>
    <t>Primordia formation (YES/NO)</t>
  </si>
  <si>
    <t>Primordia emergence (day)</t>
  </si>
  <si>
    <t>Shoot emergence (day)</t>
  </si>
  <si>
    <t>Number of primordia_T5w</t>
  </si>
  <si>
    <t>Shoots/primordia</t>
  </si>
  <si>
    <t>MM</t>
  </si>
  <si>
    <t>A</t>
  </si>
  <si>
    <t>A_1</t>
  </si>
  <si>
    <t>B</t>
  </si>
  <si>
    <t>B_4</t>
  </si>
  <si>
    <t>C</t>
  </si>
  <si>
    <t>C_3</t>
  </si>
  <si>
    <t>A_2</t>
  </si>
  <si>
    <t>B_2</t>
  </si>
  <si>
    <t>C_1</t>
  </si>
  <si>
    <t>B_3</t>
  </si>
  <si>
    <t>C_4</t>
  </si>
  <si>
    <t>C_5</t>
  </si>
  <si>
    <t>A_3</t>
  </si>
  <si>
    <t>C_2</t>
  </si>
  <si>
    <t>A_4</t>
  </si>
  <si>
    <t>B_6</t>
  </si>
  <si>
    <t>C_6</t>
  </si>
  <si>
    <t>B_1</t>
  </si>
  <si>
    <t>BGV007927</t>
  </si>
  <si>
    <t>A_5</t>
  </si>
  <si>
    <t>B_5</t>
  </si>
  <si>
    <t>BGV007910</t>
  </si>
  <si>
    <t>BGV016054</t>
  </si>
  <si>
    <t>A_6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</si>
</sst>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164" fontId="2" fillId="0" borderId="0" xfId="0" applyNumberFormat="1" applyFont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1" applyFont="1"/>
    <xf numFmtId="0" fontId="2" fillId="0" borderId="4" xfId="0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7" xfId="0" applyFont="1" applyBorder="1"/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right"/>
    </xf>
    <xf numFmtId="0" fontId="3" fillId="3" borderId="2" xfId="0" applyFont="1" applyFill="1" applyBorder="1"/>
    <xf numFmtId="0" fontId="2" fillId="0" borderId="4" xfId="0" applyFont="1" applyBorder="1"/>
    <xf numFmtId="165" fontId="2" fillId="0" borderId="0" xfId="0" applyNumberFormat="1" applyFont="1" applyAlignment="1">
      <alignment horizontal="right"/>
    </xf>
    <xf numFmtId="0" fontId="2" fillId="0" borderId="7" xfId="0" applyFont="1" applyBorder="1" applyAlignment="1">
      <alignment horizontal="left"/>
    </xf>
    <xf numFmtId="165" fontId="2" fillId="0" borderId="7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4" fontId="2" fillId="0" borderId="4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/>
    </xf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left"/>
    </xf>
    <xf numFmtId="0" fontId="4" fillId="0" borderId="8" xfId="2" applyFont="1" applyBorder="1"/>
    <xf numFmtId="0" fontId="4" fillId="0" borderId="8" xfId="2" applyFont="1" applyBorder="1" applyAlignment="1">
      <alignment horizontal="right"/>
    </xf>
    <xf numFmtId="0" fontId="4" fillId="0" borderId="8" xfId="2" applyFont="1" applyBorder="1" applyAlignment="1">
      <alignment horizontal="left"/>
    </xf>
    <xf numFmtId="0" fontId="4" fillId="0" borderId="9" xfId="2" applyFont="1" applyBorder="1" applyAlignment="1">
      <alignment horizontal="left"/>
    </xf>
    <xf numFmtId="0" fontId="4" fillId="0" borderId="10" xfId="2" applyFont="1" applyBorder="1" applyAlignment="1">
      <alignment horizontal="left"/>
    </xf>
    <xf numFmtId="0" fontId="4" fillId="0" borderId="11" xfId="2" applyFont="1" applyBorder="1"/>
    <xf numFmtId="0" fontId="4" fillId="0" borderId="11" xfId="2" applyFont="1" applyBorder="1" applyAlignment="1">
      <alignment horizontal="right"/>
    </xf>
    <xf numFmtId="0" fontId="4" fillId="0" borderId="11" xfId="2" applyFont="1" applyBorder="1" applyAlignment="1">
      <alignment horizontal="left"/>
    </xf>
    <xf numFmtId="0" fontId="4" fillId="0" borderId="12" xfId="2" applyFont="1" applyBorder="1" applyAlignment="1">
      <alignment horizontal="left"/>
    </xf>
    <xf numFmtId="0" fontId="4" fillId="0" borderId="0" xfId="2" applyFont="1" applyAlignment="1">
      <alignment horizontal="right" vertical="top" wrapText="1"/>
    </xf>
    <xf numFmtId="0" fontId="4" fillId="0" borderId="0" xfId="2" applyFont="1" applyAlignment="1">
      <alignment horizontal="right" vertical="center"/>
    </xf>
    <xf numFmtId="0" fontId="5" fillId="4" borderId="0" xfId="2" applyFont="1" applyFill="1"/>
    <xf numFmtId="0" fontId="5" fillId="5" borderId="0" xfId="2" applyFont="1" applyFill="1" applyAlignment="1">
      <alignment horizontal="right"/>
    </xf>
    <xf numFmtId="0" fontId="5" fillId="5" borderId="0" xfId="2" applyFont="1" applyFill="1" applyAlignment="1">
      <alignment horizontal="right" vertical="top"/>
    </xf>
    <xf numFmtId="0" fontId="5" fillId="4" borderId="0" xfId="2" applyFont="1" applyFill="1" applyAlignment="1">
      <alignment horizontal="left"/>
    </xf>
    <xf numFmtId="0" fontId="2" fillId="0" borderId="7" xfId="1" applyFont="1" applyBorder="1"/>
  </cellXfs>
  <cellStyles count="3">
    <cellStyle name="Normal" xfId="0" builtinId="0"/>
    <cellStyle name="Normal 2" xfId="2" xr:uid="{E4F2E00F-F980-4500-9E3C-CB946E4C73EB}"/>
    <cellStyle name="Обычный 3" xfId="1" xr:uid="{87FC8EBC-7EAE-4722-BA2D-FE5F7711A6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F456B-C86C-4607-A69F-4AB5580E1530}">
  <dimension ref="A1:T586"/>
  <sheetViews>
    <sheetView tabSelected="1" zoomScale="60" zoomScaleNormal="60" workbookViewId="0">
      <pane ySplit="1" topLeftCell="A526" activePane="bottomLeft" state="frozen"/>
      <selection pane="bottomLeft" activeCell="F1" sqref="F1:F586"/>
    </sheetView>
  </sheetViews>
  <sheetFormatPr baseColWidth="10" defaultColWidth="9.140625" defaultRowHeight="15" x14ac:dyDescent="0.25"/>
  <cols>
    <col min="1" max="1" width="15.42578125" style="26" bestFit="1" customWidth="1"/>
    <col min="2" max="2" width="13.42578125" style="26" bestFit="1" customWidth="1"/>
    <col min="3" max="3" width="14" style="26" bestFit="1" customWidth="1"/>
    <col min="4" max="4" width="14.42578125" style="26" bestFit="1" customWidth="1"/>
    <col min="5" max="5" width="28.28515625" style="25" bestFit="1" customWidth="1"/>
    <col min="6" max="6" width="41.5703125" style="25" bestFit="1" customWidth="1"/>
    <col min="7" max="7" width="24.7109375" style="25" bestFit="1" customWidth="1"/>
    <col min="8" max="8" width="23.28515625" style="25" bestFit="1" customWidth="1"/>
    <col min="9" max="9" width="22.7109375" style="25" bestFit="1" customWidth="1"/>
    <col min="10" max="11" width="23.28515625" style="25" bestFit="1" customWidth="1"/>
    <col min="12" max="12" width="33.28515625" style="25" bestFit="1" customWidth="1"/>
    <col min="13" max="14" width="33.7109375" style="25" bestFit="1" customWidth="1"/>
    <col min="15" max="15" width="35.42578125" style="25" bestFit="1" customWidth="1"/>
    <col min="16" max="16" width="22" style="25" bestFit="1" customWidth="1"/>
    <col min="17" max="17" width="29.85546875" style="25" bestFit="1" customWidth="1"/>
    <col min="18" max="18" width="24.42578125" style="25" bestFit="1" customWidth="1"/>
    <col min="19" max="19" width="38.7109375" style="25" bestFit="1" customWidth="1"/>
    <col min="20" max="20" width="30.85546875" style="25" bestFit="1" customWidth="1"/>
    <col min="21" max="16384" width="9.140625" style="24"/>
  </cols>
  <sheetData>
    <row r="1" spans="1:20" s="38" customFormat="1" ht="15.75" thickBot="1" x14ac:dyDescent="0.3">
      <c r="A1" s="41" t="s">
        <v>0</v>
      </c>
      <c r="B1" s="41" t="s">
        <v>1</v>
      </c>
      <c r="C1" s="41" t="s">
        <v>2</v>
      </c>
      <c r="D1" s="41" t="s">
        <v>3</v>
      </c>
      <c r="E1" s="41" t="str">
        <f>CONCATENATE(C1,"_",D1)</f>
        <v>ZT (mg/L)_IAA (mg/l)</v>
      </c>
      <c r="F1" s="41" t="str">
        <f>CONCATENATE(B1,"_",E1)</f>
        <v>Genotype_ZT (mg/L)_IAA (mg/l)</v>
      </c>
      <c r="G1" s="39" t="s">
        <v>4</v>
      </c>
      <c r="H1" s="39" t="s">
        <v>5</v>
      </c>
      <c r="I1" s="39" t="s">
        <v>6</v>
      </c>
      <c r="J1" s="39" t="s">
        <v>7</v>
      </c>
      <c r="K1" s="39" t="s">
        <v>8</v>
      </c>
      <c r="L1" s="39" t="s">
        <v>9</v>
      </c>
      <c r="M1" s="39" t="s">
        <v>10</v>
      </c>
      <c r="N1" s="39" t="s">
        <v>11</v>
      </c>
      <c r="O1" s="39" t="s">
        <v>12</v>
      </c>
      <c r="P1" s="39" t="s">
        <v>13</v>
      </c>
      <c r="Q1" s="40" t="s">
        <v>14</v>
      </c>
      <c r="R1" s="40" t="s">
        <v>15</v>
      </c>
      <c r="S1" s="39" t="s">
        <v>16</v>
      </c>
      <c r="T1" s="39" t="s">
        <v>17</v>
      </c>
    </row>
    <row r="2" spans="1:20" s="32" customFormat="1" x14ac:dyDescent="0.25">
      <c r="A2" s="35" t="s">
        <v>18</v>
      </c>
      <c r="B2" s="34" t="s">
        <v>19</v>
      </c>
      <c r="C2" s="34">
        <v>1</v>
      </c>
      <c r="D2" s="34" t="s">
        <v>20</v>
      </c>
      <c r="E2" s="33" t="s">
        <v>21</v>
      </c>
      <c r="F2" s="33" t="str">
        <f t="shared" ref="F2:F65" si="0">CONCATENATE(B2,"_",E2)</f>
        <v>M82_1_0</v>
      </c>
      <c r="G2" s="33">
        <v>5</v>
      </c>
      <c r="H2" s="33">
        <f>56580/86090</f>
        <v>0.65721918922058309</v>
      </c>
      <c r="I2" s="33">
        <f>42990/58730</f>
        <v>0.73199387025370344</v>
      </c>
      <c r="J2" s="33">
        <f>59600/57630</f>
        <v>1.0341835849384002</v>
      </c>
      <c r="K2" s="33">
        <f>60560/53440</f>
        <v>1.1332335329341316</v>
      </c>
      <c r="L2" s="33">
        <f>I2-H2</f>
        <v>7.4774681033120349E-2</v>
      </c>
      <c r="M2" s="33">
        <f>J2-H2</f>
        <v>0.37696439571781715</v>
      </c>
      <c r="N2" s="33">
        <f>K2-H2</f>
        <v>0.47601434371354856</v>
      </c>
      <c r="O2" s="33">
        <v>1</v>
      </c>
      <c r="P2" s="33">
        <f>20500/53440</f>
        <v>0.38360778443113774</v>
      </c>
      <c r="Q2" s="33">
        <f>39780/53440</f>
        <v>0.74438622754491013</v>
      </c>
      <c r="R2" s="33">
        <v>65.686922060766179</v>
      </c>
      <c r="S2" s="33">
        <v>1</v>
      </c>
      <c r="T2" s="33">
        <v>11</v>
      </c>
    </row>
    <row r="3" spans="1:20" x14ac:dyDescent="0.25">
      <c r="A3" s="31" t="s">
        <v>22</v>
      </c>
      <c r="B3" s="26" t="s">
        <v>19</v>
      </c>
      <c r="C3" s="26">
        <v>1</v>
      </c>
      <c r="D3" s="26" t="s">
        <v>20</v>
      </c>
      <c r="E3" s="25" t="s">
        <v>21</v>
      </c>
      <c r="F3" s="25" t="str">
        <f t="shared" si="0"/>
        <v>M82_1_0</v>
      </c>
      <c r="O3" s="25">
        <v>1</v>
      </c>
      <c r="S3" s="25">
        <v>1</v>
      </c>
      <c r="T3" s="25">
        <v>7</v>
      </c>
    </row>
    <row r="4" spans="1:20" x14ac:dyDescent="0.25">
      <c r="A4" s="31" t="s">
        <v>22</v>
      </c>
      <c r="B4" s="26" t="s">
        <v>19</v>
      </c>
      <c r="C4" s="26">
        <v>1</v>
      </c>
      <c r="D4" s="26" t="s">
        <v>20</v>
      </c>
      <c r="E4" s="25" t="s">
        <v>21</v>
      </c>
      <c r="F4" s="25" t="str">
        <f t="shared" si="0"/>
        <v>M82_1_0</v>
      </c>
      <c r="O4" s="25">
        <v>1</v>
      </c>
      <c r="S4" s="25">
        <v>1</v>
      </c>
      <c r="T4" s="25">
        <v>6</v>
      </c>
    </row>
    <row r="5" spans="1:20" x14ac:dyDescent="0.25">
      <c r="A5" s="31" t="s">
        <v>18</v>
      </c>
      <c r="B5" s="26" t="s">
        <v>19</v>
      </c>
      <c r="C5" s="26">
        <v>1</v>
      </c>
      <c r="D5" s="26" t="s">
        <v>20</v>
      </c>
      <c r="E5" s="25" t="s">
        <v>21</v>
      </c>
      <c r="F5" s="25" t="str">
        <f t="shared" si="0"/>
        <v>M82_1_0</v>
      </c>
      <c r="G5" s="25">
        <v>2</v>
      </c>
      <c r="H5" s="25">
        <f>19640/86090</f>
        <v>0.22813334882100128</v>
      </c>
      <c r="I5" s="25">
        <f>39130/58730</f>
        <v>0.66626936829559003</v>
      </c>
      <c r="J5" s="25">
        <f>45940/53440</f>
        <v>0.85965568862275454</v>
      </c>
      <c r="K5" s="25">
        <f>57160/57630</f>
        <v>0.99184452542078783</v>
      </c>
      <c r="L5" s="25">
        <f>I5-H5</f>
        <v>0.43813601947458874</v>
      </c>
      <c r="M5" s="25">
        <f>J5-H5</f>
        <v>0.63152233980175332</v>
      </c>
      <c r="N5" s="25">
        <f>K5-H5</f>
        <v>0.7637111765997866</v>
      </c>
      <c r="O5" s="25">
        <v>1</v>
      </c>
      <c r="P5" s="25">
        <f>25505/53440</f>
        <v>0.47726422155688625</v>
      </c>
      <c r="Q5" s="25">
        <f>47260/53440</f>
        <v>0.88435628742514971</v>
      </c>
      <c r="R5" s="25">
        <v>89.162793639453071</v>
      </c>
      <c r="S5" s="25">
        <v>1</v>
      </c>
      <c r="T5" s="25">
        <v>5</v>
      </c>
    </row>
    <row r="6" spans="1:20" x14ac:dyDescent="0.25">
      <c r="A6" s="31" t="s">
        <v>22</v>
      </c>
      <c r="B6" s="26" t="s">
        <v>19</v>
      </c>
      <c r="C6" s="26">
        <v>1</v>
      </c>
      <c r="D6" s="26" t="s">
        <v>20</v>
      </c>
      <c r="E6" s="25" t="s">
        <v>21</v>
      </c>
      <c r="F6" s="25" t="str">
        <f t="shared" si="0"/>
        <v>M82_1_0</v>
      </c>
      <c r="O6" s="25">
        <v>1</v>
      </c>
      <c r="S6" s="25">
        <v>1</v>
      </c>
      <c r="T6" s="25">
        <v>5</v>
      </c>
    </row>
    <row r="7" spans="1:20" x14ac:dyDescent="0.25">
      <c r="A7" s="31" t="s">
        <v>18</v>
      </c>
      <c r="B7" s="26" t="s">
        <v>19</v>
      </c>
      <c r="C7" s="26">
        <v>1</v>
      </c>
      <c r="D7" s="26" t="s">
        <v>20</v>
      </c>
      <c r="E7" s="25" t="s">
        <v>21</v>
      </c>
      <c r="F7" s="25" t="str">
        <f t="shared" si="0"/>
        <v>M82_1_0</v>
      </c>
      <c r="G7" s="25">
        <v>4</v>
      </c>
      <c r="H7" s="25">
        <f>29460/58730</f>
        <v>0.50161757193938361</v>
      </c>
      <c r="I7" s="25">
        <f>78640/86090</f>
        <v>0.91346265536066906</v>
      </c>
      <c r="J7" s="25">
        <f>51730/53440</f>
        <v>0.96800149700598803</v>
      </c>
      <c r="K7" s="25">
        <f>81110/57630</f>
        <v>1.407426687489155</v>
      </c>
      <c r="L7" s="25">
        <f>I7-H7</f>
        <v>0.41184508342128545</v>
      </c>
      <c r="M7" s="25">
        <f>J7-H7</f>
        <v>0.46638392506660442</v>
      </c>
      <c r="N7" s="25">
        <f>K7-H7</f>
        <v>0.90580911554977139</v>
      </c>
      <c r="O7" s="25">
        <v>1</v>
      </c>
      <c r="S7" s="25">
        <v>1</v>
      </c>
      <c r="T7" s="25">
        <v>4</v>
      </c>
    </row>
    <row r="8" spans="1:20" x14ac:dyDescent="0.25">
      <c r="A8" s="31" t="s">
        <v>22</v>
      </c>
      <c r="B8" s="26" t="s">
        <v>19</v>
      </c>
      <c r="C8" s="26">
        <v>1</v>
      </c>
      <c r="D8" s="26" t="s">
        <v>20</v>
      </c>
      <c r="E8" s="25" t="s">
        <v>21</v>
      </c>
      <c r="F8" s="25" t="str">
        <f t="shared" si="0"/>
        <v>M82_1_0</v>
      </c>
      <c r="O8" s="25">
        <v>1</v>
      </c>
      <c r="S8" s="25">
        <v>1</v>
      </c>
      <c r="T8" s="25">
        <v>4</v>
      </c>
    </row>
    <row r="9" spans="1:20" x14ac:dyDescent="0.25">
      <c r="A9" s="31" t="s">
        <v>22</v>
      </c>
      <c r="B9" s="26" t="s">
        <v>19</v>
      </c>
      <c r="C9" s="26">
        <v>1</v>
      </c>
      <c r="D9" s="26" t="s">
        <v>20</v>
      </c>
      <c r="E9" s="25" t="s">
        <v>21</v>
      </c>
      <c r="F9" s="25" t="str">
        <f t="shared" si="0"/>
        <v>M82_1_0</v>
      </c>
      <c r="O9" s="25">
        <v>1</v>
      </c>
      <c r="Q9" s="37"/>
      <c r="S9" s="25">
        <v>1</v>
      </c>
      <c r="T9" s="25">
        <v>3</v>
      </c>
    </row>
    <row r="10" spans="1:20" x14ac:dyDescent="0.25">
      <c r="A10" s="31" t="s">
        <v>22</v>
      </c>
      <c r="B10" s="26" t="s">
        <v>19</v>
      </c>
      <c r="C10" s="26">
        <v>1</v>
      </c>
      <c r="D10" s="26" t="s">
        <v>20</v>
      </c>
      <c r="E10" s="25" t="s">
        <v>21</v>
      </c>
      <c r="F10" s="25" t="str">
        <f t="shared" si="0"/>
        <v>M82_1_0</v>
      </c>
      <c r="O10" s="25">
        <v>1</v>
      </c>
      <c r="S10" s="25">
        <v>1</v>
      </c>
      <c r="T10" s="25">
        <v>3</v>
      </c>
    </row>
    <row r="11" spans="1:20" x14ac:dyDescent="0.25">
      <c r="A11" s="31" t="s">
        <v>18</v>
      </c>
      <c r="B11" s="26" t="s">
        <v>19</v>
      </c>
      <c r="C11" s="26">
        <v>1</v>
      </c>
      <c r="D11" s="26" t="s">
        <v>20</v>
      </c>
      <c r="E11" s="25" t="s">
        <v>21</v>
      </c>
      <c r="F11" s="25" t="str">
        <f t="shared" si="0"/>
        <v>M82_1_0</v>
      </c>
      <c r="G11" s="25">
        <v>4</v>
      </c>
      <c r="H11" s="25">
        <f>26850/57630</f>
        <v>0.4659031754294638</v>
      </c>
      <c r="I11" s="25">
        <f>33360/53440</f>
        <v>0.62425149700598803</v>
      </c>
      <c r="J11" s="25">
        <f>69810/86090</f>
        <v>0.81089557439888493</v>
      </c>
      <c r="K11" s="25">
        <f>53030/58730</f>
        <v>0.9029456836369828</v>
      </c>
      <c r="L11" s="25">
        <f>I11-H11</f>
        <v>0.15834832157652423</v>
      </c>
      <c r="M11" s="25">
        <f>J11-H11</f>
        <v>0.34499239896942113</v>
      </c>
      <c r="N11" s="25">
        <f>K11-H11</f>
        <v>0.437042508207519</v>
      </c>
      <c r="O11" s="25">
        <v>1</v>
      </c>
      <c r="S11" s="25">
        <v>1</v>
      </c>
      <c r="T11" s="25">
        <v>2</v>
      </c>
    </row>
    <row r="12" spans="1:20" x14ac:dyDescent="0.25">
      <c r="A12" s="31" t="s">
        <v>22</v>
      </c>
      <c r="B12" s="26" t="s">
        <v>19</v>
      </c>
      <c r="C12" s="26">
        <v>1</v>
      </c>
      <c r="D12" s="26" t="s">
        <v>20</v>
      </c>
      <c r="E12" s="25" t="s">
        <v>21</v>
      </c>
      <c r="F12" s="25" t="str">
        <f t="shared" si="0"/>
        <v>M82_1_0</v>
      </c>
      <c r="O12" s="25">
        <v>1</v>
      </c>
      <c r="S12" s="25">
        <v>1</v>
      </c>
      <c r="T12" s="25">
        <v>2</v>
      </c>
    </row>
    <row r="13" spans="1:20" x14ac:dyDescent="0.25">
      <c r="A13" s="31" t="s">
        <v>22</v>
      </c>
      <c r="B13" s="26" t="s">
        <v>19</v>
      </c>
      <c r="C13" s="26">
        <v>1</v>
      </c>
      <c r="D13" s="26" t="s">
        <v>20</v>
      </c>
      <c r="E13" s="25" t="s">
        <v>21</v>
      </c>
      <c r="F13" s="25" t="str">
        <f t="shared" si="0"/>
        <v>M82_1_0</v>
      </c>
      <c r="O13" s="25">
        <v>1</v>
      </c>
      <c r="S13" s="25">
        <v>1</v>
      </c>
      <c r="T13" s="25">
        <v>2</v>
      </c>
    </row>
    <row r="14" spans="1:20" x14ac:dyDescent="0.25">
      <c r="A14" s="31" t="s">
        <v>22</v>
      </c>
      <c r="B14" s="26" t="s">
        <v>19</v>
      </c>
      <c r="C14" s="26">
        <v>1</v>
      </c>
      <c r="D14" s="26" t="s">
        <v>20</v>
      </c>
      <c r="E14" s="25" t="s">
        <v>21</v>
      </c>
      <c r="F14" s="25" t="str">
        <f t="shared" si="0"/>
        <v>M82_1_0</v>
      </c>
      <c r="O14" s="25">
        <v>1</v>
      </c>
      <c r="S14" s="25">
        <v>1</v>
      </c>
      <c r="T14" s="25">
        <v>1</v>
      </c>
    </row>
    <row r="15" spans="1:20" x14ac:dyDescent="0.25">
      <c r="A15" s="31" t="s">
        <v>22</v>
      </c>
      <c r="B15" s="26" t="s">
        <v>19</v>
      </c>
      <c r="C15" s="26">
        <v>1</v>
      </c>
      <c r="D15" s="26" t="s">
        <v>20</v>
      </c>
      <c r="E15" s="25" t="s">
        <v>21</v>
      </c>
      <c r="F15" s="25" t="str">
        <f t="shared" si="0"/>
        <v>M82_1_0</v>
      </c>
      <c r="O15" s="25">
        <v>1</v>
      </c>
      <c r="S15" s="25">
        <v>1</v>
      </c>
      <c r="T15" s="25">
        <v>1</v>
      </c>
    </row>
    <row r="16" spans="1:20" x14ac:dyDescent="0.25">
      <c r="A16" s="31" t="s">
        <v>22</v>
      </c>
      <c r="B16" s="26" t="s">
        <v>19</v>
      </c>
      <c r="C16" s="26">
        <v>1</v>
      </c>
      <c r="D16" s="26" t="s">
        <v>20</v>
      </c>
      <c r="E16" s="25" t="s">
        <v>21</v>
      </c>
      <c r="F16" s="25" t="str">
        <f t="shared" si="0"/>
        <v>M82_1_0</v>
      </c>
      <c r="O16" s="25">
        <v>1</v>
      </c>
      <c r="S16" s="25">
        <v>1</v>
      </c>
      <c r="T16" s="25">
        <v>1</v>
      </c>
    </row>
    <row r="17" spans="1:19" x14ac:dyDescent="0.25">
      <c r="A17" s="31" t="s">
        <v>22</v>
      </c>
      <c r="B17" s="26" t="s">
        <v>19</v>
      </c>
      <c r="C17" s="26">
        <v>1</v>
      </c>
      <c r="D17" s="26" t="s">
        <v>20</v>
      </c>
      <c r="E17" s="25" t="s">
        <v>21</v>
      </c>
      <c r="F17" s="25" t="str">
        <f t="shared" si="0"/>
        <v>M82_1_0</v>
      </c>
      <c r="O17" s="25">
        <v>1</v>
      </c>
      <c r="S17" s="25">
        <v>0</v>
      </c>
    </row>
    <row r="18" spans="1:19" x14ac:dyDescent="0.25">
      <c r="A18" s="31" t="s">
        <v>22</v>
      </c>
      <c r="B18" s="26" t="s">
        <v>19</v>
      </c>
      <c r="C18" s="26">
        <v>1</v>
      </c>
      <c r="D18" s="26" t="s">
        <v>20</v>
      </c>
      <c r="E18" s="25" t="s">
        <v>21</v>
      </c>
      <c r="F18" s="25" t="str">
        <f t="shared" si="0"/>
        <v>M82_1_0</v>
      </c>
      <c r="O18" s="25">
        <v>1</v>
      </c>
      <c r="S18" s="25">
        <v>0</v>
      </c>
    </row>
    <row r="19" spans="1:19" x14ac:dyDescent="0.25">
      <c r="A19" s="31" t="s">
        <v>22</v>
      </c>
      <c r="B19" s="26" t="s">
        <v>19</v>
      </c>
      <c r="C19" s="26">
        <v>1</v>
      </c>
      <c r="D19" s="26" t="s">
        <v>20</v>
      </c>
      <c r="E19" s="25" t="s">
        <v>21</v>
      </c>
      <c r="F19" s="25" t="str">
        <f t="shared" si="0"/>
        <v>M82_1_0</v>
      </c>
      <c r="O19" s="25">
        <v>1</v>
      </c>
      <c r="S19" s="25">
        <v>0</v>
      </c>
    </row>
    <row r="20" spans="1:19" x14ac:dyDescent="0.25">
      <c r="A20" s="31" t="s">
        <v>18</v>
      </c>
      <c r="B20" s="26" t="s">
        <v>19</v>
      </c>
      <c r="C20" s="26">
        <v>1</v>
      </c>
      <c r="D20" s="26" t="s">
        <v>20</v>
      </c>
      <c r="E20" s="25" t="s">
        <v>21</v>
      </c>
      <c r="F20" s="25" t="str">
        <f t="shared" si="0"/>
        <v>M82_1_0</v>
      </c>
      <c r="G20" s="25">
        <v>3</v>
      </c>
      <c r="H20" s="25">
        <f>21370/58730</f>
        <v>0.36386855099608378</v>
      </c>
      <c r="I20" s="25">
        <f>63590/86090</f>
        <v>0.73864560343826224</v>
      </c>
      <c r="J20" s="25">
        <f>43500/57630</f>
        <v>0.75481520041644978</v>
      </c>
      <c r="K20" s="25">
        <f>41500/53440</f>
        <v>0.7765718562874252</v>
      </c>
      <c r="L20" s="25">
        <f t="shared" ref="L20:L30" si="1">I20-H20</f>
        <v>0.37477705244217846</v>
      </c>
      <c r="M20" s="25">
        <f t="shared" ref="M20:M27" si="2">J20-H20</f>
        <v>0.390946649420366</v>
      </c>
      <c r="N20" s="25">
        <f t="shared" ref="N20:N27" si="3">K20-H20</f>
        <v>0.41270330529134142</v>
      </c>
      <c r="O20" s="25">
        <v>0</v>
      </c>
    </row>
    <row r="21" spans="1:19" x14ac:dyDescent="0.25">
      <c r="A21" s="31" t="s">
        <v>18</v>
      </c>
      <c r="B21" s="26" t="s">
        <v>19</v>
      </c>
      <c r="C21" s="26">
        <v>1</v>
      </c>
      <c r="D21" s="26" t="s">
        <v>20</v>
      </c>
      <c r="E21" s="25" t="s">
        <v>21</v>
      </c>
      <c r="F21" s="25" t="str">
        <f t="shared" si="0"/>
        <v>M82_1_0</v>
      </c>
      <c r="G21" s="25">
        <v>3</v>
      </c>
      <c r="H21" s="25">
        <f>21370/58730</f>
        <v>0.36386855099608378</v>
      </c>
      <c r="I21" s="25">
        <f>42510/86090</f>
        <v>0.49378557323730982</v>
      </c>
      <c r="J21" s="25">
        <f>105100/53440</f>
        <v>1.966691616766467</v>
      </c>
      <c r="K21" s="25">
        <f>116000/57630</f>
        <v>2.0128405344438662</v>
      </c>
      <c r="L21" s="25">
        <f t="shared" si="1"/>
        <v>0.12991702224122603</v>
      </c>
      <c r="M21" s="25">
        <f t="shared" si="2"/>
        <v>1.6028230657703832</v>
      </c>
      <c r="N21" s="25">
        <f t="shared" si="3"/>
        <v>1.6489719834477825</v>
      </c>
      <c r="O21" s="25">
        <v>0</v>
      </c>
    </row>
    <row r="22" spans="1:19" x14ac:dyDescent="0.25">
      <c r="A22" s="31" t="s">
        <v>18</v>
      </c>
      <c r="B22" s="26" t="s">
        <v>19</v>
      </c>
      <c r="C22" s="26">
        <v>1</v>
      </c>
      <c r="D22" s="26" t="s">
        <v>20</v>
      </c>
      <c r="E22" s="25" t="s">
        <v>21</v>
      </c>
      <c r="F22" s="25" t="str">
        <f t="shared" si="0"/>
        <v>M82_1_0</v>
      </c>
      <c r="G22" s="25">
        <v>3</v>
      </c>
      <c r="H22" s="25">
        <f>31500/86090</f>
        <v>0.36589615518643281</v>
      </c>
      <c r="I22" s="25">
        <f>30740/58730</f>
        <v>0.52341222543844712</v>
      </c>
      <c r="J22" s="25">
        <f>40130/53440</f>
        <v>0.75093562874251496</v>
      </c>
      <c r="K22" s="25">
        <f>69680/57630</f>
        <v>1.2090924865521431</v>
      </c>
      <c r="L22" s="25">
        <f t="shared" si="1"/>
        <v>0.15751607025201431</v>
      </c>
      <c r="M22" s="25">
        <f t="shared" si="2"/>
        <v>0.38503947355608215</v>
      </c>
      <c r="N22" s="25">
        <f t="shared" si="3"/>
        <v>0.84319633136571026</v>
      </c>
      <c r="O22" s="25">
        <v>0</v>
      </c>
    </row>
    <row r="23" spans="1:19" x14ac:dyDescent="0.25">
      <c r="A23" s="31" t="s">
        <v>18</v>
      </c>
      <c r="B23" s="26" t="s">
        <v>19</v>
      </c>
      <c r="C23" s="26">
        <v>1</v>
      </c>
      <c r="D23" s="26" t="s">
        <v>20</v>
      </c>
      <c r="E23" s="25" t="s">
        <v>21</v>
      </c>
      <c r="F23" s="25" t="str">
        <f t="shared" si="0"/>
        <v>M82_1_0</v>
      </c>
      <c r="G23" s="25">
        <v>3</v>
      </c>
      <c r="H23" s="25">
        <f>31500/86090</f>
        <v>0.36589615518643281</v>
      </c>
      <c r="I23" s="25">
        <f>46020/53440</f>
        <v>0.86115269461077848</v>
      </c>
      <c r="J23" s="25">
        <f>80250/86090</f>
        <v>0.93216401440353114</v>
      </c>
      <c r="K23" s="25">
        <f>93470/57630</f>
        <v>1.6218983168488634</v>
      </c>
      <c r="L23" s="25">
        <f t="shared" si="1"/>
        <v>0.49525653942434567</v>
      </c>
      <c r="M23" s="25">
        <f t="shared" si="2"/>
        <v>0.56626785921709832</v>
      </c>
      <c r="N23" s="25">
        <f t="shared" si="3"/>
        <v>1.2560021616624306</v>
      </c>
      <c r="O23" s="25">
        <v>0</v>
      </c>
    </row>
    <row r="24" spans="1:19" x14ac:dyDescent="0.25">
      <c r="A24" s="31" t="s">
        <v>18</v>
      </c>
      <c r="B24" s="26" t="s">
        <v>19</v>
      </c>
      <c r="C24" s="26">
        <v>1</v>
      </c>
      <c r="D24" s="26" t="s">
        <v>20</v>
      </c>
      <c r="E24" s="25" t="s">
        <v>21</v>
      </c>
      <c r="F24" s="25" t="str">
        <f t="shared" si="0"/>
        <v>M82_1_0</v>
      </c>
      <c r="G24" s="25">
        <v>3</v>
      </c>
      <c r="H24" s="25">
        <f>22180/58730</f>
        <v>0.37766048016345988</v>
      </c>
      <c r="I24" s="25">
        <f>56240/86090</f>
        <v>0.65326983389476134</v>
      </c>
      <c r="J24" s="25">
        <f>85360/57630</f>
        <v>1.4811730001735208</v>
      </c>
      <c r="K24" s="25">
        <f>63500/53440</f>
        <v>1.188248502994012</v>
      </c>
      <c r="L24" s="25">
        <f t="shared" si="1"/>
        <v>0.27560935373130147</v>
      </c>
      <c r="M24" s="25">
        <f t="shared" si="2"/>
        <v>1.1035125200100611</v>
      </c>
      <c r="N24" s="25">
        <f t="shared" si="3"/>
        <v>0.81058802283055209</v>
      </c>
      <c r="O24" s="25">
        <v>0</v>
      </c>
    </row>
    <row r="25" spans="1:19" x14ac:dyDescent="0.25">
      <c r="A25" s="31" t="s">
        <v>18</v>
      </c>
      <c r="B25" s="26" t="s">
        <v>19</v>
      </c>
      <c r="C25" s="26">
        <v>1</v>
      </c>
      <c r="D25" s="26" t="s">
        <v>20</v>
      </c>
      <c r="E25" s="25" t="s">
        <v>21</v>
      </c>
      <c r="F25" s="25" t="str">
        <f t="shared" si="0"/>
        <v>M82_1_0</v>
      </c>
      <c r="G25" s="25">
        <v>3</v>
      </c>
      <c r="H25" s="25">
        <f>23180/58730</f>
        <v>0.39468755320960325</v>
      </c>
      <c r="I25" s="25">
        <f>54880/86090</f>
        <v>0.63747241259147402</v>
      </c>
      <c r="J25" s="25">
        <f>55620/53440</f>
        <v>1.0407934131736527</v>
      </c>
      <c r="K25" s="25">
        <f>72000/57630</f>
        <v>1.2493492972410203</v>
      </c>
      <c r="L25" s="25">
        <f t="shared" si="1"/>
        <v>0.24278485938187078</v>
      </c>
      <c r="M25" s="25">
        <f t="shared" si="2"/>
        <v>0.64610585996404946</v>
      </c>
      <c r="N25" s="25">
        <f t="shared" si="3"/>
        <v>0.85466174403141704</v>
      </c>
      <c r="O25" s="25">
        <v>0</v>
      </c>
    </row>
    <row r="26" spans="1:19" x14ac:dyDescent="0.25">
      <c r="A26" s="31" t="s">
        <v>18</v>
      </c>
      <c r="B26" s="26" t="s">
        <v>19</v>
      </c>
      <c r="C26" s="26">
        <v>1</v>
      </c>
      <c r="D26" s="26" t="s">
        <v>20</v>
      </c>
      <c r="E26" s="25" t="s">
        <v>21</v>
      </c>
      <c r="F26" s="25" t="str">
        <f t="shared" si="0"/>
        <v>M82_1_0</v>
      </c>
      <c r="G26" s="25">
        <v>3</v>
      </c>
      <c r="H26" s="25">
        <f>24960/58730</f>
        <v>0.42499574323173844</v>
      </c>
      <c r="I26" s="25">
        <f>38750/86090</f>
        <v>0.45011034963410385</v>
      </c>
      <c r="J26" s="25">
        <f>71000/57630</f>
        <v>1.2319972236682284</v>
      </c>
      <c r="K26" s="25">
        <f>76380/53440</f>
        <v>1.4292664670658684</v>
      </c>
      <c r="L26" s="25">
        <f t="shared" si="1"/>
        <v>2.5114606402365403E-2</v>
      </c>
      <c r="M26" s="25">
        <f t="shared" si="2"/>
        <v>0.80700148043649</v>
      </c>
      <c r="N26" s="25">
        <f t="shared" si="3"/>
        <v>1.00427072383413</v>
      </c>
      <c r="O26" s="25">
        <v>0</v>
      </c>
    </row>
    <row r="27" spans="1:19" x14ac:dyDescent="0.25">
      <c r="A27" s="31" t="s">
        <v>18</v>
      </c>
      <c r="B27" s="26" t="s">
        <v>19</v>
      </c>
      <c r="C27" s="26">
        <v>1</v>
      </c>
      <c r="D27" s="26" t="s">
        <v>20</v>
      </c>
      <c r="E27" s="25" t="s">
        <v>21</v>
      </c>
      <c r="F27" s="25" t="str">
        <f t="shared" si="0"/>
        <v>M82_1_0</v>
      </c>
      <c r="G27" s="25">
        <v>4</v>
      </c>
      <c r="H27" s="25">
        <f>42390/86090</f>
        <v>0.49239168312231385</v>
      </c>
      <c r="I27" s="25">
        <f>38120/58730</f>
        <v>0.64907202451898516</v>
      </c>
      <c r="J27" s="25">
        <f>35280/53440</f>
        <v>0.66017964071856283</v>
      </c>
      <c r="K27" s="25">
        <f>39530/57630</f>
        <v>0.68592746833246576</v>
      </c>
      <c r="L27" s="25">
        <f t="shared" si="1"/>
        <v>0.15668034139667131</v>
      </c>
      <c r="M27" s="25">
        <f t="shared" si="2"/>
        <v>0.16778795759624898</v>
      </c>
      <c r="N27" s="25">
        <f t="shared" si="3"/>
        <v>0.19353578521015191</v>
      </c>
      <c r="O27" s="25">
        <v>0</v>
      </c>
    </row>
    <row r="28" spans="1:19" x14ac:dyDescent="0.25">
      <c r="A28" s="31" t="s">
        <v>18</v>
      </c>
      <c r="B28" s="26" t="s">
        <v>19</v>
      </c>
      <c r="C28" s="26">
        <v>1</v>
      </c>
      <c r="D28" s="26" t="s">
        <v>20</v>
      </c>
      <c r="E28" s="25" t="s">
        <v>21</v>
      </c>
      <c r="F28" s="25" t="str">
        <f t="shared" si="0"/>
        <v>M82_1_0</v>
      </c>
      <c r="G28" s="25">
        <v>4</v>
      </c>
      <c r="H28" s="25">
        <f>30810/58730</f>
        <v>0.52460412055167716</v>
      </c>
      <c r="I28" s="25">
        <f>49410/86090</f>
        <v>0.57393425484957605</v>
      </c>
      <c r="L28" s="25">
        <f t="shared" si="1"/>
        <v>4.9330134297898898E-2</v>
      </c>
      <c r="O28" s="25">
        <v>0</v>
      </c>
    </row>
    <row r="29" spans="1:19" x14ac:dyDescent="0.25">
      <c r="A29" s="31" t="s">
        <v>18</v>
      </c>
      <c r="B29" s="26" t="s">
        <v>19</v>
      </c>
      <c r="C29" s="26">
        <v>1</v>
      </c>
      <c r="D29" s="26" t="s">
        <v>20</v>
      </c>
      <c r="E29" s="25" t="s">
        <v>21</v>
      </c>
      <c r="F29" s="25" t="str">
        <f t="shared" si="0"/>
        <v>M82_1_0</v>
      </c>
      <c r="G29" s="25">
        <v>4</v>
      </c>
      <c r="H29" s="25">
        <f>30810/58730</f>
        <v>0.52460412055167716</v>
      </c>
      <c r="I29" s="25">
        <f>90410/86090</f>
        <v>1.0501800441398537</v>
      </c>
      <c r="J29" s="25">
        <f>65420/57630</f>
        <v>1.1351726531320492</v>
      </c>
      <c r="K29" s="25">
        <f>62460/53440</f>
        <v>1.1687874251497006</v>
      </c>
      <c r="L29" s="25">
        <f t="shared" si="1"/>
        <v>0.52557592358817651</v>
      </c>
      <c r="M29" s="25">
        <f>J29-H29</f>
        <v>0.61056853258037203</v>
      </c>
      <c r="N29" s="25">
        <f>K29-H29</f>
        <v>0.64418330459802342</v>
      </c>
      <c r="O29" s="25">
        <v>0</v>
      </c>
    </row>
    <row r="30" spans="1:19" x14ac:dyDescent="0.25">
      <c r="A30" s="31" t="s">
        <v>18</v>
      </c>
      <c r="B30" s="26" t="s">
        <v>19</v>
      </c>
      <c r="C30" s="26">
        <v>1</v>
      </c>
      <c r="D30" s="26" t="s">
        <v>20</v>
      </c>
      <c r="E30" s="25" t="s">
        <v>21</v>
      </c>
      <c r="F30" s="25" t="str">
        <f t="shared" si="0"/>
        <v>M82_1_0</v>
      </c>
      <c r="G30" s="25">
        <v>4</v>
      </c>
      <c r="H30" s="25">
        <f>34960/58730</f>
        <v>0.59526647369317209</v>
      </c>
      <c r="I30" s="25">
        <f>77420/53440</f>
        <v>1.4487275449101797</v>
      </c>
      <c r="J30" s="25">
        <f>95270/57630</f>
        <v>1.6531320492798889</v>
      </c>
      <c r="K30" s="25">
        <f>150700/86090</f>
        <v>1.7504936694157278</v>
      </c>
      <c r="L30" s="25">
        <f t="shared" si="1"/>
        <v>0.85346107121700765</v>
      </c>
      <c r="M30" s="25">
        <f>J30-H30</f>
        <v>1.0578655755867168</v>
      </c>
      <c r="N30" s="25">
        <f>K30-H30</f>
        <v>1.1552271957225557</v>
      </c>
      <c r="O30" s="25">
        <v>0</v>
      </c>
    </row>
    <row r="31" spans="1:19" x14ac:dyDescent="0.25">
      <c r="A31" s="31" t="s">
        <v>22</v>
      </c>
      <c r="B31" s="26" t="s">
        <v>19</v>
      </c>
      <c r="C31" s="26">
        <v>1</v>
      </c>
      <c r="D31" s="26" t="s">
        <v>20</v>
      </c>
      <c r="E31" s="25" t="s">
        <v>21</v>
      </c>
      <c r="F31" s="25" t="str">
        <f t="shared" si="0"/>
        <v>M82_1_0</v>
      </c>
      <c r="O31" s="25">
        <v>0</v>
      </c>
    </row>
    <row r="32" spans="1:19" x14ac:dyDescent="0.25">
      <c r="A32" s="31" t="s">
        <v>22</v>
      </c>
      <c r="B32" s="26" t="s">
        <v>19</v>
      </c>
      <c r="C32" s="26">
        <v>1</v>
      </c>
      <c r="D32" s="26" t="s">
        <v>20</v>
      </c>
      <c r="E32" s="25" t="s">
        <v>21</v>
      </c>
      <c r="F32" s="25" t="str">
        <f t="shared" si="0"/>
        <v>M82_1_0</v>
      </c>
      <c r="O32" s="25">
        <v>0</v>
      </c>
    </row>
    <row r="33" spans="1:20" x14ac:dyDescent="0.25">
      <c r="A33" s="31" t="s">
        <v>22</v>
      </c>
      <c r="B33" s="26" t="s">
        <v>19</v>
      </c>
      <c r="C33" s="26">
        <v>1</v>
      </c>
      <c r="D33" s="26" t="s">
        <v>20</v>
      </c>
      <c r="E33" s="25" t="s">
        <v>21</v>
      </c>
      <c r="F33" s="25" t="str">
        <f t="shared" si="0"/>
        <v>M82_1_0</v>
      </c>
      <c r="O33" s="25">
        <v>0</v>
      </c>
    </row>
    <row r="34" spans="1:20" x14ac:dyDescent="0.25">
      <c r="A34" s="31" t="s">
        <v>22</v>
      </c>
      <c r="B34" s="26" t="s">
        <v>19</v>
      </c>
      <c r="C34" s="26">
        <v>1</v>
      </c>
      <c r="D34" s="26" t="s">
        <v>20</v>
      </c>
      <c r="E34" s="25" t="s">
        <v>21</v>
      </c>
      <c r="F34" s="25" t="str">
        <f t="shared" si="0"/>
        <v>M82_1_0</v>
      </c>
      <c r="O34" s="25">
        <v>0</v>
      </c>
    </row>
    <row r="35" spans="1:20" x14ac:dyDescent="0.25">
      <c r="A35" s="31" t="s">
        <v>22</v>
      </c>
      <c r="B35" s="26" t="s">
        <v>19</v>
      </c>
      <c r="C35" s="26">
        <v>1</v>
      </c>
      <c r="D35" s="26" t="s">
        <v>20</v>
      </c>
      <c r="E35" s="25" t="s">
        <v>21</v>
      </c>
      <c r="F35" s="25" t="str">
        <f t="shared" si="0"/>
        <v>M82_1_0</v>
      </c>
      <c r="O35" s="25">
        <v>0</v>
      </c>
    </row>
    <row r="36" spans="1:20" x14ac:dyDescent="0.25">
      <c r="A36" s="31" t="s">
        <v>22</v>
      </c>
      <c r="B36" s="26" t="s">
        <v>19</v>
      </c>
      <c r="C36" s="26">
        <v>1</v>
      </c>
      <c r="D36" s="26" t="s">
        <v>20</v>
      </c>
      <c r="E36" s="25" t="s">
        <v>21</v>
      </c>
      <c r="F36" s="25" t="str">
        <f t="shared" si="0"/>
        <v>M82_1_0</v>
      </c>
      <c r="O36" s="25">
        <v>0</v>
      </c>
    </row>
    <row r="37" spans="1:20" x14ac:dyDescent="0.25">
      <c r="A37" s="31" t="s">
        <v>22</v>
      </c>
      <c r="B37" s="26" t="s">
        <v>19</v>
      </c>
      <c r="C37" s="26">
        <v>1</v>
      </c>
      <c r="D37" s="26" t="s">
        <v>20</v>
      </c>
      <c r="E37" s="25" t="s">
        <v>21</v>
      </c>
      <c r="F37" s="25" t="str">
        <f t="shared" si="0"/>
        <v>M82_1_0</v>
      </c>
      <c r="O37" s="25">
        <v>0</v>
      </c>
    </row>
    <row r="38" spans="1:20" s="27" customFormat="1" ht="15.75" thickBot="1" x14ac:dyDescent="0.3">
      <c r="A38" s="30" t="s">
        <v>22</v>
      </c>
      <c r="B38" s="29" t="s">
        <v>19</v>
      </c>
      <c r="C38" s="29">
        <v>1</v>
      </c>
      <c r="D38" s="29" t="s">
        <v>20</v>
      </c>
      <c r="E38" s="28" t="s">
        <v>21</v>
      </c>
      <c r="F38" s="28" t="str">
        <f t="shared" si="0"/>
        <v>M82_1_0</v>
      </c>
      <c r="G38" s="28"/>
      <c r="H38" s="28"/>
      <c r="I38" s="28"/>
      <c r="J38" s="28"/>
      <c r="K38" s="28"/>
      <c r="L38" s="28"/>
      <c r="M38" s="28"/>
      <c r="N38" s="28"/>
      <c r="O38" s="28">
        <v>0</v>
      </c>
      <c r="P38" s="28"/>
      <c r="Q38" s="28"/>
      <c r="R38" s="28"/>
      <c r="S38" s="28"/>
      <c r="T38" s="28"/>
    </row>
    <row r="39" spans="1:20" s="32" customFormat="1" x14ac:dyDescent="0.25">
      <c r="A39" s="35" t="s">
        <v>18</v>
      </c>
      <c r="B39" s="34" t="s">
        <v>19</v>
      </c>
      <c r="C39" s="34">
        <v>1</v>
      </c>
      <c r="D39" s="34" t="s">
        <v>23</v>
      </c>
      <c r="E39" s="33" t="s">
        <v>24</v>
      </c>
      <c r="F39" s="33" t="str">
        <f t="shared" si="0"/>
        <v>M82_1_0,1</v>
      </c>
      <c r="G39" s="33">
        <v>6</v>
      </c>
      <c r="H39" s="33">
        <f>47010/58730</f>
        <v>0.80044270389919969</v>
      </c>
      <c r="I39" s="33">
        <f>76110/86090</f>
        <v>0.88407480543617145</v>
      </c>
      <c r="J39" s="33">
        <f>75260/57630</f>
        <v>1.3059170570883221</v>
      </c>
      <c r="K39" s="33">
        <f>140800/53440</f>
        <v>2.6347305389221556</v>
      </c>
      <c r="L39" s="33">
        <f t="shared" ref="L39:L49" si="4">I39-H39</f>
        <v>8.3632101536971759E-2</v>
      </c>
      <c r="M39" s="33">
        <f t="shared" ref="M39:M49" si="5">J39-H39</f>
        <v>0.50547435318912237</v>
      </c>
      <c r="N39" s="33">
        <f t="shared" ref="N39:N45" si="6">K39-H39</f>
        <v>1.8342878350229559</v>
      </c>
      <c r="O39" s="33">
        <v>1</v>
      </c>
      <c r="P39" s="33">
        <f>42480/56230</f>
        <v>0.75546861106171082</v>
      </c>
      <c r="Q39" s="33">
        <f>68590/53440</f>
        <v>1.2834955089820359</v>
      </c>
      <c r="R39" s="33">
        <v>48.71448863636364</v>
      </c>
      <c r="S39" s="33">
        <v>1</v>
      </c>
      <c r="T39" s="33">
        <v>22</v>
      </c>
    </row>
    <row r="40" spans="1:20" x14ac:dyDescent="0.25">
      <c r="A40" s="31" t="s">
        <v>25</v>
      </c>
      <c r="B40" s="26" t="s">
        <v>19</v>
      </c>
      <c r="C40" s="26">
        <v>1</v>
      </c>
      <c r="D40" s="26" t="s">
        <v>23</v>
      </c>
      <c r="E40" s="25" t="s">
        <v>24</v>
      </c>
      <c r="F40" s="25" t="str">
        <f t="shared" si="0"/>
        <v>M82_1_0,1</v>
      </c>
      <c r="G40" s="25">
        <v>4</v>
      </c>
      <c r="H40" s="25">
        <f>34340/60840</f>
        <v>0.56443129520052593</v>
      </c>
      <c r="I40" s="25">
        <f>79660/55080</f>
        <v>1.4462599854756717</v>
      </c>
      <c r="J40" s="25">
        <f>99170/52540</f>
        <v>1.8875142748382185</v>
      </c>
      <c r="K40" s="25">
        <f>103600/54880</f>
        <v>1.8877551020408163</v>
      </c>
      <c r="L40" s="25">
        <f t="shared" si="4"/>
        <v>0.88182869027514577</v>
      </c>
      <c r="M40" s="25">
        <f t="shared" si="5"/>
        <v>1.3230829796376926</v>
      </c>
      <c r="N40" s="25">
        <f t="shared" si="6"/>
        <v>1.3233238068402904</v>
      </c>
      <c r="O40" s="25">
        <v>1</v>
      </c>
      <c r="S40" s="25">
        <v>1</v>
      </c>
      <c r="T40" s="25">
        <v>20</v>
      </c>
    </row>
    <row r="41" spans="1:20" x14ac:dyDescent="0.25">
      <c r="A41" s="31" t="s">
        <v>25</v>
      </c>
      <c r="B41" s="26" t="s">
        <v>19</v>
      </c>
      <c r="C41" s="26">
        <v>1</v>
      </c>
      <c r="D41" s="26" t="s">
        <v>23</v>
      </c>
      <c r="E41" s="25" t="s">
        <v>24</v>
      </c>
      <c r="F41" s="25" t="str">
        <f t="shared" si="0"/>
        <v>M82_1_0,1</v>
      </c>
      <c r="G41" s="25">
        <v>2</v>
      </c>
      <c r="H41" s="25">
        <f>12870/60840</f>
        <v>0.21153846153846154</v>
      </c>
      <c r="I41" s="25">
        <f>29360/55080</f>
        <v>0.53304284676833702</v>
      </c>
      <c r="J41" s="25">
        <f>50490/52540</f>
        <v>0.96098210886943281</v>
      </c>
      <c r="K41" s="25">
        <f>106600/54880</f>
        <v>1.9424198250728864</v>
      </c>
      <c r="L41" s="25">
        <f t="shared" si="4"/>
        <v>0.32150438522987546</v>
      </c>
      <c r="M41" s="25">
        <f t="shared" si="5"/>
        <v>0.74944364733097124</v>
      </c>
      <c r="N41" s="25">
        <f t="shared" si="6"/>
        <v>1.7308813635344249</v>
      </c>
      <c r="O41" s="25">
        <v>1</v>
      </c>
      <c r="Q41" s="25">
        <f>101500/54880</f>
        <v>1.8494897959183674</v>
      </c>
      <c r="R41" s="25">
        <v>95.215759849906192</v>
      </c>
      <c r="S41" s="25">
        <v>1</v>
      </c>
      <c r="T41" s="25">
        <v>18</v>
      </c>
    </row>
    <row r="42" spans="1:20" x14ac:dyDescent="0.25">
      <c r="A42" s="31" t="s">
        <v>18</v>
      </c>
      <c r="B42" s="26" t="s">
        <v>19</v>
      </c>
      <c r="C42" s="26">
        <v>1</v>
      </c>
      <c r="D42" s="26" t="s">
        <v>23</v>
      </c>
      <c r="E42" s="25" t="s">
        <v>24</v>
      </c>
      <c r="F42" s="25" t="str">
        <f t="shared" si="0"/>
        <v>M82_1_0,1</v>
      </c>
      <c r="G42" s="25">
        <v>5</v>
      </c>
      <c r="H42" s="25">
        <f>43160/58730</f>
        <v>0.73488847267154778</v>
      </c>
      <c r="I42" s="25">
        <f>63730/86090</f>
        <v>0.74027180857242425</v>
      </c>
      <c r="J42" s="25">
        <f>71300/57630</f>
        <v>1.2372028457400659</v>
      </c>
      <c r="K42" s="25">
        <f>88750/53440</f>
        <v>1.6607410179640718</v>
      </c>
      <c r="L42" s="25">
        <f t="shared" si="4"/>
        <v>5.3833359008764736E-3</v>
      </c>
      <c r="M42" s="25">
        <f t="shared" si="5"/>
        <v>0.50231437306851812</v>
      </c>
      <c r="N42" s="25">
        <f t="shared" si="6"/>
        <v>0.92585254529252403</v>
      </c>
      <c r="O42" s="25">
        <v>1</v>
      </c>
      <c r="P42" s="25">
        <f>42460/58730</f>
        <v>0.72296952153924743</v>
      </c>
      <c r="Q42" s="25">
        <f>57840/53440</f>
        <v>1.0823353293413174</v>
      </c>
      <c r="R42" s="25">
        <v>65.171830985915491</v>
      </c>
      <c r="S42" s="25">
        <v>1</v>
      </c>
      <c r="T42" s="25">
        <v>17</v>
      </c>
    </row>
    <row r="43" spans="1:20" x14ac:dyDescent="0.25">
      <c r="A43" s="31" t="s">
        <v>25</v>
      </c>
      <c r="B43" s="26" t="s">
        <v>19</v>
      </c>
      <c r="C43" s="26">
        <v>1</v>
      </c>
      <c r="D43" s="26" t="s">
        <v>23</v>
      </c>
      <c r="E43" s="25" t="s">
        <v>24</v>
      </c>
      <c r="F43" s="25" t="str">
        <f t="shared" si="0"/>
        <v>M82_1_0,1</v>
      </c>
      <c r="G43" s="25">
        <v>4</v>
      </c>
      <c r="H43" s="25">
        <f>35130/60840</f>
        <v>0.57741617357001973</v>
      </c>
      <c r="I43" s="25">
        <f>61700/55080</f>
        <v>1.1201888162672475</v>
      </c>
      <c r="J43" s="25">
        <f>86520/52540</f>
        <v>1.646745336886182</v>
      </c>
      <c r="K43" s="25">
        <f>96070/54880</f>
        <v>1.7505466472303206</v>
      </c>
      <c r="L43" s="25">
        <f t="shared" si="4"/>
        <v>0.5427726426972278</v>
      </c>
      <c r="M43" s="25">
        <f t="shared" si="5"/>
        <v>1.0693291633161621</v>
      </c>
      <c r="N43" s="25">
        <f t="shared" si="6"/>
        <v>1.1731304736603008</v>
      </c>
      <c r="O43" s="25">
        <v>1</v>
      </c>
      <c r="Q43" s="25">
        <f>50060/54880</f>
        <v>0.91217201166180761</v>
      </c>
      <c r="R43" s="25">
        <v>52.107838034766317</v>
      </c>
      <c r="S43" s="25">
        <v>1</v>
      </c>
      <c r="T43" s="25">
        <v>16</v>
      </c>
    </row>
    <row r="44" spans="1:20" x14ac:dyDescent="0.25">
      <c r="A44" s="31" t="s">
        <v>18</v>
      </c>
      <c r="B44" s="26" t="s">
        <v>19</v>
      </c>
      <c r="C44" s="26">
        <v>1</v>
      </c>
      <c r="D44" s="26" t="s">
        <v>23</v>
      </c>
      <c r="E44" s="25" t="s">
        <v>24</v>
      </c>
      <c r="F44" s="25" t="str">
        <f t="shared" si="0"/>
        <v>M82_1_0,1</v>
      </c>
      <c r="G44" s="25">
        <v>5</v>
      </c>
      <c r="H44" s="25">
        <f>40740/58730</f>
        <v>0.69368295589988083</v>
      </c>
      <c r="I44" s="25">
        <f>63250/86090</f>
        <v>0.7346962481124405</v>
      </c>
      <c r="J44" s="25">
        <f>83500/57630</f>
        <v>1.4488981433281276</v>
      </c>
      <c r="K44" s="25">
        <f>161900/53440</f>
        <v>3.029565868263473</v>
      </c>
      <c r="L44" s="25">
        <f t="shared" si="4"/>
        <v>4.1013292212559671E-2</v>
      </c>
      <c r="M44" s="25">
        <f t="shared" si="5"/>
        <v>0.75521518742824678</v>
      </c>
      <c r="N44" s="25">
        <f t="shared" si="6"/>
        <v>2.335882912363592</v>
      </c>
      <c r="O44" s="25">
        <v>1</v>
      </c>
      <c r="P44" s="25">
        <f>59230/57630</f>
        <v>1.0277633177164671</v>
      </c>
      <c r="Q44" s="25">
        <f>96820/53440</f>
        <v>1.811751497005988</v>
      </c>
      <c r="R44" s="25">
        <v>59.802347127856706</v>
      </c>
      <c r="S44" s="25">
        <v>1</v>
      </c>
      <c r="T44" s="25">
        <v>16</v>
      </c>
    </row>
    <row r="45" spans="1:20" x14ac:dyDescent="0.25">
      <c r="A45" s="31" t="s">
        <v>18</v>
      </c>
      <c r="B45" s="26" t="s">
        <v>19</v>
      </c>
      <c r="C45" s="26">
        <v>1</v>
      </c>
      <c r="D45" s="26" t="s">
        <v>23</v>
      </c>
      <c r="E45" s="25" t="s">
        <v>24</v>
      </c>
      <c r="F45" s="25" t="str">
        <f t="shared" si="0"/>
        <v>M82_1_0,1</v>
      </c>
      <c r="G45" s="25">
        <v>5</v>
      </c>
      <c r="H45" s="25">
        <f>39840/58730</f>
        <v>0.67835859015835176</v>
      </c>
      <c r="I45" s="25">
        <f>69563/86090</f>
        <v>0.8080264839121849</v>
      </c>
      <c r="J45" s="25">
        <f>104200/57630</f>
        <v>1.808086066284921</v>
      </c>
      <c r="K45" s="25">
        <f>157900/53440</f>
        <v>2.9547155688622753</v>
      </c>
      <c r="L45" s="25">
        <f t="shared" si="4"/>
        <v>0.12966789375383314</v>
      </c>
      <c r="M45" s="25">
        <f t="shared" si="5"/>
        <v>1.1297274761265692</v>
      </c>
      <c r="N45" s="25">
        <f t="shared" si="6"/>
        <v>2.2763569787039235</v>
      </c>
      <c r="O45" s="25">
        <v>1</v>
      </c>
      <c r="P45" s="25">
        <f>18970/57630</f>
        <v>0.32916883567586325</v>
      </c>
      <c r="Q45" s="25">
        <f>47380/53440</f>
        <v>0.88660179640718562</v>
      </c>
      <c r="R45" s="25">
        <v>30.006333122229261</v>
      </c>
      <c r="S45" s="25">
        <v>1</v>
      </c>
      <c r="T45" s="25">
        <v>15</v>
      </c>
    </row>
    <row r="46" spans="1:20" x14ac:dyDescent="0.25">
      <c r="A46" s="31" t="s">
        <v>25</v>
      </c>
      <c r="B46" s="26" t="s">
        <v>19</v>
      </c>
      <c r="C46" s="26">
        <v>1</v>
      </c>
      <c r="D46" s="26" t="s">
        <v>23</v>
      </c>
      <c r="E46" s="25" t="s">
        <v>24</v>
      </c>
      <c r="F46" s="25" t="str">
        <f t="shared" si="0"/>
        <v>M82_1_0,1</v>
      </c>
      <c r="G46" s="25">
        <v>4</v>
      </c>
      <c r="H46" s="25">
        <f>29500/60840</f>
        <v>0.48487836949375412</v>
      </c>
      <c r="I46" s="25">
        <f>83730/55080</f>
        <v>1.5201525054466232</v>
      </c>
      <c r="J46" s="25">
        <f>95350/52540</f>
        <v>1.814807765511991</v>
      </c>
      <c r="L46" s="25">
        <f t="shared" si="4"/>
        <v>1.035274135952869</v>
      </c>
      <c r="M46" s="25">
        <f t="shared" si="5"/>
        <v>1.3299293960182368</v>
      </c>
      <c r="O46" s="25">
        <v>1</v>
      </c>
      <c r="P46" s="25">
        <f>33350/52540</f>
        <v>0.63475447278264174</v>
      </c>
      <c r="S46" s="25">
        <v>1</v>
      </c>
      <c r="T46" s="25">
        <v>13</v>
      </c>
    </row>
    <row r="47" spans="1:20" x14ac:dyDescent="0.25">
      <c r="A47" s="31" t="s">
        <v>25</v>
      </c>
      <c r="B47" s="26" t="s">
        <v>19</v>
      </c>
      <c r="C47" s="26">
        <v>1</v>
      </c>
      <c r="D47" s="26" t="s">
        <v>23</v>
      </c>
      <c r="E47" s="25" t="s">
        <v>24</v>
      </c>
      <c r="F47" s="25" t="str">
        <f t="shared" si="0"/>
        <v>M82_1_0,1</v>
      </c>
      <c r="G47" s="25">
        <v>3</v>
      </c>
      <c r="H47" s="25">
        <f>23130/60840</f>
        <v>0.38017751479289941</v>
      </c>
      <c r="I47" s="25">
        <f>79540/55080</f>
        <v>1.444081336238199</v>
      </c>
      <c r="J47" s="25">
        <f>116800/52540</f>
        <v>2.2230681385610964</v>
      </c>
      <c r="K47" s="25">
        <f>125000/54880</f>
        <v>2.2776967930029155</v>
      </c>
      <c r="L47" s="25">
        <f t="shared" si="4"/>
        <v>1.0639038214452996</v>
      </c>
      <c r="M47" s="25">
        <f t="shared" si="5"/>
        <v>1.842890623768197</v>
      </c>
      <c r="N47" s="25">
        <f>K47-H47</f>
        <v>1.8975192782100161</v>
      </c>
      <c r="O47" s="25">
        <v>1</v>
      </c>
      <c r="P47" s="25">
        <f>71790/52540</f>
        <v>1.3663875142748383</v>
      </c>
      <c r="Q47" s="25">
        <f>80870/54880</f>
        <v>1.4735787172011663</v>
      </c>
      <c r="R47" s="25">
        <v>64.695999999999998</v>
      </c>
      <c r="S47" s="25">
        <v>1</v>
      </c>
      <c r="T47" s="25">
        <v>12</v>
      </c>
    </row>
    <row r="48" spans="1:20" x14ac:dyDescent="0.25">
      <c r="A48" s="31" t="s">
        <v>18</v>
      </c>
      <c r="B48" s="26" t="s">
        <v>19</v>
      </c>
      <c r="C48" s="26">
        <v>1</v>
      </c>
      <c r="D48" s="26" t="s">
        <v>23</v>
      </c>
      <c r="E48" s="25" t="s">
        <v>24</v>
      </c>
      <c r="F48" s="25" t="str">
        <f t="shared" si="0"/>
        <v>M82_1_0,1</v>
      </c>
      <c r="G48" s="25">
        <v>4</v>
      </c>
      <c r="H48" s="25">
        <f>32030/58730</f>
        <v>0.54537714966797213</v>
      </c>
      <c r="I48" s="25">
        <f>109000/86090</f>
        <v>1.2661168544546404</v>
      </c>
      <c r="J48" s="25">
        <f>104700/57630</f>
        <v>1.816762103071317</v>
      </c>
      <c r="K48" s="25">
        <f>144100/53440</f>
        <v>2.6964820359281436</v>
      </c>
      <c r="L48" s="25">
        <f t="shared" si="4"/>
        <v>0.72073970478666827</v>
      </c>
      <c r="M48" s="25">
        <f t="shared" si="5"/>
        <v>1.271384953403345</v>
      </c>
      <c r="N48" s="25">
        <f>K48-H48</f>
        <v>2.1511048862601716</v>
      </c>
      <c r="O48" s="25">
        <v>1</v>
      </c>
      <c r="P48" s="25">
        <f>32040/57630</f>
        <v>0.55596043727225408</v>
      </c>
      <c r="Q48" s="25">
        <f>54800/53440</f>
        <v>1.0254491017964071</v>
      </c>
      <c r="R48" s="25">
        <v>38.029146426092993</v>
      </c>
      <c r="S48" s="25">
        <v>1</v>
      </c>
      <c r="T48" s="25">
        <v>12</v>
      </c>
    </row>
    <row r="49" spans="1:20" x14ac:dyDescent="0.25">
      <c r="A49" s="31" t="s">
        <v>18</v>
      </c>
      <c r="B49" s="26" t="s">
        <v>19</v>
      </c>
      <c r="C49" s="26">
        <v>1</v>
      </c>
      <c r="D49" s="26" t="s">
        <v>23</v>
      </c>
      <c r="E49" s="25" t="s">
        <v>24</v>
      </c>
      <c r="F49" s="25" t="str">
        <f t="shared" si="0"/>
        <v>M82_1_0,1</v>
      </c>
      <c r="G49" s="25">
        <v>5</v>
      </c>
      <c r="H49" s="25">
        <f>41880/58730</f>
        <v>0.71309381917248427</v>
      </c>
      <c r="I49" s="25">
        <f>68750/86090</f>
        <v>0.7985828783830875</v>
      </c>
      <c r="J49" s="25">
        <f>121000/57630</f>
        <v>2.0996009023078259</v>
      </c>
      <c r="K49" s="25">
        <f>171400/53440</f>
        <v>3.2073353293413174</v>
      </c>
      <c r="L49" s="25">
        <f t="shared" si="4"/>
        <v>8.5489059210603235E-2</v>
      </c>
      <c r="M49" s="25">
        <f t="shared" si="5"/>
        <v>1.3865070831353417</v>
      </c>
      <c r="N49" s="25">
        <f>K49-H49</f>
        <v>2.4942415101688331</v>
      </c>
      <c r="O49" s="25">
        <v>1</v>
      </c>
      <c r="P49" s="25">
        <f>41280/57630</f>
        <v>0.71629359708485163</v>
      </c>
      <c r="Q49" s="25">
        <f>72780/53440</f>
        <v>1.3619011976047903</v>
      </c>
      <c r="R49" s="25">
        <v>42.462077012835472</v>
      </c>
      <c r="S49" s="25">
        <v>1</v>
      </c>
      <c r="T49" s="25">
        <v>12</v>
      </c>
    </row>
    <row r="50" spans="1:20" x14ac:dyDescent="0.25">
      <c r="A50" s="31" t="s">
        <v>22</v>
      </c>
      <c r="B50" s="26" t="s">
        <v>19</v>
      </c>
      <c r="C50" s="26">
        <v>1</v>
      </c>
      <c r="D50" s="26" t="s">
        <v>23</v>
      </c>
      <c r="E50" s="25" t="s">
        <v>24</v>
      </c>
      <c r="F50" s="25" t="str">
        <f t="shared" si="0"/>
        <v>M82_1_0,1</v>
      </c>
      <c r="O50" s="25">
        <v>1</v>
      </c>
      <c r="S50" s="25">
        <v>1</v>
      </c>
      <c r="T50" s="25">
        <v>12</v>
      </c>
    </row>
    <row r="51" spans="1:20" x14ac:dyDescent="0.25">
      <c r="A51" s="31" t="s">
        <v>18</v>
      </c>
      <c r="B51" s="26" t="s">
        <v>19</v>
      </c>
      <c r="C51" s="26">
        <v>1</v>
      </c>
      <c r="D51" s="26" t="s">
        <v>23</v>
      </c>
      <c r="E51" s="25" t="s">
        <v>24</v>
      </c>
      <c r="F51" s="25" t="str">
        <f t="shared" si="0"/>
        <v>M82_1_0,1</v>
      </c>
      <c r="G51" s="25">
        <v>4</v>
      </c>
      <c r="H51" s="25">
        <f>30390/58730</f>
        <v>0.51745274987229695</v>
      </c>
      <c r="I51" s="25">
        <f>55540/86090</f>
        <v>0.64513880822395164</v>
      </c>
      <c r="J51" s="25">
        <f>73520/57630</f>
        <v>1.2757244490716642</v>
      </c>
      <c r="K51" s="25">
        <f>121100/53440</f>
        <v>2.2660928143712575</v>
      </c>
      <c r="L51" s="25">
        <f>I51-H51</f>
        <v>0.1276860583516547</v>
      </c>
      <c r="M51" s="25">
        <f>J51-H51</f>
        <v>0.75827169919936721</v>
      </c>
      <c r="N51" s="25">
        <f>K51-H51</f>
        <v>1.7486400644989606</v>
      </c>
      <c r="O51" s="25">
        <v>1</v>
      </c>
      <c r="P51" s="25">
        <f>52460/58730</f>
        <v>0.89324025200068113</v>
      </c>
      <c r="Q51" s="25">
        <f>116100/53440</f>
        <v>2.1725299401197606</v>
      </c>
      <c r="R51" s="25">
        <v>95.871180842279117</v>
      </c>
      <c r="S51" s="25">
        <v>1</v>
      </c>
      <c r="T51" s="25">
        <v>12</v>
      </c>
    </row>
    <row r="52" spans="1:20" x14ac:dyDescent="0.25">
      <c r="A52" s="31" t="s">
        <v>25</v>
      </c>
      <c r="B52" s="26" t="s">
        <v>19</v>
      </c>
      <c r="C52" s="26">
        <v>1</v>
      </c>
      <c r="D52" s="26" t="s">
        <v>23</v>
      </c>
      <c r="E52" s="25" t="s">
        <v>24</v>
      </c>
      <c r="F52" s="25" t="str">
        <f t="shared" si="0"/>
        <v>M82_1_0,1</v>
      </c>
      <c r="G52" s="25">
        <v>3</v>
      </c>
      <c r="H52" s="25">
        <f>23700/60840</f>
        <v>0.38954635108481261</v>
      </c>
      <c r="I52" s="25">
        <f>61620/55080</f>
        <v>1.1187363834422659</v>
      </c>
      <c r="J52" s="25">
        <f>100800/52540</f>
        <v>1.9185382565664255</v>
      </c>
      <c r="K52" s="25">
        <f>156800/54880</f>
        <v>2.8571428571428572</v>
      </c>
      <c r="L52" s="25">
        <f>I52-H52</f>
        <v>0.72919003235745328</v>
      </c>
      <c r="M52" s="25">
        <f>J52-H52</f>
        <v>1.5289919054816128</v>
      </c>
      <c r="N52" s="25">
        <f>K52-H52</f>
        <v>2.4675965060580447</v>
      </c>
      <c r="O52" s="25">
        <v>1</v>
      </c>
      <c r="P52" s="25">
        <f>94680/52540</f>
        <v>1.8020555767034641</v>
      </c>
      <c r="Q52" s="25">
        <f>99990/54880</f>
        <v>1.8219752186588922</v>
      </c>
      <c r="R52" s="25">
        <v>63.76913265306122</v>
      </c>
      <c r="S52" s="25">
        <v>1</v>
      </c>
      <c r="T52" s="25">
        <v>10</v>
      </c>
    </row>
    <row r="53" spans="1:20" x14ac:dyDescent="0.25">
      <c r="A53" s="31" t="s">
        <v>18</v>
      </c>
      <c r="B53" s="26" t="s">
        <v>19</v>
      </c>
      <c r="C53" s="26">
        <v>1</v>
      </c>
      <c r="D53" s="26" t="s">
        <v>23</v>
      </c>
      <c r="E53" s="25" t="s">
        <v>24</v>
      </c>
      <c r="F53" s="25" t="str">
        <f t="shared" si="0"/>
        <v>M82_1_0,1</v>
      </c>
      <c r="G53" s="25">
        <v>3</v>
      </c>
      <c r="H53" s="25">
        <f>25710/58730</f>
        <v>0.437766048016346</v>
      </c>
      <c r="I53" s="25">
        <f>43720/86090</f>
        <v>0.50784063189685213</v>
      </c>
      <c r="J53" s="25">
        <f>99290/57630</f>
        <v>1.7228873850425126</v>
      </c>
      <c r="K53" s="25">
        <f>157600/53440</f>
        <v>2.9491017964071857</v>
      </c>
      <c r="L53" s="25">
        <f>I53-H53</f>
        <v>7.0074583880506136E-2</v>
      </c>
      <c r="M53" s="25">
        <f>J53-H53</f>
        <v>1.2851213370261667</v>
      </c>
      <c r="N53" s="25">
        <f>K53-H53</f>
        <v>2.5113357483908398</v>
      </c>
      <c r="O53" s="25">
        <v>1</v>
      </c>
      <c r="P53" s="25">
        <f>53230/57630</f>
        <v>0.92365087627971543</v>
      </c>
      <c r="Q53" s="25">
        <f>75150/53440</f>
        <v>1.40625</v>
      </c>
      <c r="R53" s="25">
        <v>47.684010152284259</v>
      </c>
      <c r="S53" s="25">
        <v>1</v>
      </c>
      <c r="T53" s="25">
        <v>9</v>
      </c>
    </row>
    <row r="54" spans="1:20" x14ac:dyDescent="0.25">
      <c r="A54" s="31" t="s">
        <v>22</v>
      </c>
      <c r="B54" s="26" t="s">
        <v>19</v>
      </c>
      <c r="C54" s="26">
        <v>1</v>
      </c>
      <c r="D54" s="26" t="s">
        <v>23</v>
      </c>
      <c r="E54" s="25" t="s">
        <v>24</v>
      </c>
      <c r="F54" s="25" t="str">
        <f t="shared" si="0"/>
        <v>M82_1_0,1</v>
      </c>
      <c r="O54" s="25">
        <v>1</v>
      </c>
      <c r="S54" s="25">
        <v>1</v>
      </c>
      <c r="T54" s="25">
        <v>9</v>
      </c>
    </row>
    <row r="55" spans="1:20" x14ac:dyDescent="0.25">
      <c r="A55" s="31" t="s">
        <v>25</v>
      </c>
      <c r="B55" s="26" t="s">
        <v>19</v>
      </c>
      <c r="C55" s="26">
        <v>1</v>
      </c>
      <c r="D55" s="26" t="s">
        <v>23</v>
      </c>
      <c r="E55" s="25" t="s">
        <v>24</v>
      </c>
      <c r="F55" s="25" t="str">
        <f t="shared" si="0"/>
        <v>M82_1_0,1</v>
      </c>
      <c r="G55" s="25">
        <v>2</v>
      </c>
      <c r="H55" s="25">
        <f>18170/60840</f>
        <v>0.29865220249835633</v>
      </c>
      <c r="I55" s="25">
        <f>54350/55080</f>
        <v>0.98674655047204063</v>
      </c>
      <c r="J55" s="25">
        <f>55690/52540</f>
        <v>1.0599543205177009</v>
      </c>
      <c r="L55" s="25">
        <f>I55-H55</f>
        <v>0.68809434797368429</v>
      </c>
      <c r="M55" s="25">
        <f>J55-H55</f>
        <v>0.76130211801934455</v>
      </c>
      <c r="O55" s="25">
        <v>1</v>
      </c>
      <c r="P55" s="25">
        <f>7284/52540</f>
        <v>0.13863722877807386</v>
      </c>
      <c r="S55" s="25">
        <v>1</v>
      </c>
      <c r="T55" s="25">
        <v>9</v>
      </c>
    </row>
    <row r="56" spans="1:20" x14ac:dyDescent="0.25">
      <c r="A56" s="31" t="s">
        <v>25</v>
      </c>
      <c r="B56" s="26" t="s">
        <v>19</v>
      </c>
      <c r="C56" s="26">
        <v>1</v>
      </c>
      <c r="D56" s="26" t="s">
        <v>23</v>
      </c>
      <c r="E56" s="25" t="s">
        <v>24</v>
      </c>
      <c r="F56" s="25" t="str">
        <f t="shared" si="0"/>
        <v>M82_1_0,1</v>
      </c>
      <c r="G56" s="25">
        <v>3</v>
      </c>
      <c r="H56" s="25">
        <f>19680/60840</f>
        <v>0.3234714003944773</v>
      </c>
      <c r="I56" s="25">
        <f>85580/55080</f>
        <v>1.5537400145243283</v>
      </c>
      <c r="J56" s="25">
        <f>118900/52540</f>
        <v>2.2630376855728969</v>
      </c>
      <c r="K56" s="25">
        <f>150000/54880</f>
        <v>2.7332361516034984</v>
      </c>
      <c r="L56" s="25">
        <f>I56-H56</f>
        <v>1.2302686141298511</v>
      </c>
      <c r="M56" s="25">
        <f>J56-H56</f>
        <v>1.9395662851784197</v>
      </c>
      <c r="N56" s="25">
        <f>K56-H56</f>
        <v>2.4097647512090212</v>
      </c>
      <c r="O56" s="25">
        <v>1</v>
      </c>
      <c r="P56" s="25">
        <f>40320/52540</f>
        <v>0.76741530262657021</v>
      </c>
      <c r="Q56" s="25">
        <f>49500/54880</f>
        <v>0.90196793002915454</v>
      </c>
      <c r="R56" s="25">
        <v>33</v>
      </c>
      <c r="S56" s="25">
        <v>1</v>
      </c>
      <c r="T56" s="25">
        <v>8</v>
      </c>
    </row>
    <row r="57" spans="1:20" x14ac:dyDescent="0.25">
      <c r="A57" s="31" t="s">
        <v>22</v>
      </c>
      <c r="B57" s="26" t="s">
        <v>19</v>
      </c>
      <c r="C57" s="26">
        <v>1</v>
      </c>
      <c r="D57" s="26" t="s">
        <v>23</v>
      </c>
      <c r="E57" s="25" t="s">
        <v>24</v>
      </c>
      <c r="F57" s="25" t="str">
        <f t="shared" si="0"/>
        <v>M82_1_0,1</v>
      </c>
      <c r="O57" s="25">
        <v>1</v>
      </c>
      <c r="S57" s="25">
        <v>1</v>
      </c>
      <c r="T57" s="25">
        <v>8</v>
      </c>
    </row>
    <row r="58" spans="1:20" x14ac:dyDescent="0.25">
      <c r="A58" s="31" t="s">
        <v>22</v>
      </c>
      <c r="B58" s="26" t="s">
        <v>19</v>
      </c>
      <c r="C58" s="26">
        <v>1</v>
      </c>
      <c r="D58" s="26" t="s">
        <v>23</v>
      </c>
      <c r="E58" s="25" t="s">
        <v>24</v>
      </c>
      <c r="F58" s="25" t="str">
        <f t="shared" si="0"/>
        <v>M82_1_0,1</v>
      </c>
      <c r="O58" s="25">
        <v>1</v>
      </c>
      <c r="S58" s="25">
        <v>1</v>
      </c>
      <c r="T58" s="25">
        <v>7</v>
      </c>
    </row>
    <row r="59" spans="1:20" x14ac:dyDescent="0.25">
      <c r="A59" s="31" t="s">
        <v>22</v>
      </c>
      <c r="B59" s="26" t="s">
        <v>19</v>
      </c>
      <c r="C59" s="26">
        <v>1</v>
      </c>
      <c r="D59" s="26" t="s">
        <v>23</v>
      </c>
      <c r="E59" s="25" t="s">
        <v>24</v>
      </c>
      <c r="F59" s="25" t="str">
        <f t="shared" si="0"/>
        <v>M82_1_0,1</v>
      </c>
      <c r="O59" s="25">
        <v>1</v>
      </c>
      <c r="S59" s="25">
        <v>1</v>
      </c>
      <c r="T59" s="25">
        <v>6</v>
      </c>
    </row>
    <row r="60" spans="1:20" x14ac:dyDescent="0.25">
      <c r="A60" s="31" t="s">
        <v>25</v>
      </c>
      <c r="B60" s="26" t="s">
        <v>19</v>
      </c>
      <c r="C60" s="26">
        <v>1</v>
      </c>
      <c r="D60" s="26" t="s">
        <v>23</v>
      </c>
      <c r="E60" s="25" t="s">
        <v>24</v>
      </c>
      <c r="F60" s="25" t="str">
        <f t="shared" si="0"/>
        <v>M82_1_0,1</v>
      </c>
      <c r="G60" s="25">
        <v>1</v>
      </c>
      <c r="H60" s="25">
        <f>9609/60840</f>
        <v>0.15793885601577909</v>
      </c>
      <c r="I60" s="25">
        <f>31280/55080</f>
        <v>0.5679012345679012</v>
      </c>
      <c r="J60" s="25">
        <f>42780/52540</f>
        <v>0.81423677198325084</v>
      </c>
      <c r="K60" s="25">
        <f>49850/54880</f>
        <v>0.9083454810495627</v>
      </c>
      <c r="L60" s="25">
        <f>I60-H60</f>
        <v>0.40996237855212214</v>
      </c>
      <c r="M60" s="25">
        <f>J60-H60</f>
        <v>0.65629791596747178</v>
      </c>
      <c r="N60" s="25">
        <f>K60-H60</f>
        <v>0.75040662503378364</v>
      </c>
      <c r="O60" s="25">
        <v>1</v>
      </c>
      <c r="P60" s="25">
        <f>14130/52540</f>
        <v>0.26893795203654358</v>
      </c>
      <c r="S60" s="25">
        <v>1</v>
      </c>
      <c r="T60" s="25">
        <v>6</v>
      </c>
    </row>
    <row r="61" spans="1:20" x14ac:dyDescent="0.25">
      <c r="A61" s="31" t="s">
        <v>25</v>
      </c>
      <c r="B61" s="26" t="s">
        <v>19</v>
      </c>
      <c r="C61" s="26">
        <v>1</v>
      </c>
      <c r="D61" s="26" t="s">
        <v>23</v>
      </c>
      <c r="E61" s="25" t="s">
        <v>24</v>
      </c>
      <c r="F61" s="25" t="str">
        <f t="shared" si="0"/>
        <v>M82_1_0,1</v>
      </c>
      <c r="G61" s="25">
        <v>2</v>
      </c>
      <c r="H61" s="25">
        <f>13550/60840</f>
        <v>0.22271531886916501</v>
      </c>
      <c r="I61" s="25">
        <f>24810/55080</f>
        <v>0.45043572984749453</v>
      </c>
      <c r="J61" s="25">
        <f>41640/52540</f>
        <v>0.79253901789113057</v>
      </c>
      <c r="L61" s="25">
        <f>I61-H61</f>
        <v>0.22772041097832951</v>
      </c>
      <c r="M61" s="25">
        <f>J61-H61</f>
        <v>0.56982369902196561</v>
      </c>
      <c r="O61" s="25">
        <v>1</v>
      </c>
      <c r="P61" s="25">
        <f>20780/52540</f>
        <v>0.3955081842405786</v>
      </c>
      <c r="S61" s="25">
        <v>1</v>
      </c>
      <c r="T61" s="25">
        <v>6</v>
      </c>
    </row>
    <row r="62" spans="1:20" x14ac:dyDescent="0.25">
      <c r="A62" s="31" t="s">
        <v>25</v>
      </c>
      <c r="B62" s="26" t="s">
        <v>19</v>
      </c>
      <c r="C62" s="26">
        <v>1</v>
      </c>
      <c r="D62" s="26" t="s">
        <v>23</v>
      </c>
      <c r="E62" s="25" t="s">
        <v>24</v>
      </c>
      <c r="F62" s="25" t="str">
        <f t="shared" si="0"/>
        <v>M82_1_0,1</v>
      </c>
      <c r="G62" s="25">
        <v>2</v>
      </c>
      <c r="H62" s="25">
        <f>14160/60840</f>
        <v>0.23274161735700197</v>
      </c>
      <c r="I62" s="25">
        <f>41490/55080</f>
        <v>0.75326797385620914</v>
      </c>
      <c r="J62" s="25">
        <f>93300/52540</f>
        <v>1.7757898743814238</v>
      </c>
      <c r="K62" s="25">
        <f>131200/54880</f>
        <v>2.3906705539358599</v>
      </c>
      <c r="L62" s="25">
        <f>I62-H62</f>
        <v>0.5205263564992072</v>
      </c>
      <c r="M62" s="25">
        <f>J62-H62</f>
        <v>1.5430482570244217</v>
      </c>
      <c r="N62" s="25">
        <f>K62-H62</f>
        <v>2.1579289365788581</v>
      </c>
      <c r="O62" s="25">
        <v>1</v>
      </c>
      <c r="P62" s="25">
        <f>36070/52540</f>
        <v>0.68652455272173585</v>
      </c>
      <c r="Q62" s="25">
        <f>49940/54880</f>
        <v>0.90998542274052474</v>
      </c>
      <c r="R62" s="25">
        <v>38.064024390243901</v>
      </c>
      <c r="S62" s="25">
        <v>1</v>
      </c>
      <c r="T62" s="25">
        <v>5</v>
      </c>
    </row>
    <row r="63" spans="1:20" x14ac:dyDescent="0.25">
      <c r="A63" s="31" t="s">
        <v>25</v>
      </c>
      <c r="B63" s="26" t="s">
        <v>19</v>
      </c>
      <c r="C63" s="26">
        <v>1</v>
      </c>
      <c r="D63" s="26" t="s">
        <v>23</v>
      </c>
      <c r="E63" s="25" t="s">
        <v>24</v>
      </c>
      <c r="F63" s="25" t="str">
        <f t="shared" si="0"/>
        <v>M82_1_0,1</v>
      </c>
      <c r="G63" s="25">
        <v>4</v>
      </c>
      <c r="H63" s="25">
        <f>33950/60840</f>
        <v>0.55802103879026954</v>
      </c>
      <c r="I63" s="25">
        <f>91910/55080</f>
        <v>1.6686637618010167</v>
      </c>
      <c r="J63" s="25">
        <f>147200/52540</f>
        <v>2.8016749143509707</v>
      </c>
      <c r="K63" s="25">
        <f>172200/54880</f>
        <v>3.1377551020408165</v>
      </c>
      <c r="L63" s="25">
        <f>I63-H63</f>
        <v>1.1106427230107472</v>
      </c>
      <c r="M63" s="25">
        <f>J63-H63</f>
        <v>2.2436538755607014</v>
      </c>
      <c r="N63" s="25">
        <f>K63-H63</f>
        <v>2.5797340632505472</v>
      </c>
      <c r="O63" s="25">
        <v>1</v>
      </c>
      <c r="P63" s="25">
        <f>28280/52540</f>
        <v>0.53825656642558051</v>
      </c>
      <c r="Q63" s="25">
        <f>69920/54880</f>
        <v>1.2740524781341107</v>
      </c>
      <c r="R63" s="25">
        <v>40.60394889663182</v>
      </c>
      <c r="S63" s="25">
        <v>1</v>
      </c>
      <c r="T63" s="25">
        <v>5</v>
      </c>
    </row>
    <row r="64" spans="1:20" x14ac:dyDescent="0.25">
      <c r="A64" s="31" t="s">
        <v>22</v>
      </c>
      <c r="B64" s="26" t="s">
        <v>19</v>
      </c>
      <c r="C64" s="26">
        <v>1</v>
      </c>
      <c r="D64" s="26" t="s">
        <v>23</v>
      </c>
      <c r="E64" s="25" t="s">
        <v>24</v>
      </c>
      <c r="F64" s="25" t="str">
        <f t="shared" si="0"/>
        <v>M82_1_0,1</v>
      </c>
      <c r="O64" s="25">
        <v>1</v>
      </c>
      <c r="S64" s="25">
        <v>1</v>
      </c>
      <c r="T64" s="25">
        <v>5</v>
      </c>
    </row>
    <row r="65" spans="1:20" x14ac:dyDescent="0.25">
      <c r="A65" s="31" t="s">
        <v>18</v>
      </c>
      <c r="B65" s="26" t="s">
        <v>19</v>
      </c>
      <c r="C65" s="26">
        <v>1</v>
      </c>
      <c r="D65" s="26" t="s">
        <v>23</v>
      </c>
      <c r="E65" s="25" t="s">
        <v>24</v>
      </c>
      <c r="F65" s="25" t="str">
        <f t="shared" si="0"/>
        <v>M82_1_0,1</v>
      </c>
      <c r="G65" s="25">
        <v>6</v>
      </c>
      <c r="H65" s="25">
        <f>47370/58730</f>
        <v>0.80657245019581136</v>
      </c>
      <c r="I65" s="25">
        <f>69990/86090</f>
        <v>0.8129864095713788</v>
      </c>
      <c r="J65" s="25">
        <f>109700/57630</f>
        <v>1.9035224709352767</v>
      </c>
      <c r="K65" s="25">
        <f>150800/53440</f>
        <v>2.8218562874251498</v>
      </c>
      <c r="L65" s="25">
        <f>I65-H65</f>
        <v>6.4139593755674351E-3</v>
      </c>
      <c r="M65" s="25">
        <f>J65-H65</f>
        <v>1.0969500207394653</v>
      </c>
      <c r="N65" s="25">
        <f>K65-H65</f>
        <v>2.0152838372293385</v>
      </c>
      <c r="O65" s="25">
        <v>1</v>
      </c>
      <c r="P65" s="25">
        <f>68280/57630</f>
        <v>1.1847995835502343</v>
      </c>
      <c r="Q65" s="25">
        <f>121400/53440</f>
        <v>2.2717065868263475</v>
      </c>
      <c r="R65" s="25">
        <v>80.50397877984085</v>
      </c>
      <c r="S65" s="25">
        <v>1</v>
      </c>
      <c r="T65" s="25">
        <v>4</v>
      </c>
    </row>
    <row r="66" spans="1:20" x14ac:dyDescent="0.25">
      <c r="A66" s="31" t="s">
        <v>22</v>
      </c>
      <c r="B66" s="26" t="s">
        <v>19</v>
      </c>
      <c r="C66" s="26">
        <v>1</v>
      </c>
      <c r="D66" s="26" t="s">
        <v>23</v>
      </c>
      <c r="E66" s="25" t="s">
        <v>24</v>
      </c>
      <c r="F66" s="25" t="str">
        <f t="shared" ref="F66:F129" si="7">CONCATENATE(B66,"_",E66)</f>
        <v>M82_1_0,1</v>
      </c>
      <c r="O66" s="25">
        <v>1</v>
      </c>
      <c r="S66" s="25">
        <v>1</v>
      </c>
      <c r="T66" s="25">
        <v>4</v>
      </c>
    </row>
    <row r="67" spans="1:20" x14ac:dyDescent="0.25">
      <c r="A67" s="31" t="s">
        <v>22</v>
      </c>
      <c r="B67" s="26" t="s">
        <v>19</v>
      </c>
      <c r="C67" s="26">
        <v>1</v>
      </c>
      <c r="D67" s="26" t="s">
        <v>23</v>
      </c>
      <c r="E67" s="25" t="s">
        <v>24</v>
      </c>
      <c r="F67" s="25" t="str">
        <f t="shared" si="7"/>
        <v>M82_1_0,1</v>
      </c>
      <c r="O67" s="25">
        <v>1</v>
      </c>
      <c r="S67" s="25">
        <v>1</v>
      </c>
      <c r="T67" s="25">
        <v>4</v>
      </c>
    </row>
    <row r="68" spans="1:20" x14ac:dyDescent="0.25">
      <c r="A68" s="31" t="s">
        <v>22</v>
      </c>
      <c r="B68" s="26" t="s">
        <v>19</v>
      </c>
      <c r="C68" s="26">
        <v>1</v>
      </c>
      <c r="D68" s="26" t="s">
        <v>23</v>
      </c>
      <c r="E68" s="25" t="s">
        <v>24</v>
      </c>
      <c r="F68" s="25" t="str">
        <f t="shared" si="7"/>
        <v>M82_1_0,1</v>
      </c>
      <c r="O68" s="25">
        <v>1</v>
      </c>
      <c r="S68" s="25">
        <v>1</v>
      </c>
      <c r="T68" s="25">
        <v>3</v>
      </c>
    </row>
    <row r="69" spans="1:20" x14ac:dyDescent="0.25">
      <c r="A69" s="31" t="s">
        <v>18</v>
      </c>
      <c r="B69" s="26" t="s">
        <v>19</v>
      </c>
      <c r="C69" s="26">
        <v>1</v>
      </c>
      <c r="D69" s="26" t="s">
        <v>23</v>
      </c>
      <c r="E69" s="25" t="s">
        <v>24</v>
      </c>
      <c r="F69" s="25" t="str">
        <f t="shared" si="7"/>
        <v>M82_1_0,1</v>
      </c>
      <c r="G69" s="25">
        <v>3</v>
      </c>
      <c r="H69" s="25">
        <f>27000/58730</f>
        <v>0.45973097224587095</v>
      </c>
      <c r="I69" s="25">
        <f>41130/86090</f>
        <v>0.47775583691485657</v>
      </c>
      <c r="J69" s="25">
        <f>58280/57630</f>
        <v>1.0112788478223147</v>
      </c>
      <c r="K69" s="25">
        <f>55880/53440</f>
        <v>1.0456586826347305</v>
      </c>
      <c r="L69" s="25">
        <f t="shared" ref="L69:L76" si="8">I69-H69</f>
        <v>1.8024864668985618E-2</v>
      </c>
      <c r="M69" s="25">
        <f t="shared" ref="M69:M76" si="9">J69-H69</f>
        <v>0.5515478755764438</v>
      </c>
      <c r="N69" s="25">
        <f t="shared" ref="N69:N76" si="10">K69-H69</f>
        <v>0.5859277103888596</v>
      </c>
      <c r="O69" s="25">
        <v>1</v>
      </c>
      <c r="S69" s="25">
        <v>1</v>
      </c>
      <c r="T69" s="25">
        <v>3</v>
      </c>
    </row>
    <row r="70" spans="1:20" x14ac:dyDescent="0.25">
      <c r="A70" s="31" t="s">
        <v>18</v>
      </c>
      <c r="B70" s="26" t="s">
        <v>19</v>
      </c>
      <c r="C70" s="26">
        <v>1</v>
      </c>
      <c r="D70" s="26" t="s">
        <v>23</v>
      </c>
      <c r="E70" s="25" t="s">
        <v>24</v>
      </c>
      <c r="F70" s="25" t="str">
        <f t="shared" si="7"/>
        <v>M82_1_0,1</v>
      </c>
      <c r="G70" s="25">
        <v>3</v>
      </c>
      <c r="H70" s="25">
        <f>21830/58730</f>
        <v>0.3717010045973097</v>
      </c>
      <c r="I70" s="25">
        <f>37850/86090</f>
        <v>0.43965617377163435</v>
      </c>
      <c r="J70" s="25">
        <f>92800/57630</f>
        <v>1.6102724275550928</v>
      </c>
      <c r="K70" s="25">
        <f>105100/53440</f>
        <v>1.966691616766467</v>
      </c>
      <c r="L70" s="25">
        <f t="shared" si="8"/>
        <v>6.7955169174324648E-2</v>
      </c>
      <c r="M70" s="25">
        <f t="shared" si="9"/>
        <v>1.2385714229577831</v>
      </c>
      <c r="N70" s="25">
        <f t="shared" si="10"/>
        <v>1.5949906121691573</v>
      </c>
      <c r="O70" s="25">
        <v>1</v>
      </c>
      <c r="P70" s="25">
        <f>17970/57630</f>
        <v>0.3118167621030713</v>
      </c>
      <c r="Q70" s="25">
        <f>41210/53440</f>
        <v>0.77114520958083832</v>
      </c>
      <c r="R70" s="25">
        <v>39.210275927687917</v>
      </c>
      <c r="S70" s="25">
        <v>0</v>
      </c>
    </row>
    <row r="71" spans="1:20" x14ac:dyDescent="0.25">
      <c r="A71" s="31" t="s">
        <v>25</v>
      </c>
      <c r="B71" s="26" t="s">
        <v>19</v>
      </c>
      <c r="C71" s="26">
        <v>1</v>
      </c>
      <c r="D71" s="26" t="s">
        <v>23</v>
      </c>
      <c r="E71" s="25" t="s">
        <v>24</v>
      </c>
      <c r="F71" s="25" t="str">
        <f t="shared" si="7"/>
        <v>M82_1_0,1</v>
      </c>
      <c r="G71" s="25">
        <v>3</v>
      </c>
      <c r="H71" s="25">
        <f>26930/60840</f>
        <v>0.44263642340565418</v>
      </c>
      <c r="I71" s="25">
        <f>81300/55080</f>
        <v>1.4760348583877996</v>
      </c>
      <c r="J71" s="25">
        <f>122600/52540</f>
        <v>2.3334602207841644</v>
      </c>
      <c r="K71" s="25">
        <f>136700/54880</f>
        <v>2.4908892128279883</v>
      </c>
      <c r="L71" s="25">
        <f t="shared" si="8"/>
        <v>1.0333984349821455</v>
      </c>
      <c r="M71" s="25">
        <f t="shared" si="9"/>
        <v>1.8908237973785103</v>
      </c>
      <c r="N71" s="25">
        <f t="shared" si="10"/>
        <v>2.0482527894223339</v>
      </c>
      <c r="O71" s="25">
        <v>1</v>
      </c>
      <c r="P71" s="25">
        <f>358/52540</f>
        <v>6.8138561096307577E-3</v>
      </c>
      <c r="Q71" s="25">
        <f>99690/54880</f>
        <v>1.816508746355685</v>
      </c>
      <c r="R71" s="25">
        <v>72.926115581565483</v>
      </c>
      <c r="S71" s="25">
        <v>0</v>
      </c>
    </row>
    <row r="72" spans="1:20" x14ac:dyDescent="0.25">
      <c r="A72" s="31" t="s">
        <v>18</v>
      </c>
      <c r="B72" s="26" t="s">
        <v>19</v>
      </c>
      <c r="C72" s="26">
        <v>1</v>
      </c>
      <c r="D72" s="26" t="s">
        <v>23</v>
      </c>
      <c r="E72" s="25" t="s">
        <v>24</v>
      </c>
      <c r="F72" s="25" t="str">
        <f t="shared" si="7"/>
        <v>M82_1_0,1</v>
      </c>
      <c r="G72" s="25">
        <v>4</v>
      </c>
      <c r="H72" s="25">
        <f>30920/58730</f>
        <v>0.52647709858675296</v>
      </c>
      <c r="I72" s="25">
        <f>55670/86090</f>
        <v>0.6466488558485306</v>
      </c>
      <c r="J72" s="25">
        <f>113300/57630</f>
        <v>1.9659899357973278</v>
      </c>
      <c r="K72" s="25">
        <f>124000/53440</f>
        <v>2.3203592814371259</v>
      </c>
      <c r="L72" s="25">
        <f t="shared" si="8"/>
        <v>0.12017175726177765</v>
      </c>
      <c r="M72" s="25">
        <f t="shared" si="9"/>
        <v>1.4395128372105748</v>
      </c>
      <c r="N72" s="25">
        <f t="shared" si="10"/>
        <v>1.793882182850373</v>
      </c>
      <c r="O72" s="25">
        <v>1</v>
      </c>
      <c r="P72" s="25">
        <f>39231/57630</f>
        <v>0.68073919833420093</v>
      </c>
      <c r="Q72" s="25">
        <f>85320/53440</f>
        <v>1.596556886227545</v>
      </c>
      <c r="R72" s="25">
        <v>68.806451612903231</v>
      </c>
      <c r="S72" s="25">
        <v>0</v>
      </c>
    </row>
    <row r="73" spans="1:20" x14ac:dyDescent="0.25">
      <c r="A73" s="31" t="s">
        <v>25</v>
      </c>
      <c r="B73" s="26" t="s">
        <v>19</v>
      </c>
      <c r="C73" s="26">
        <v>1</v>
      </c>
      <c r="D73" s="26" t="s">
        <v>23</v>
      </c>
      <c r="E73" s="25" t="s">
        <v>24</v>
      </c>
      <c r="F73" s="25" t="str">
        <f t="shared" si="7"/>
        <v>M82_1_0,1</v>
      </c>
      <c r="G73" s="25">
        <v>4</v>
      </c>
      <c r="H73" s="25">
        <f>35700/60840</f>
        <v>0.58678500986193294</v>
      </c>
      <c r="I73" s="25">
        <f>67720/55080</f>
        <v>1.2294843863471314</v>
      </c>
      <c r="J73" s="25">
        <f>135200/52540</f>
        <v>2.5732775028549675</v>
      </c>
      <c r="K73" s="25">
        <f>210600/54880</f>
        <v>3.8374635568513118</v>
      </c>
      <c r="L73" s="25">
        <f t="shared" si="8"/>
        <v>0.64269937648519848</v>
      </c>
      <c r="M73" s="25">
        <f t="shared" si="9"/>
        <v>1.9864924929930345</v>
      </c>
      <c r="N73" s="25">
        <f t="shared" si="10"/>
        <v>3.2506785469893789</v>
      </c>
      <c r="O73" s="25">
        <v>1</v>
      </c>
      <c r="P73" s="25">
        <f>32800/52540</f>
        <v>0.62428625808907501</v>
      </c>
      <c r="Q73" s="25">
        <f>59830/54880</f>
        <v>1.0901967930029155</v>
      </c>
      <c r="R73" s="25">
        <v>28.409306742640076</v>
      </c>
      <c r="S73" s="25">
        <v>0</v>
      </c>
    </row>
    <row r="74" spans="1:20" x14ac:dyDescent="0.25">
      <c r="A74" s="31" t="s">
        <v>18</v>
      </c>
      <c r="B74" s="26" t="s">
        <v>19</v>
      </c>
      <c r="C74" s="26">
        <v>1</v>
      </c>
      <c r="D74" s="26" t="s">
        <v>23</v>
      </c>
      <c r="E74" s="25" t="s">
        <v>24</v>
      </c>
      <c r="F74" s="25" t="str">
        <f t="shared" si="7"/>
        <v>M82_1_0,1</v>
      </c>
      <c r="G74" s="25">
        <v>5</v>
      </c>
      <c r="H74" s="25">
        <f>38420/58730</f>
        <v>0.65418014643282818</v>
      </c>
      <c r="I74" s="25">
        <f>68200/86090</f>
        <v>0.79219421535602275</v>
      </c>
      <c r="J74" s="25">
        <f>69810/57630</f>
        <v>1.211348256116606</v>
      </c>
      <c r="K74" s="25">
        <f>86310/53440</f>
        <v>1.6150823353293413</v>
      </c>
      <c r="L74" s="25">
        <f t="shared" si="8"/>
        <v>0.13801406892319457</v>
      </c>
      <c r="M74" s="25">
        <f t="shared" si="9"/>
        <v>0.55716810968377783</v>
      </c>
      <c r="N74" s="25">
        <f t="shared" si="10"/>
        <v>0.96090218889651313</v>
      </c>
      <c r="O74" s="25">
        <v>1</v>
      </c>
      <c r="P74" s="25">
        <f>55234/57630</f>
        <v>0.95842443171959046</v>
      </c>
      <c r="Q74" s="25">
        <f>66100/53440</f>
        <v>1.2369011976047903</v>
      </c>
      <c r="R74" s="25">
        <v>76.584405051558335</v>
      </c>
      <c r="S74" s="25">
        <v>0</v>
      </c>
    </row>
    <row r="75" spans="1:20" x14ac:dyDescent="0.25">
      <c r="A75" s="31" t="s">
        <v>18</v>
      </c>
      <c r="B75" s="26" t="s">
        <v>19</v>
      </c>
      <c r="C75" s="26">
        <v>1</v>
      </c>
      <c r="D75" s="26" t="s">
        <v>23</v>
      </c>
      <c r="E75" s="25" t="s">
        <v>24</v>
      </c>
      <c r="F75" s="25" t="str">
        <f t="shared" si="7"/>
        <v>M82_1_0,1</v>
      </c>
      <c r="G75" s="25">
        <v>5</v>
      </c>
      <c r="H75" s="25">
        <f>40600/58730</f>
        <v>0.69129916567342076</v>
      </c>
      <c r="I75" s="25">
        <f>64910/86090</f>
        <v>0.75397839470321759</v>
      </c>
      <c r="J75" s="25">
        <f>47040/57630</f>
        <v>0.81624154086413325</v>
      </c>
      <c r="K75" s="25">
        <f>74980/53440</f>
        <v>1.403068862275449</v>
      </c>
      <c r="L75" s="25">
        <f t="shared" si="8"/>
        <v>6.2679229029796835E-2</v>
      </c>
      <c r="M75" s="25">
        <f t="shared" si="9"/>
        <v>0.1249423751907125</v>
      </c>
      <c r="N75" s="25">
        <f t="shared" si="10"/>
        <v>0.71176969660202827</v>
      </c>
      <c r="O75" s="25">
        <v>1</v>
      </c>
      <c r="P75" s="25">
        <f>21220/57630</f>
        <v>0.36821100121464517</v>
      </c>
      <c r="Q75" s="25">
        <f>51830/53440</f>
        <v>0.96987275449101795</v>
      </c>
      <c r="R75" s="25">
        <v>69.125100026673778</v>
      </c>
      <c r="S75" s="25">
        <v>0</v>
      </c>
    </row>
    <row r="76" spans="1:20" x14ac:dyDescent="0.25">
      <c r="A76" s="31" t="s">
        <v>18</v>
      </c>
      <c r="B76" s="26" t="s">
        <v>19</v>
      </c>
      <c r="C76" s="26">
        <v>1</v>
      </c>
      <c r="D76" s="26" t="s">
        <v>23</v>
      </c>
      <c r="E76" s="25" t="s">
        <v>24</v>
      </c>
      <c r="F76" s="25" t="str">
        <f t="shared" si="7"/>
        <v>M82_1_0,1</v>
      </c>
      <c r="G76" s="25">
        <v>5</v>
      </c>
      <c r="H76" s="25">
        <f>40980/58730</f>
        <v>0.6977694534309552</v>
      </c>
      <c r="I76" s="25">
        <f>61790/86090</f>
        <v>0.71773725171332325</v>
      </c>
      <c r="J76" s="25">
        <f>66550/57630</f>
        <v>1.1547804962693042</v>
      </c>
      <c r="K76" s="25">
        <f>175100/53440</f>
        <v>3.2765718562874251</v>
      </c>
      <c r="L76" s="25">
        <f t="shared" si="8"/>
        <v>1.9967798282368054E-2</v>
      </c>
      <c r="M76" s="25">
        <f t="shared" si="9"/>
        <v>0.45701104283834904</v>
      </c>
      <c r="N76" s="25">
        <f t="shared" si="10"/>
        <v>2.57880240285647</v>
      </c>
      <c r="O76" s="25">
        <v>1</v>
      </c>
      <c r="P76" s="25">
        <f>48235/57630</f>
        <v>0.83697726878361967</v>
      </c>
      <c r="Q76" s="25">
        <f>127100/53440</f>
        <v>2.3783682634730541</v>
      </c>
      <c r="R76" s="25">
        <v>72.587093089663057</v>
      </c>
      <c r="S76" s="25">
        <v>0</v>
      </c>
    </row>
    <row r="77" spans="1:20" x14ac:dyDescent="0.25">
      <c r="A77" s="31" t="s">
        <v>22</v>
      </c>
      <c r="B77" s="26" t="s">
        <v>19</v>
      </c>
      <c r="C77" s="26">
        <v>1</v>
      </c>
      <c r="D77" s="26" t="s">
        <v>23</v>
      </c>
      <c r="E77" s="25" t="s">
        <v>24</v>
      </c>
      <c r="F77" s="25" t="str">
        <f t="shared" si="7"/>
        <v>M82_1_0,1</v>
      </c>
      <c r="O77" s="25">
        <v>1</v>
      </c>
      <c r="S77" s="25">
        <v>0</v>
      </c>
    </row>
    <row r="78" spans="1:20" x14ac:dyDescent="0.25">
      <c r="A78" s="31" t="s">
        <v>25</v>
      </c>
      <c r="B78" s="26" t="s">
        <v>19</v>
      </c>
      <c r="C78" s="26">
        <v>1</v>
      </c>
      <c r="D78" s="26" t="s">
        <v>23</v>
      </c>
      <c r="E78" s="25" t="s">
        <v>24</v>
      </c>
      <c r="F78" s="25" t="str">
        <f t="shared" si="7"/>
        <v>M82_1_0,1</v>
      </c>
      <c r="G78" s="25">
        <v>3</v>
      </c>
      <c r="H78" s="25">
        <f>21280/60840</f>
        <v>0.34976988823142668</v>
      </c>
      <c r="I78" s="25">
        <f>36350/55080</f>
        <v>0.65994916485112565</v>
      </c>
      <c r="J78" s="25">
        <f>42530/52540</f>
        <v>0.80947849257708415</v>
      </c>
      <c r="L78" s="25">
        <f>I78-H78</f>
        <v>0.31017927661969896</v>
      </c>
      <c r="M78" s="25">
        <f>J78-H78</f>
        <v>0.45970860434565747</v>
      </c>
      <c r="O78" s="25">
        <v>0</v>
      </c>
    </row>
    <row r="79" spans="1:20" x14ac:dyDescent="0.25">
      <c r="A79" s="31" t="s">
        <v>22</v>
      </c>
      <c r="B79" s="26" t="s">
        <v>19</v>
      </c>
      <c r="C79" s="26">
        <v>1</v>
      </c>
      <c r="D79" s="26" t="s">
        <v>23</v>
      </c>
      <c r="E79" s="25" t="s">
        <v>24</v>
      </c>
      <c r="F79" s="25" t="str">
        <f t="shared" si="7"/>
        <v>M82_1_0,1</v>
      </c>
      <c r="O79" s="25">
        <v>0</v>
      </c>
    </row>
    <row r="80" spans="1:20" x14ac:dyDescent="0.25">
      <c r="A80" s="31" t="s">
        <v>22</v>
      </c>
      <c r="B80" s="26" t="s">
        <v>19</v>
      </c>
      <c r="C80" s="26">
        <v>1</v>
      </c>
      <c r="D80" s="26" t="s">
        <v>23</v>
      </c>
      <c r="E80" s="25" t="s">
        <v>24</v>
      </c>
      <c r="F80" s="25" t="str">
        <f t="shared" si="7"/>
        <v>M82_1_0,1</v>
      </c>
      <c r="O80" s="25">
        <v>0</v>
      </c>
    </row>
    <row r="81" spans="1:20" x14ac:dyDescent="0.25">
      <c r="A81" s="31" t="s">
        <v>22</v>
      </c>
      <c r="B81" s="26" t="s">
        <v>19</v>
      </c>
      <c r="C81" s="26">
        <v>1</v>
      </c>
      <c r="D81" s="26" t="s">
        <v>23</v>
      </c>
      <c r="E81" s="25" t="s">
        <v>24</v>
      </c>
      <c r="F81" s="25" t="str">
        <f t="shared" si="7"/>
        <v>M82_1_0,1</v>
      </c>
      <c r="O81" s="25">
        <v>0</v>
      </c>
    </row>
    <row r="82" spans="1:20" x14ac:dyDescent="0.25">
      <c r="A82" s="31" t="s">
        <v>22</v>
      </c>
      <c r="B82" s="26" t="s">
        <v>19</v>
      </c>
      <c r="C82" s="26">
        <v>1</v>
      </c>
      <c r="D82" s="26" t="s">
        <v>23</v>
      </c>
      <c r="E82" s="25" t="s">
        <v>24</v>
      </c>
      <c r="F82" s="25" t="str">
        <f t="shared" si="7"/>
        <v>M82_1_0,1</v>
      </c>
      <c r="O82" s="25">
        <v>0</v>
      </c>
    </row>
    <row r="83" spans="1:20" x14ac:dyDescent="0.25">
      <c r="A83" s="31" t="s">
        <v>22</v>
      </c>
      <c r="B83" s="26" t="s">
        <v>19</v>
      </c>
      <c r="C83" s="26">
        <v>1</v>
      </c>
      <c r="D83" s="26" t="s">
        <v>23</v>
      </c>
      <c r="E83" s="25" t="s">
        <v>24</v>
      </c>
      <c r="F83" s="25" t="str">
        <f t="shared" si="7"/>
        <v>M82_1_0,1</v>
      </c>
      <c r="O83" s="25">
        <v>0</v>
      </c>
    </row>
    <row r="84" spans="1:20" x14ac:dyDescent="0.25">
      <c r="A84" s="31" t="s">
        <v>22</v>
      </c>
      <c r="B84" s="26" t="s">
        <v>19</v>
      </c>
      <c r="C84" s="26">
        <v>1</v>
      </c>
      <c r="D84" s="26" t="s">
        <v>23</v>
      </c>
      <c r="E84" s="25" t="s">
        <v>24</v>
      </c>
      <c r="F84" s="25" t="str">
        <f t="shared" si="7"/>
        <v>M82_1_0,1</v>
      </c>
      <c r="O84" s="25">
        <v>0</v>
      </c>
    </row>
    <row r="85" spans="1:20" x14ac:dyDescent="0.25">
      <c r="A85" s="31" t="s">
        <v>22</v>
      </c>
      <c r="B85" s="26" t="s">
        <v>19</v>
      </c>
      <c r="C85" s="26">
        <v>1</v>
      </c>
      <c r="D85" s="26" t="s">
        <v>23</v>
      </c>
      <c r="E85" s="25" t="s">
        <v>24</v>
      </c>
      <c r="F85" s="25" t="str">
        <f t="shared" si="7"/>
        <v>M82_1_0,1</v>
      </c>
      <c r="O85" s="25">
        <v>0</v>
      </c>
    </row>
    <row r="86" spans="1:20" x14ac:dyDescent="0.25">
      <c r="A86" s="31" t="s">
        <v>22</v>
      </c>
      <c r="B86" s="26" t="s">
        <v>19</v>
      </c>
      <c r="C86" s="26">
        <v>1</v>
      </c>
      <c r="D86" s="26" t="s">
        <v>23</v>
      </c>
      <c r="E86" s="25" t="s">
        <v>24</v>
      </c>
      <c r="F86" s="25" t="str">
        <f t="shared" si="7"/>
        <v>M82_1_0,1</v>
      </c>
      <c r="O86" s="25">
        <v>0</v>
      </c>
    </row>
    <row r="87" spans="1:20" x14ac:dyDescent="0.25">
      <c r="A87" s="31" t="s">
        <v>22</v>
      </c>
      <c r="B87" s="26" t="s">
        <v>19</v>
      </c>
      <c r="C87" s="26">
        <v>1</v>
      </c>
      <c r="D87" s="26" t="s">
        <v>23</v>
      </c>
      <c r="E87" s="25" t="s">
        <v>24</v>
      </c>
      <c r="F87" s="25" t="str">
        <f t="shared" si="7"/>
        <v>M82_1_0,1</v>
      </c>
      <c r="O87" s="25">
        <v>0</v>
      </c>
    </row>
    <row r="88" spans="1:20" x14ac:dyDescent="0.25">
      <c r="A88" s="31" t="s">
        <v>22</v>
      </c>
      <c r="B88" s="26" t="s">
        <v>19</v>
      </c>
      <c r="C88" s="26">
        <v>1</v>
      </c>
      <c r="D88" s="26" t="s">
        <v>23</v>
      </c>
      <c r="E88" s="25" t="s">
        <v>24</v>
      </c>
      <c r="F88" s="25" t="str">
        <f t="shared" si="7"/>
        <v>M82_1_0,1</v>
      </c>
      <c r="O88" s="25">
        <v>0</v>
      </c>
    </row>
    <row r="89" spans="1:20" x14ac:dyDescent="0.25">
      <c r="A89" s="31" t="s">
        <v>22</v>
      </c>
      <c r="B89" s="26" t="s">
        <v>19</v>
      </c>
      <c r="C89" s="26">
        <v>1</v>
      </c>
      <c r="D89" s="26" t="s">
        <v>23</v>
      </c>
      <c r="E89" s="25" t="s">
        <v>24</v>
      </c>
      <c r="F89" s="25" t="str">
        <f t="shared" si="7"/>
        <v>M82_1_0,1</v>
      </c>
      <c r="O89" s="25">
        <v>0</v>
      </c>
    </row>
    <row r="90" spans="1:20" x14ac:dyDescent="0.25">
      <c r="A90" s="31" t="s">
        <v>22</v>
      </c>
      <c r="B90" s="26" t="s">
        <v>19</v>
      </c>
      <c r="C90" s="26">
        <v>1</v>
      </c>
      <c r="D90" s="26" t="s">
        <v>23</v>
      </c>
      <c r="E90" s="25" t="s">
        <v>24</v>
      </c>
      <c r="F90" s="25" t="str">
        <f t="shared" si="7"/>
        <v>M82_1_0,1</v>
      </c>
      <c r="O90" s="25">
        <v>0</v>
      </c>
    </row>
    <row r="91" spans="1:20" s="27" customFormat="1" ht="15.75" thickBot="1" x14ac:dyDescent="0.3">
      <c r="A91" s="30" t="s">
        <v>22</v>
      </c>
      <c r="B91" s="29" t="s">
        <v>19</v>
      </c>
      <c r="C91" s="29">
        <v>1</v>
      </c>
      <c r="D91" s="29" t="s">
        <v>23</v>
      </c>
      <c r="E91" s="28" t="s">
        <v>24</v>
      </c>
      <c r="F91" s="28" t="str">
        <f t="shared" si="7"/>
        <v>M82_1_0,1</v>
      </c>
      <c r="G91" s="28"/>
      <c r="H91" s="28"/>
      <c r="I91" s="28"/>
      <c r="J91" s="28"/>
      <c r="K91" s="28"/>
      <c r="L91" s="28"/>
      <c r="M91" s="28"/>
      <c r="N91" s="28"/>
      <c r="O91" s="28">
        <v>0</v>
      </c>
      <c r="P91" s="28"/>
      <c r="Q91" s="28"/>
      <c r="R91" s="28"/>
      <c r="S91" s="28"/>
      <c r="T91" s="28"/>
    </row>
    <row r="92" spans="1:20" x14ac:dyDescent="0.25">
      <c r="A92" s="26" t="s">
        <v>22</v>
      </c>
      <c r="B92" s="26" t="s">
        <v>19</v>
      </c>
      <c r="C92" s="26">
        <v>1</v>
      </c>
      <c r="D92" s="26" t="s">
        <v>26</v>
      </c>
      <c r="E92" s="25" t="s">
        <v>27</v>
      </c>
      <c r="F92" s="25" t="str">
        <f t="shared" si="7"/>
        <v>M82_1_0,5</v>
      </c>
      <c r="O92" s="36">
        <v>1</v>
      </c>
      <c r="S92" s="25">
        <v>1</v>
      </c>
      <c r="T92" s="25">
        <v>45</v>
      </c>
    </row>
    <row r="93" spans="1:20" x14ac:dyDescent="0.25">
      <c r="A93" s="26" t="s">
        <v>22</v>
      </c>
      <c r="B93" s="26" t="s">
        <v>19</v>
      </c>
      <c r="C93" s="26">
        <v>1</v>
      </c>
      <c r="D93" s="26" t="s">
        <v>26</v>
      </c>
      <c r="E93" s="25" t="s">
        <v>27</v>
      </c>
      <c r="F93" s="25" t="str">
        <f t="shared" si="7"/>
        <v>M82_1_0,5</v>
      </c>
      <c r="O93" s="36">
        <v>1</v>
      </c>
      <c r="S93" s="25">
        <v>1</v>
      </c>
      <c r="T93" s="25">
        <v>35</v>
      </c>
    </row>
    <row r="94" spans="1:20" x14ac:dyDescent="0.25">
      <c r="A94" s="26" t="s">
        <v>25</v>
      </c>
      <c r="B94" s="26" t="s">
        <v>19</v>
      </c>
      <c r="C94" s="26">
        <v>1</v>
      </c>
      <c r="D94" s="26" t="s">
        <v>26</v>
      </c>
      <c r="E94" s="25" t="s">
        <v>27</v>
      </c>
      <c r="F94" s="25" t="str">
        <f t="shared" si="7"/>
        <v>M82_1_0,5</v>
      </c>
      <c r="G94" s="25">
        <v>4</v>
      </c>
      <c r="H94" s="25">
        <f>30290/60840</f>
        <v>0.49786324786324787</v>
      </c>
      <c r="I94" s="25">
        <f>68450/55080</f>
        <v>1.2427378358750907</v>
      </c>
      <c r="J94" s="25">
        <f>109000/52540</f>
        <v>2.0746098210886945</v>
      </c>
      <c r="K94" s="25">
        <f>141700/54880</f>
        <v>2.5819970845481048</v>
      </c>
      <c r="L94" s="25">
        <f>I94-H94</f>
        <v>0.74487458801184281</v>
      </c>
      <c r="M94" s="25">
        <f>J94-H94</f>
        <v>1.5767465732254466</v>
      </c>
      <c r="N94" s="25">
        <f>K94-H94</f>
        <v>2.084133836684857</v>
      </c>
      <c r="O94" s="25">
        <v>1</v>
      </c>
      <c r="P94" s="25">
        <f>97400/52540</f>
        <v>1.8538256566425582</v>
      </c>
      <c r="Q94" s="25">
        <f>129900/54880</f>
        <v>2.3669825072886299</v>
      </c>
      <c r="R94" s="25">
        <v>91.672547635850393</v>
      </c>
      <c r="S94" s="25">
        <v>1</v>
      </c>
      <c r="T94" s="25">
        <v>34</v>
      </c>
    </row>
    <row r="95" spans="1:20" x14ac:dyDescent="0.25">
      <c r="A95" s="26" t="s">
        <v>22</v>
      </c>
      <c r="B95" s="26" t="s">
        <v>19</v>
      </c>
      <c r="C95" s="26">
        <v>1</v>
      </c>
      <c r="D95" s="26" t="s">
        <v>26</v>
      </c>
      <c r="E95" s="25" t="s">
        <v>27</v>
      </c>
      <c r="F95" s="25" t="str">
        <f t="shared" si="7"/>
        <v>M82_1_0,5</v>
      </c>
      <c r="O95" s="36">
        <v>1</v>
      </c>
      <c r="S95" s="25">
        <v>1</v>
      </c>
      <c r="T95" s="25">
        <v>31</v>
      </c>
    </row>
    <row r="96" spans="1:20" x14ac:dyDescent="0.25">
      <c r="A96" s="26" t="s">
        <v>22</v>
      </c>
      <c r="B96" s="26" t="s">
        <v>19</v>
      </c>
      <c r="C96" s="26">
        <v>1</v>
      </c>
      <c r="D96" s="26" t="s">
        <v>26</v>
      </c>
      <c r="E96" s="25" t="s">
        <v>27</v>
      </c>
      <c r="F96" s="25" t="str">
        <f t="shared" si="7"/>
        <v>M82_1_0,5</v>
      </c>
      <c r="O96" s="36">
        <v>1</v>
      </c>
      <c r="S96" s="25">
        <v>1</v>
      </c>
      <c r="T96" s="25">
        <v>25</v>
      </c>
    </row>
    <row r="97" spans="1:20" x14ac:dyDescent="0.25">
      <c r="A97" s="26" t="s">
        <v>22</v>
      </c>
      <c r="B97" s="26" t="s">
        <v>19</v>
      </c>
      <c r="C97" s="26">
        <v>1</v>
      </c>
      <c r="D97" s="26" t="s">
        <v>26</v>
      </c>
      <c r="E97" s="25" t="s">
        <v>27</v>
      </c>
      <c r="F97" s="25" t="str">
        <f t="shared" si="7"/>
        <v>M82_1_0,5</v>
      </c>
      <c r="O97" s="36">
        <v>1</v>
      </c>
      <c r="S97" s="25">
        <v>1</v>
      </c>
      <c r="T97" s="25">
        <v>23</v>
      </c>
    </row>
    <row r="98" spans="1:20" x14ac:dyDescent="0.25">
      <c r="A98" s="26" t="s">
        <v>22</v>
      </c>
      <c r="B98" s="26" t="s">
        <v>19</v>
      </c>
      <c r="C98" s="26">
        <v>1</v>
      </c>
      <c r="D98" s="26" t="s">
        <v>26</v>
      </c>
      <c r="E98" s="25" t="s">
        <v>27</v>
      </c>
      <c r="F98" s="25" t="str">
        <f t="shared" si="7"/>
        <v>M82_1_0,5</v>
      </c>
      <c r="O98" s="36">
        <v>1</v>
      </c>
      <c r="S98" s="25">
        <v>1</v>
      </c>
      <c r="T98" s="25">
        <v>20</v>
      </c>
    </row>
    <row r="99" spans="1:20" x14ac:dyDescent="0.25">
      <c r="A99" s="26" t="s">
        <v>22</v>
      </c>
      <c r="B99" s="26" t="s">
        <v>19</v>
      </c>
      <c r="C99" s="26">
        <v>1</v>
      </c>
      <c r="D99" s="26" t="s">
        <v>26</v>
      </c>
      <c r="E99" s="25" t="s">
        <v>27</v>
      </c>
      <c r="F99" s="25" t="str">
        <f t="shared" si="7"/>
        <v>M82_1_0,5</v>
      </c>
      <c r="O99" s="36">
        <v>1</v>
      </c>
      <c r="S99" s="25">
        <v>1</v>
      </c>
      <c r="T99" s="25">
        <v>20</v>
      </c>
    </row>
    <row r="100" spans="1:20" x14ac:dyDescent="0.25">
      <c r="A100" s="26" t="s">
        <v>22</v>
      </c>
      <c r="B100" s="26" t="s">
        <v>19</v>
      </c>
      <c r="C100" s="26">
        <v>1</v>
      </c>
      <c r="D100" s="26" t="s">
        <v>26</v>
      </c>
      <c r="E100" s="25" t="s">
        <v>27</v>
      </c>
      <c r="F100" s="25" t="str">
        <f t="shared" si="7"/>
        <v>M82_1_0,5</v>
      </c>
      <c r="O100" s="36">
        <v>1</v>
      </c>
      <c r="S100" s="25">
        <v>1</v>
      </c>
      <c r="T100" s="25">
        <v>19</v>
      </c>
    </row>
    <row r="101" spans="1:20" x14ac:dyDescent="0.25">
      <c r="A101" s="26" t="s">
        <v>22</v>
      </c>
      <c r="B101" s="26" t="s">
        <v>19</v>
      </c>
      <c r="C101" s="26">
        <v>1</v>
      </c>
      <c r="D101" s="26" t="s">
        <v>26</v>
      </c>
      <c r="E101" s="25" t="s">
        <v>27</v>
      </c>
      <c r="F101" s="25" t="str">
        <f t="shared" si="7"/>
        <v>M82_1_0,5</v>
      </c>
      <c r="O101" s="36">
        <v>1</v>
      </c>
      <c r="S101" s="25">
        <v>1</v>
      </c>
      <c r="T101" s="25">
        <v>18</v>
      </c>
    </row>
    <row r="102" spans="1:20" x14ac:dyDescent="0.25">
      <c r="A102" s="26" t="s">
        <v>22</v>
      </c>
      <c r="B102" s="26" t="s">
        <v>19</v>
      </c>
      <c r="C102" s="26">
        <v>1</v>
      </c>
      <c r="D102" s="26" t="s">
        <v>26</v>
      </c>
      <c r="E102" s="25" t="s">
        <v>27</v>
      </c>
      <c r="F102" s="25" t="str">
        <f t="shared" si="7"/>
        <v>M82_1_0,5</v>
      </c>
      <c r="O102" s="36">
        <v>1</v>
      </c>
      <c r="S102" s="25">
        <v>1</v>
      </c>
      <c r="T102" s="25">
        <v>18</v>
      </c>
    </row>
    <row r="103" spans="1:20" x14ac:dyDescent="0.25">
      <c r="A103" s="26" t="s">
        <v>22</v>
      </c>
      <c r="B103" s="26" t="s">
        <v>19</v>
      </c>
      <c r="C103" s="26">
        <v>1</v>
      </c>
      <c r="D103" s="26" t="s">
        <v>26</v>
      </c>
      <c r="E103" s="25" t="s">
        <v>27</v>
      </c>
      <c r="F103" s="25" t="str">
        <f t="shared" si="7"/>
        <v>M82_1_0,5</v>
      </c>
      <c r="O103" s="36">
        <v>1</v>
      </c>
      <c r="S103" s="25">
        <v>1</v>
      </c>
      <c r="T103" s="25">
        <v>17</v>
      </c>
    </row>
    <row r="104" spans="1:20" x14ac:dyDescent="0.25">
      <c r="A104" s="26" t="s">
        <v>22</v>
      </c>
      <c r="B104" s="26" t="s">
        <v>19</v>
      </c>
      <c r="C104" s="26">
        <v>1</v>
      </c>
      <c r="D104" s="26" t="s">
        <v>26</v>
      </c>
      <c r="E104" s="25" t="s">
        <v>27</v>
      </c>
      <c r="F104" s="25" t="str">
        <f t="shared" si="7"/>
        <v>M82_1_0,5</v>
      </c>
      <c r="O104" s="36">
        <v>1</v>
      </c>
      <c r="S104" s="25">
        <v>1</v>
      </c>
      <c r="T104" s="25">
        <v>15</v>
      </c>
    </row>
    <row r="105" spans="1:20" x14ac:dyDescent="0.25">
      <c r="A105" s="26" t="s">
        <v>22</v>
      </c>
      <c r="B105" s="26" t="s">
        <v>19</v>
      </c>
      <c r="C105" s="26">
        <v>1</v>
      </c>
      <c r="D105" s="26" t="s">
        <v>26</v>
      </c>
      <c r="E105" s="25" t="s">
        <v>27</v>
      </c>
      <c r="F105" s="25" t="str">
        <f t="shared" si="7"/>
        <v>M82_1_0,5</v>
      </c>
      <c r="O105" s="36">
        <v>1</v>
      </c>
      <c r="S105" s="25">
        <v>1</v>
      </c>
      <c r="T105" s="25">
        <v>14</v>
      </c>
    </row>
    <row r="106" spans="1:20" x14ac:dyDescent="0.25">
      <c r="A106" s="26" t="s">
        <v>22</v>
      </c>
      <c r="B106" s="26" t="s">
        <v>19</v>
      </c>
      <c r="C106" s="26">
        <v>1</v>
      </c>
      <c r="D106" s="26" t="s">
        <v>26</v>
      </c>
      <c r="E106" s="25" t="s">
        <v>27</v>
      </c>
      <c r="F106" s="25" t="str">
        <f t="shared" si="7"/>
        <v>M82_1_0,5</v>
      </c>
      <c r="O106" s="36">
        <v>1</v>
      </c>
      <c r="S106" s="25">
        <v>1</v>
      </c>
      <c r="T106" s="25">
        <v>14</v>
      </c>
    </row>
    <row r="107" spans="1:20" x14ac:dyDescent="0.25">
      <c r="A107" s="26" t="s">
        <v>18</v>
      </c>
      <c r="B107" s="26" t="s">
        <v>19</v>
      </c>
      <c r="C107" s="26">
        <v>1</v>
      </c>
      <c r="D107" s="26" t="s">
        <v>26</v>
      </c>
      <c r="E107" s="25" t="s">
        <v>27</v>
      </c>
      <c r="F107" s="25" t="str">
        <f t="shared" si="7"/>
        <v>M82_1_0,5</v>
      </c>
      <c r="G107" s="25">
        <v>4</v>
      </c>
      <c r="H107" s="25">
        <f>30720/58730</f>
        <v>0.52307168397752424</v>
      </c>
      <c r="I107" s="25">
        <f>56550/54310</f>
        <v>1.0412447063155956</v>
      </c>
      <c r="J107" s="25">
        <f>72500/54310</f>
        <v>1.3349291106610202</v>
      </c>
      <c r="L107" s="25">
        <f>I107-H107</f>
        <v>0.51817302233807139</v>
      </c>
      <c r="M107" s="25">
        <f>J107-H107</f>
        <v>0.81185742668349592</v>
      </c>
      <c r="O107" s="25">
        <v>1</v>
      </c>
      <c r="S107" s="25">
        <v>1</v>
      </c>
      <c r="T107" s="25">
        <v>14</v>
      </c>
    </row>
    <row r="108" spans="1:20" x14ac:dyDescent="0.25">
      <c r="A108" s="26" t="s">
        <v>18</v>
      </c>
      <c r="B108" s="26" t="s">
        <v>19</v>
      </c>
      <c r="C108" s="26">
        <v>1</v>
      </c>
      <c r="D108" s="26" t="s">
        <v>26</v>
      </c>
      <c r="E108" s="25" t="s">
        <v>27</v>
      </c>
      <c r="F108" s="25" t="str">
        <f t="shared" si="7"/>
        <v>M82_1_0,5</v>
      </c>
      <c r="G108" s="25">
        <v>6</v>
      </c>
      <c r="H108" s="25">
        <f>57060/58730</f>
        <v>0.97156478801294055</v>
      </c>
      <c r="I108" s="25">
        <f>62550/54310</f>
        <v>1.1517215982323696</v>
      </c>
      <c r="J108" s="25">
        <f>110000/54310</f>
        <v>2.0254096851408581</v>
      </c>
      <c r="L108" s="25">
        <f>I108-H108</f>
        <v>0.18015681021942909</v>
      </c>
      <c r="M108" s="25">
        <f>J108-H108</f>
        <v>1.0538448971279175</v>
      </c>
      <c r="O108" s="25">
        <v>1</v>
      </c>
      <c r="S108" s="25">
        <v>1</v>
      </c>
      <c r="T108" s="25">
        <v>14</v>
      </c>
    </row>
    <row r="109" spans="1:20" x14ac:dyDescent="0.25">
      <c r="A109" s="26" t="s">
        <v>22</v>
      </c>
      <c r="B109" s="26" t="s">
        <v>19</v>
      </c>
      <c r="C109" s="26">
        <v>1</v>
      </c>
      <c r="D109" s="26" t="s">
        <v>26</v>
      </c>
      <c r="E109" s="25" t="s">
        <v>27</v>
      </c>
      <c r="F109" s="25" t="str">
        <f t="shared" si="7"/>
        <v>M82_1_0,5</v>
      </c>
      <c r="O109" s="36">
        <v>1</v>
      </c>
      <c r="S109" s="25">
        <v>1</v>
      </c>
      <c r="T109" s="25">
        <v>12</v>
      </c>
    </row>
    <row r="110" spans="1:20" x14ac:dyDescent="0.25">
      <c r="A110" s="26" t="s">
        <v>25</v>
      </c>
      <c r="B110" s="26" t="s">
        <v>19</v>
      </c>
      <c r="C110" s="26">
        <v>1</v>
      </c>
      <c r="D110" s="26" t="s">
        <v>26</v>
      </c>
      <c r="E110" s="25" t="s">
        <v>27</v>
      </c>
      <c r="F110" s="25" t="str">
        <f t="shared" si="7"/>
        <v>M82_1_0,5</v>
      </c>
      <c r="G110" s="25">
        <v>2</v>
      </c>
      <c r="H110" s="25">
        <f>11850/60840</f>
        <v>0.19477317554240631</v>
      </c>
      <c r="I110" s="25">
        <f>35190/55080</f>
        <v>0.63888888888888884</v>
      </c>
      <c r="J110" s="25">
        <f>44780/52540</f>
        <v>0.85230300723258468</v>
      </c>
      <c r="L110" s="25">
        <f>I110-H110</f>
        <v>0.44411571334648253</v>
      </c>
      <c r="M110" s="25">
        <f>J110-H110</f>
        <v>0.65752983169017831</v>
      </c>
      <c r="O110" s="25">
        <v>1</v>
      </c>
      <c r="P110" s="25">
        <f>17580/52540</f>
        <v>0.33460220784164446</v>
      </c>
      <c r="S110" s="25">
        <v>1</v>
      </c>
      <c r="T110" s="25">
        <v>12</v>
      </c>
    </row>
    <row r="111" spans="1:20" x14ac:dyDescent="0.25">
      <c r="A111" s="26" t="s">
        <v>18</v>
      </c>
      <c r="B111" s="26" t="s">
        <v>19</v>
      </c>
      <c r="C111" s="26">
        <v>1</v>
      </c>
      <c r="D111" s="26" t="s">
        <v>26</v>
      </c>
      <c r="E111" s="25" t="s">
        <v>27</v>
      </c>
      <c r="F111" s="25" t="str">
        <f t="shared" si="7"/>
        <v>M82_1_0,5</v>
      </c>
      <c r="G111" s="25">
        <v>6</v>
      </c>
      <c r="H111" s="25">
        <f>52790/58730</f>
        <v>0.89885918610590843</v>
      </c>
      <c r="I111" s="25">
        <f>86830/86090</f>
        <v>1.0085956557091416</v>
      </c>
      <c r="J111" s="25">
        <f>73270/64310</f>
        <v>1.1393251438345513</v>
      </c>
      <c r="L111" s="25">
        <f>I111-H111</f>
        <v>0.10973646960323313</v>
      </c>
      <c r="M111" s="25">
        <f>J111-H111</f>
        <v>0.24046595772864288</v>
      </c>
      <c r="O111" s="25">
        <v>1</v>
      </c>
      <c r="S111" s="25">
        <v>1</v>
      </c>
      <c r="T111" s="25">
        <v>12</v>
      </c>
    </row>
    <row r="112" spans="1:20" x14ac:dyDescent="0.25">
      <c r="A112" s="26" t="s">
        <v>25</v>
      </c>
      <c r="B112" s="26" t="s">
        <v>19</v>
      </c>
      <c r="C112" s="26">
        <v>1</v>
      </c>
      <c r="D112" s="26" t="s">
        <v>26</v>
      </c>
      <c r="E112" s="25" t="s">
        <v>27</v>
      </c>
      <c r="F112" s="25" t="str">
        <f t="shared" si="7"/>
        <v>M82_1_0,5</v>
      </c>
      <c r="G112" s="25">
        <v>3</v>
      </c>
      <c r="H112" s="25">
        <f>27200/60840</f>
        <v>0.44707429322813941</v>
      </c>
      <c r="I112" s="25">
        <f>58900/55080</f>
        <v>1.0693536673928832</v>
      </c>
      <c r="J112" s="25">
        <f>111000/52540</f>
        <v>2.112676056338028</v>
      </c>
      <c r="K112" s="25">
        <f>133700/54880</f>
        <v>2.4362244897959182</v>
      </c>
      <c r="L112" s="25">
        <f>I112-H112</f>
        <v>0.62227937416474377</v>
      </c>
      <c r="M112" s="25">
        <f>J112-H112</f>
        <v>1.6656017631098887</v>
      </c>
      <c r="N112" s="25">
        <f>K112-H112</f>
        <v>1.9891501965677789</v>
      </c>
      <c r="O112" s="25">
        <v>1</v>
      </c>
      <c r="P112" s="25">
        <f>93300/52540</f>
        <v>1.7757898743814238</v>
      </c>
      <c r="Q112" s="25">
        <f>123800/54880</f>
        <v>2.2558309037900877</v>
      </c>
      <c r="R112" s="25">
        <v>92.59536275243083</v>
      </c>
      <c r="S112" s="25">
        <v>1</v>
      </c>
      <c r="T112" s="25">
        <v>10</v>
      </c>
    </row>
    <row r="113" spans="1:20" x14ac:dyDescent="0.25">
      <c r="A113" s="26" t="s">
        <v>22</v>
      </c>
      <c r="B113" s="26" t="s">
        <v>19</v>
      </c>
      <c r="C113" s="26">
        <v>1</v>
      </c>
      <c r="D113" s="26" t="s">
        <v>26</v>
      </c>
      <c r="E113" s="25" t="s">
        <v>27</v>
      </c>
      <c r="F113" s="25" t="str">
        <f t="shared" si="7"/>
        <v>M82_1_0,5</v>
      </c>
      <c r="O113" s="36">
        <v>1</v>
      </c>
      <c r="S113" s="25">
        <v>1</v>
      </c>
      <c r="T113" s="25">
        <v>10</v>
      </c>
    </row>
    <row r="114" spans="1:20" x14ac:dyDescent="0.25">
      <c r="A114" s="26" t="s">
        <v>22</v>
      </c>
      <c r="B114" s="26" t="s">
        <v>19</v>
      </c>
      <c r="C114" s="26">
        <v>1</v>
      </c>
      <c r="D114" s="26" t="s">
        <v>26</v>
      </c>
      <c r="E114" s="25" t="s">
        <v>27</v>
      </c>
      <c r="F114" s="25" t="str">
        <f t="shared" si="7"/>
        <v>M82_1_0,5</v>
      </c>
      <c r="O114" s="36">
        <v>1</v>
      </c>
      <c r="S114" s="25">
        <v>1</v>
      </c>
      <c r="T114" s="25">
        <v>10</v>
      </c>
    </row>
    <row r="115" spans="1:20" x14ac:dyDescent="0.25">
      <c r="A115" s="26" t="s">
        <v>25</v>
      </c>
      <c r="B115" s="26" t="s">
        <v>19</v>
      </c>
      <c r="C115" s="26">
        <v>1</v>
      </c>
      <c r="D115" s="26" t="s">
        <v>26</v>
      </c>
      <c r="E115" s="25" t="s">
        <v>27</v>
      </c>
      <c r="F115" s="25" t="str">
        <f t="shared" si="7"/>
        <v>M82_1_0,5</v>
      </c>
      <c r="G115" s="25">
        <v>3</v>
      </c>
      <c r="H115" s="25">
        <f>24080/60840</f>
        <v>0.39579224194608809</v>
      </c>
      <c r="I115" s="25">
        <f>27660/55080</f>
        <v>0.5021786492374728</v>
      </c>
      <c r="J115" s="25">
        <f>38640/52540</f>
        <v>0.73543966501712976</v>
      </c>
      <c r="L115" s="25">
        <f t="shared" ref="L115:L121" si="11">I115-H115</f>
        <v>0.10638640729138471</v>
      </c>
      <c r="M115" s="25">
        <f t="shared" ref="M115:M121" si="12">J115-H115</f>
        <v>0.33964742307104168</v>
      </c>
      <c r="O115" s="25">
        <v>1</v>
      </c>
      <c r="S115" s="25">
        <v>1</v>
      </c>
      <c r="T115" s="25">
        <v>10</v>
      </c>
    </row>
    <row r="116" spans="1:20" x14ac:dyDescent="0.25">
      <c r="A116" s="26" t="s">
        <v>18</v>
      </c>
      <c r="B116" s="26" t="s">
        <v>19</v>
      </c>
      <c r="C116" s="26">
        <v>1</v>
      </c>
      <c r="D116" s="26" t="s">
        <v>26</v>
      </c>
      <c r="E116" s="25" t="s">
        <v>27</v>
      </c>
      <c r="F116" s="25" t="str">
        <f t="shared" si="7"/>
        <v>M82_1_0,5</v>
      </c>
      <c r="G116" s="25">
        <v>4</v>
      </c>
      <c r="H116" s="25">
        <f>29540/58730</f>
        <v>0.50297973778307514</v>
      </c>
      <c r="I116" s="25">
        <f>75330/86090</f>
        <v>0.87501451968869792</v>
      </c>
      <c r="J116" s="25">
        <f>61630/54310</f>
        <v>1.1347818081384644</v>
      </c>
      <c r="L116" s="25">
        <f t="shared" si="11"/>
        <v>0.37203478190562278</v>
      </c>
      <c r="M116" s="25">
        <f t="shared" si="12"/>
        <v>0.63180207035538927</v>
      </c>
      <c r="O116" s="25">
        <v>1</v>
      </c>
      <c r="S116" s="25">
        <v>1</v>
      </c>
      <c r="T116" s="25">
        <v>10</v>
      </c>
    </row>
    <row r="117" spans="1:20" x14ac:dyDescent="0.25">
      <c r="A117" s="26" t="s">
        <v>18</v>
      </c>
      <c r="B117" s="26" t="s">
        <v>19</v>
      </c>
      <c r="C117" s="26">
        <v>1</v>
      </c>
      <c r="D117" s="26" t="s">
        <v>26</v>
      </c>
      <c r="E117" s="25" t="s">
        <v>27</v>
      </c>
      <c r="F117" s="25" t="str">
        <f t="shared" si="7"/>
        <v>M82_1_0,5</v>
      </c>
      <c r="G117" s="25">
        <v>5</v>
      </c>
      <c r="H117" s="25">
        <f>40200/58730</f>
        <v>0.68448833645496343</v>
      </c>
      <c r="I117" s="25">
        <f>49700/58730</f>
        <v>0.8462455303933254</v>
      </c>
      <c r="J117" s="25">
        <f>76390/54310</f>
        <v>1.4065549622537286</v>
      </c>
      <c r="L117" s="25">
        <f t="shared" si="11"/>
        <v>0.16175719393836197</v>
      </c>
      <c r="M117" s="25">
        <f t="shared" si="12"/>
        <v>0.72206662579876513</v>
      </c>
      <c r="O117" s="25">
        <v>1</v>
      </c>
      <c r="S117" s="25">
        <v>1</v>
      </c>
      <c r="T117" s="25">
        <v>7</v>
      </c>
    </row>
    <row r="118" spans="1:20" x14ac:dyDescent="0.25">
      <c r="A118" s="26" t="s">
        <v>25</v>
      </c>
      <c r="B118" s="26" t="s">
        <v>19</v>
      </c>
      <c r="C118" s="26">
        <v>1</v>
      </c>
      <c r="D118" s="26" t="s">
        <v>26</v>
      </c>
      <c r="E118" s="25" t="s">
        <v>27</v>
      </c>
      <c r="F118" s="25" t="str">
        <f t="shared" si="7"/>
        <v>M82_1_0,5</v>
      </c>
      <c r="G118" s="25">
        <v>2</v>
      </c>
      <c r="H118" s="25">
        <f>16270/60840</f>
        <v>0.26742274819197898</v>
      </c>
      <c r="I118" s="25">
        <f>286700/550860</f>
        <v>0.5204589187815416</v>
      </c>
      <c r="J118" s="25">
        <f>58900/52540</f>
        <v>1.1210506280928816</v>
      </c>
      <c r="K118" s="25">
        <f>185200/54880</f>
        <v>3.3746355685131197</v>
      </c>
      <c r="L118" s="25">
        <f t="shared" si="11"/>
        <v>0.25303617058956263</v>
      </c>
      <c r="M118" s="25">
        <f t="shared" si="12"/>
        <v>0.85362787990090261</v>
      </c>
      <c r="N118" s="25">
        <f>K118-H118</f>
        <v>3.1072128203211409</v>
      </c>
      <c r="O118" s="25">
        <v>1</v>
      </c>
      <c r="P118" s="25">
        <f>30460/52540</f>
        <v>0.57974876284735444</v>
      </c>
      <c r="Q118" s="25">
        <f>110600/54880</f>
        <v>2.0153061224489797</v>
      </c>
      <c r="R118" s="25">
        <v>59.719222462203028</v>
      </c>
      <c r="S118" s="25">
        <v>1</v>
      </c>
      <c r="T118" s="25">
        <v>6</v>
      </c>
    </row>
    <row r="119" spans="1:20" x14ac:dyDescent="0.25">
      <c r="A119" s="26" t="s">
        <v>25</v>
      </c>
      <c r="B119" s="26" t="s">
        <v>19</v>
      </c>
      <c r="C119" s="26">
        <v>1</v>
      </c>
      <c r="D119" s="26" t="s">
        <v>26</v>
      </c>
      <c r="E119" s="25" t="s">
        <v>27</v>
      </c>
      <c r="F119" s="25" t="str">
        <f t="shared" si="7"/>
        <v>M82_1_0,5</v>
      </c>
      <c r="G119" s="25">
        <v>5</v>
      </c>
      <c r="H119" s="25">
        <f>39560/60840</f>
        <v>0.65023011176857326</v>
      </c>
      <c r="I119" s="25">
        <f>119300/55080</f>
        <v>2.1659404502541757</v>
      </c>
      <c r="J119" s="25">
        <f>168000/52540</f>
        <v>3.1975637609440426</v>
      </c>
      <c r="K119" s="25">
        <f>192000/54880</f>
        <v>3.4985422740524781</v>
      </c>
      <c r="L119" s="25">
        <f t="shared" si="11"/>
        <v>1.5157103384856025</v>
      </c>
      <c r="M119" s="25">
        <f t="shared" si="12"/>
        <v>2.5473336491754694</v>
      </c>
      <c r="N119" s="25">
        <f>K119-H119</f>
        <v>2.8483121622839049</v>
      </c>
      <c r="O119" s="25">
        <v>1</v>
      </c>
      <c r="P119" s="25">
        <f>76730/52540</f>
        <v>1.4604111153406929</v>
      </c>
      <c r="Q119" s="25">
        <f>144100/54880</f>
        <v>2.625728862973761</v>
      </c>
      <c r="R119" s="25">
        <v>75.052083333333329</v>
      </c>
      <c r="S119" s="25">
        <v>1</v>
      </c>
      <c r="T119" s="25">
        <v>6</v>
      </c>
    </row>
    <row r="120" spans="1:20" x14ac:dyDescent="0.25">
      <c r="A120" s="26" t="s">
        <v>25</v>
      </c>
      <c r="B120" s="26" t="s">
        <v>19</v>
      </c>
      <c r="C120" s="26">
        <v>1</v>
      </c>
      <c r="D120" s="26" t="s">
        <v>26</v>
      </c>
      <c r="E120" s="25" t="s">
        <v>27</v>
      </c>
      <c r="F120" s="25" t="str">
        <f t="shared" si="7"/>
        <v>M82_1_0,5</v>
      </c>
      <c r="G120" s="25">
        <v>2</v>
      </c>
      <c r="H120" s="25">
        <f>16460/60840</f>
        <v>0.27054569362261671</v>
      </c>
      <c r="I120" s="25">
        <f>21090/55080</f>
        <v>0.38289760348583879</v>
      </c>
      <c r="J120" s="25">
        <f>22780/52540</f>
        <v>0.43357441948991243</v>
      </c>
      <c r="L120" s="25">
        <f t="shared" si="11"/>
        <v>0.11235190986322208</v>
      </c>
      <c r="M120" s="25">
        <f t="shared" si="12"/>
        <v>0.16302872586729572</v>
      </c>
      <c r="O120" s="25">
        <v>1</v>
      </c>
      <c r="S120" s="25">
        <v>1</v>
      </c>
      <c r="T120" s="25">
        <v>6</v>
      </c>
    </row>
    <row r="121" spans="1:20" x14ac:dyDescent="0.25">
      <c r="A121" s="26" t="s">
        <v>18</v>
      </c>
      <c r="B121" s="26" t="s">
        <v>19</v>
      </c>
      <c r="C121" s="26">
        <v>1</v>
      </c>
      <c r="D121" s="26" t="s">
        <v>26</v>
      </c>
      <c r="E121" s="25" t="s">
        <v>27</v>
      </c>
      <c r="F121" s="25" t="str">
        <f t="shared" si="7"/>
        <v>M82_1_0,5</v>
      </c>
      <c r="G121" s="25">
        <v>6</v>
      </c>
      <c r="H121" s="25">
        <f>50660/58730</f>
        <v>0.862591520517623</v>
      </c>
      <c r="I121" s="25">
        <f>90330/86090</f>
        <v>1.0492507840631897</v>
      </c>
      <c r="J121" s="25">
        <f>65990/54310</f>
        <v>1.2150616829313201</v>
      </c>
      <c r="L121" s="25">
        <f t="shared" si="11"/>
        <v>0.18665926354556672</v>
      </c>
      <c r="M121" s="25">
        <f t="shared" si="12"/>
        <v>0.35247016241369711</v>
      </c>
      <c r="O121" s="25">
        <v>1</v>
      </c>
      <c r="S121" s="25">
        <v>1</v>
      </c>
      <c r="T121" s="25">
        <v>6</v>
      </c>
    </row>
    <row r="122" spans="1:20" x14ac:dyDescent="0.25">
      <c r="A122" s="26" t="s">
        <v>22</v>
      </c>
      <c r="B122" s="26" t="s">
        <v>19</v>
      </c>
      <c r="C122" s="26">
        <v>1</v>
      </c>
      <c r="D122" s="26" t="s">
        <v>26</v>
      </c>
      <c r="E122" s="25" t="s">
        <v>27</v>
      </c>
      <c r="F122" s="25" t="str">
        <f t="shared" si="7"/>
        <v>M82_1_0,5</v>
      </c>
      <c r="O122" s="36">
        <v>1</v>
      </c>
      <c r="S122" s="25">
        <v>1</v>
      </c>
      <c r="T122" s="25">
        <v>5</v>
      </c>
    </row>
    <row r="123" spans="1:20" x14ac:dyDescent="0.25">
      <c r="A123" s="26" t="s">
        <v>22</v>
      </c>
      <c r="B123" s="26" t="s">
        <v>19</v>
      </c>
      <c r="C123" s="26">
        <v>1</v>
      </c>
      <c r="D123" s="26" t="s">
        <v>26</v>
      </c>
      <c r="E123" s="25" t="s">
        <v>27</v>
      </c>
      <c r="F123" s="25" t="str">
        <f t="shared" si="7"/>
        <v>M82_1_0,5</v>
      </c>
      <c r="O123" s="36">
        <v>1</v>
      </c>
      <c r="S123" s="25">
        <v>1</v>
      </c>
      <c r="T123" s="25">
        <v>5</v>
      </c>
    </row>
    <row r="124" spans="1:20" x14ac:dyDescent="0.25">
      <c r="A124" s="26" t="s">
        <v>25</v>
      </c>
      <c r="B124" s="26" t="s">
        <v>19</v>
      </c>
      <c r="C124" s="26">
        <v>1</v>
      </c>
      <c r="D124" s="26" t="s">
        <v>26</v>
      </c>
      <c r="E124" s="25" t="s">
        <v>27</v>
      </c>
      <c r="F124" s="25" t="str">
        <f t="shared" si="7"/>
        <v>M82_1_0,5</v>
      </c>
      <c r="G124" s="25">
        <v>2</v>
      </c>
      <c r="H124" s="25">
        <f>16440/60840</f>
        <v>0.27021696252465482</v>
      </c>
      <c r="I124" s="25">
        <f>35300/55080</f>
        <v>0.64088598402323893</v>
      </c>
      <c r="J124" s="25">
        <f>80260/52540</f>
        <v>1.5275980205557671</v>
      </c>
      <c r="L124" s="25">
        <f t="shared" ref="L124:L133" si="13">I124-H124</f>
        <v>0.37066902149858411</v>
      </c>
      <c r="M124" s="25">
        <f t="shared" ref="M124:M133" si="14">J124-H124</f>
        <v>1.2573810580311122</v>
      </c>
      <c r="O124" s="25">
        <v>1</v>
      </c>
      <c r="P124" s="25">
        <f>22760/52540</f>
        <v>0.43319375713741909</v>
      </c>
      <c r="S124" s="25">
        <v>1</v>
      </c>
      <c r="T124" s="25">
        <v>5</v>
      </c>
    </row>
    <row r="125" spans="1:20" x14ac:dyDescent="0.25">
      <c r="A125" s="26" t="s">
        <v>25</v>
      </c>
      <c r="B125" s="26" t="s">
        <v>19</v>
      </c>
      <c r="C125" s="26">
        <v>1</v>
      </c>
      <c r="D125" s="26" t="s">
        <v>26</v>
      </c>
      <c r="E125" s="25" t="s">
        <v>27</v>
      </c>
      <c r="F125" s="25" t="str">
        <f t="shared" si="7"/>
        <v>M82_1_0,5</v>
      </c>
      <c r="G125" s="25">
        <v>2</v>
      </c>
      <c r="H125" s="25">
        <f>18670/60840</f>
        <v>0.30687047994740302</v>
      </c>
      <c r="I125" s="25">
        <f>46340/55080</f>
        <v>0.84132171387073351</v>
      </c>
      <c r="J125" s="25">
        <f>92590/52540</f>
        <v>1.7622763608679102</v>
      </c>
      <c r="L125" s="25">
        <f t="shared" si="13"/>
        <v>0.53445123392333049</v>
      </c>
      <c r="M125" s="25">
        <f t="shared" si="14"/>
        <v>1.455405880920507</v>
      </c>
      <c r="O125" s="25">
        <v>1</v>
      </c>
      <c r="P125" s="25">
        <f>38480/52540</f>
        <v>0.73239436619718312</v>
      </c>
      <c r="S125" s="25">
        <v>1</v>
      </c>
      <c r="T125" s="25">
        <v>5</v>
      </c>
    </row>
    <row r="126" spans="1:20" x14ac:dyDescent="0.25">
      <c r="A126" s="26" t="s">
        <v>18</v>
      </c>
      <c r="B126" s="26" t="s">
        <v>19</v>
      </c>
      <c r="C126" s="26">
        <v>1</v>
      </c>
      <c r="D126" s="26" t="s">
        <v>26</v>
      </c>
      <c r="E126" s="25" t="s">
        <v>27</v>
      </c>
      <c r="F126" s="25" t="str">
        <f t="shared" si="7"/>
        <v>M82_1_0,5</v>
      </c>
      <c r="G126" s="25">
        <v>5</v>
      </c>
      <c r="H126" s="25">
        <f>42670/58730</f>
        <v>0.72654520687893753</v>
      </c>
      <c r="I126" s="25">
        <f>64310/86090</f>
        <v>0.74700894412823793</v>
      </c>
      <c r="J126" s="25">
        <f>72320/54310</f>
        <v>1.3316148039035169</v>
      </c>
      <c r="L126" s="25">
        <f t="shared" si="13"/>
        <v>2.0463737249300396E-2</v>
      </c>
      <c r="M126" s="25">
        <f t="shared" si="14"/>
        <v>0.60506959702457941</v>
      </c>
      <c r="O126" s="25">
        <v>1</v>
      </c>
      <c r="S126" s="25">
        <v>1</v>
      </c>
      <c r="T126" s="25">
        <v>5</v>
      </c>
    </row>
    <row r="127" spans="1:20" x14ac:dyDescent="0.25">
      <c r="A127" s="26" t="s">
        <v>25</v>
      </c>
      <c r="B127" s="26" t="s">
        <v>19</v>
      </c>
      <c r="C127" s="26">
        <v>1</v>
      </c>
      <c r="D127" s="26" t="s">
        <v>26</v>
      </c>
      <c r="E127" s="25" t="s">
        <v>27</v>
      </c>
      <c r="F127" s="25" t="str">
        <f t="shared" si="7"/>
        <v>M82_1_0,5</v>
      </c>
      <c r="G127" s="25">
        <v>3</v>
      </c>
      <c r="H127" s="25">
        <f>19370/60840</f>
        <v>0.31837606837606836</v>
      </c>
      <c r="I127" s="25">
        <f>27790/55080</f>
        <v>0.5045388525780683</v>
      </c>
      <c r="J127" s="25">
        <f>35640/52540</f>
        <v>0.67834031214312906</v>
      </c>
      <c r="K127" s="25">
        <f>89850/54880</f>
        <v>1.6372084548104957</v>
      </c>
      <c r="L127" s="25">
        <f t="shared" si="13"/>
        <v>0.18616278420199994</v>
      </c>
      <c r="M127" s="25">
        <f t="shared" si="14"/>
        <v>0.35996424376706071</v>
      </c>
      <c r="N127" s="25">
        <f>K127-H127</f>
        <v>1.3188323864344274</v>
      </c>
      <c r="O127" s="25">
        <v>1</v>
      </c>
      <c r="Q127" s="25">
        <f>41400/54880</f>
        <v>0.75437317784256563</v>
      </c>
      <c r="R127" s="25">
        <v>46.076794657762939</v>
      </c>
      <c r="S127" s="25">
        <v>1</v>
      </c>
      <c r="T127" s="25">
        <v>4</v>
      </c>
    </row>
    <row r="128" spans="1:20" x14ac:dyDescent="0.25">
      <c r="A128" s="26" t="s">
        <v>18</v>
      </c>
      <c r="B128" s="26" t="s">
        <v>19</v>
      </c>
      <c r="C128" s="26">
        <v>1</v>
      </c>
      <c r="D128" s="26" t="s">
        <v>26</v>
      </c>
      <c r="E128" s="25" t="s">
        <v>27</v>
      </c>
      <c r="F128" s="25" t="str">
        <f t="shared" si="7"/>
        <v>M82_1_0,5</v>
      </c>
      <c r="G128" s="25">
        <v>5</v>
      </c>
      <c r="H128" s="25">
        <f>39890/58730</f>
        <v>0.67920994381065891</v>
      </c>
      <c r="I128" s="25">
        <f>69242/86090</f>
        <v>0.80429782785457082</v>
      </c>
      <c r="J128" s="25">
        <f>77740/54310</f>
        <v>1.4314122629350028</v>
      </c>
      <c r="L128" s="25">
        <f t="shared" si="13"/>
        <v>0.12508788404391191</v>
      </c>
      <c r="M128" s="25">
        <f t="shared" si="14"/>
        <v>0.75220231912434388</v>
      </c>
      <c r="O128" s="25">
        <v>1</v>
      </c>
      <c r="S128" s="25">
        <v>1</v>
      </c>
      <c r="T128" s="25">
        <v>4</v>
      </c>
    </row>
    <row r="129" spans="1:20" x14ac:dyDescent="0.25">
      <c r="A129" s="26" t="s">
        <v>18</v>
      </c>
      <c r="B129" s="26" t="s">
        <v>19</v>
      </c>
      <c r="C129" s="26">
        <v>1</v>
      </c>
      <c r="D129" s="26" t="s">
        <v>26</v>
      </c>
      <c r="E129" s="25" t="s">
        <v>27</v>
      </c>
      <c r="F129" s="25" t="str">
        <f t="shared" si="7"/>
        <v>M82_1_0,5</v>
      </c>
      <c r="G129" s="25">
        <v>4</v>
      </c>
      <c r="H129" s="25">
        <f>31650/58730</f>
        <v>0.53890686191043757</v>
      </c>
      <c r="I129" s="25">
        <f>66831/86090</f>
        <v>0.77629225229411081</v>
      </c>
      <c r="J129" s="25">
        <f>62470/54310</f>
        <v>1.1502485730068128</v>
      </c>
      <c r="L129" s="25">
        <f t="shared" si="13"/>
        <v>0.23738539038367323</v>
      </c>
      <c r="M129" s="25">
        <f t="shared" si="14"/>
        <v>0.61134171109637525</v>
      </c>
      <c r="O129" s="25">
        <v>1</v>
      </c>
      <c r="S129" s="25">
        <v>1</v>
      </c>
      <c r="T129" s="25">
        <v>3</v>
      </c>
    </row>
    <row r="130" spans="1:20" x14ac:dyDescent="0.25">
      <c r="A130" s="26" t="s">
        <v>18</v>
      </c>
      <c r="B130" s="26" t="s">
        <v>19</v>
      </c>
      <c r="C130" s="26">
        <v>1</v>
      </c>
      <c r="D130" s="26" t="s">
        <v>26</v>
      </c>
      <c r="E130" s="25" t="s">
        <v>27</v>
      </c>
      <c r="F130" s="25" t="str">
        <f t="shared" ref="F130:F193" si="15">CONCATENATE(B130,"_",E130)</f>
        <v>M82_1_0,5</v>
      </c>
      <c r="G130" s="25">
        <v>5</v>
      </c>
      <c r="H130" s="25">
        <f>39820/58730</f>
        <v>0.67801804869742888</v>
      </c>
      <c r="I130" s="25">
        <f>63770/86090</f>
        <v>0.74073643861075622</v>
      </c>
      <c r="J130" s="25">
        <f>84760/54310</f>
        <v>1.5606702264776284</v>
      </c>
      <c r="L130" s="25">
        <f t="shared" si="13"/>
        <v>6.2718389913327344E-2</v>
      </c>
      <c r="M130" s="25">
        <f t="shared" si="14"/>
        <v>0.88265217778019955</v>
      </c>
      <c r="O130" s="25">
        <v>1</v>
      </c>
      <c r="S130" s="25">
        <v>1</v>
      </c>
      <c r="T130" s="25">
        <v>3</v>
      </c>
    </row>
    <row r="131" spans="1:20" x14ac:dyDescent="0.25">
      <c r="A131" s="26" t="s">
        <v>25</v>
      </c>
      <c r="B131" s="26" t="s">
        <v>19</v>
      </c>
      <c r="C131" s="26">
        <v>1</v>
      </c>
      <c r="D131" s="26" t="s">
        <v>26</v>
      </c>
      <c r="E131" s="25" t="s">
        <v>27</v>
      </c>
      <c r="F131" s="25" t="str">
        <f t="shared" si="15"/>
        <v>M82_1_0,5</v>
      </c>
      <c r="G131" s="25">
        <v>2</v>
      </c>
      <c r="H131" s="25">
        <f>16510/60840</f>
        <v>0.27136752136752135</v>
      </c>
      <c r="I131" s="25">
        <f>39440/55080</f>
        <v>0.71604938271604934</v>
      </c>
      <c r="J131" s="25">
        <f>67460/52540</f>
        <v>1.2839741149600306</v>
      </c>
      <c r="K131" s="25">
        <f>103300/54880</f>
        <v>1.8822886297376094</v>
      </c>
      <c r="L131" s="25">
        <f t="shared" si="13"/>
        <v>0.444681861348528</v>
      </c>
      <c r="M131" s="25">
        <f t="shared" si="14"/>
        <v>1.0126065935925093</v>
      </c>
      <c r="N131" s="25">
        <f>K131-H131</f>
        <v>1.6109211083700881</v>
      </c>
      <c r="O131" s="25">
        <v>1</v>
      </c>
      <c r="P131" s="25">
        <f>59490/52540</f>
        <v>1.1322801674914351</v>
      </c>
      <c r="Q131" s="25">
        <f>62650/54880</f>
        <v>1.1415816326530612</v>
      </c>
      <c r="R131" s="25">
        <v>60.648596321394002</v>
      </c>
      <c r="S131" s="25">
        <v>0</v>
      </c>
    </row>
    <row r="132" spans="1:20" x14ac:dyDescent="0.25">
      <c r="A132" s="26" t="s">
        <v>25</v>
      </c>
      <c r="B132" s="26" t="s">
        <v>19</v>
      </c>
      <c r="C132" s="26">
        <v>1</v>
      </c>
      <c r="D132" s="26" t="s">
        <v>26</v>
      </c>
      <c r="E132" s="25" t="s">
        <v>27</v>
      </c>
      <c r="F132" s="25" t="str">
        <f t="shared" si="15"/>
        <v>M82_1_0,5</v>
      </c>
      <c r="G132" s="25">
        <v>3</v>
      </c>
      <c r="H132" s="25">
        <f>27580/60840</f>
        <v>0.45332018408941488</v>
      </c>
      <c r="I132" s="25">
        <f>36740/55080</f>
        <v>0.66702977487291215</v>
      </c>
      <c r="J132" s="25">
        <f>102900/52540</f>
        <v>1.9585078035782262</v>
      </c>
      <c r="K132" s="25">
        <f>116000/54880</f>
        <v>2.1137026239067054</v>
      </c>
      <c r="L132" s="25">
        <f t="shared" si="13"/>
        <v>0.21370959078349727</v>
      </c>
      <c r="M132" s="25">
        <f t="shared" si="14"/>
        <v>1.5051876194888112</v>
      </c>
      <c r="N132" s="25">
        <f>K132-H132</f>
        <v>1.6603824398172904</v>
      </c>
      <c r="O132" s="25">
        <v>1</v>
      </c>
      <c r="P132" s="25">
        <f>58100/52540</f>
        <v>1.1058241339931481</v>
      </c>
      <c r="Q132" s="25">
        <f>99920/54880</f>
        <v>1.8206997084548104</v>
      </c>
      <c r="R132" s="25">
        <v>86.137931034482762</v>
      </c>
      <c r="S132" s="25">
        <v>0</v>
      </c>
    </row>
    <row r="133" spans="1:20" x14ac:dyDescent="0.25">
      <c r="A133" s="26" t="s">
        <v>25</v>
      </c>
      <c r="B133" s="26" t="s">
        <v>19</v>
      </c>
      <c r="C133" s="26">
        <v>1</v>
      </c>
      <c r="D133" s="26" t="s">
        <v>26</v>
      </c>
      <c r="E133" s="25" t="s">
        <v>27</v>
      </c>
      <c r="F133" s="25" t="str">
        <f t="shared" si="15"/>
        <v>M82_1_0,5</v>
      </c>
      <c r="G133" s="25">
        <v>4</v>
      </c>
      <c r="H133" s="25">
        <f>34710/60840</f>
        <v>0.57051282051282048</v>
      </c>
      <c r="I133" s="25">
        <f>66230/55080</f>
        <v>1.2024328249818446</v>
      </c>
      <c r="J133" s="25">
        <f>74900/52540</f>
        <v>1.4255805100875523</v>
      </c>
      <c r="K133" s="25">
        <f>91730/54880</f>
        <v>1.6714650145772594</v>
      </c>
      <c r="L133" s="25">
        <f t="shared" si="13"/>
        <v>0.63192000446902408</v>
      </c>
      <c r="M133" s="25">
        <f t="shared" si="14"/>
        <v>0.85506768957473178</v>
      </c>
      <c r="N133" s="25">
        <f>K133-H133</f>
        <v>1.1009521940644389</v>
      </c>
      <c r="O133" s="25">
        <v>1</v>
      </c>
      <c r="P133" s="25">
        <f>53760/52540</f>
        <v>1.0232204035020935</v>
      </c>
      <c r="Q133" s="25">
        <f>57670/54880</f>
        <v>1.0508381924198251</v>
      </c>
      <c r="R133" s="25">
        <v>62.869290308514124</v>
      </c>
      <c r="S133" s="25">
        <v>0</v>
      </c>
    </row>
    <row r="134" spans="1:20" x14ac:dyDescent="0.25">
      <c r="A134" s="26" t="s">
        <v>22</v>
      </c>
      <c r="B134" s="26" t="s">
        <v>19</v>
      </c>
      <c r="C134" s="26">
        <v>1</v>
      </c>
      <c r="D134" s="26" t="s">
        <v>26</v>
      </c>
      <c r="E134" s="25" t="s">
        <v>27</v>
      </c>
      <c r="F134" s="25" t="str">
        <f t="shared" si="15"/>
        <v>M82_1_0,5</v>
      </c>
      <c r="O134" s="36">
        <v>1</v>
      </c>
      <c r="S134" s="25">
        <v>0</v>
      </c>
    </row>
    <row r="135" spans="1:20" x14ac:dyDescent="0.25">
      <c r="A135" s="26" t="s">
        <v>22</v>
      </c>
      <c r="B135" s="26" t="s">
        <v>19</v>
      </c>
      <c r="C135" s="26">
        <v>1</v>
      </c>
      <c r="D135" s="26" t="s">
        <v>26</v>
      </c>
      <c r="E135" s="25" t="s">
        <v>27</v>
      </c>
      <c r="F135" s="25" t="str">
        <f t="shared" si="15"/>
        <v>M82_1_0,5</v>
      </c>
      <c r="O135" s="36">
        <v>1</v>
      </c>
      <c r="S135" s="25">
        <v>0</v>
      </c>
    </row>
    <row r="136" spans="1:20" x14ac:dyDescent="0.25">
      <c r="A136" s="26" t="s">
        <v>25</v>
      </c>
      <c r="B136" s="26" t="s">
        <v>19</v>
      </c>
      <c r="C136" s="26">
        <v>1</v>
      </c>
      <c r="D136" s="26" t="s">
        <v>26</v>
      </c>
      <c r="E136" s="25" t="s">
        <v>27</v>
      </c>
      <c r="F136" s="25" t="str">
        <f t="shared" si="15"/>
        <v>M82_1_0,5</v>
      </c>
      <c r="G136" s="25">
        <v>2</v>
      </c>
      <c r="H136" s="25">
        <f>15100/60840</f>
        <v>0.24819197896120973</v>
      </c>
      <c r="I136" s="25">
        <f>35430/55080</f>
        <v>0.64324618736383443</v>
      </c>
      <c r="J136" s="25">
        <f>102200/52540</f>
        <v>1.9451846212409594</v>
      </c>
      <c r="L136" s="25">
        <f t="shared" ref="L136:L142" si="16">I136-H136</f>
        <v>0.39505420840262473</v>
      </c>
      <c r="M136" s="25">
        <f t="shared" ref="M136:M142" si="17">J136-H136</f>
        <v>1.6969926422797497</v>
      </c>
      <c r="O136" s="25">
        <v>0</v>
      </c>
      <c r="P136" s="25">
        <f>36110/52540</f>
        <v>0.68728587742672254</v>
      </c>
    </row>
    <row r="137" spans="1:20" x14ac:dyDescent="0.25">
      <c r="A137" s="26" t="s">
        <v>25</v>
      </c>
      <c r="B137" s="26" t="s">
        <v>19</v>
      </c>
      <c r="C137" s="26">
        <v>1</v>
      </c>
      <c r="D137" s="26" t="s">
        <v>26</v>
      </c>
      <c r="E137" s="25" t="s">
        <v>27</v>
      </c>
      <c r="F137" s="25" t="str">
        <f t="shared" si="15"/>
        <v>M82_1_0,5</v>
      </c>
      <c r="G137" s="25">
        <v>4</v>
      </c>
      <c r="H137" s="25">
        <f>34390/60840</f>
        <v>0.56525312294543062</v>
      </c>
      <c r="I137" s="25">
        <f>58750/55080</f>
        <v>1.0666303558460422</v>
      </c>
      <c r="J137" s="25">
        <f>103900/52540</f>
        <v>1.9775409212028929</v>
      </c>
      <c r="L137" s="25">
        <f t="shared" si="16"/>
        <v>0.50137723290061154</v>
      </c>
      <c r="M137" s="25">
        <f t="shared" si="17"/>
        <v>1.4122877982574624</v>
      </c>
      <c r="O137" s="25">
        <v>0</v>
      </c>
      <c r="P137" s="25">
        <f>13810/52540</f>
        <v>0.26284735439665019</v>
      </c>
    </row>
    <row r="138" spans="1:20" x14ac:dyDescent="0.25">
      <c r="A138" s="26" t="s">
        <v>18</v>
      </c>
      <c r="B138" s="26" t="s">
        <v>19</v>
      </c>
      <c r="C138" s="26">
        <v>1</v>
      </c>
      <c r="D138" s="26" t="s">
        <v>26</v>
      </c>
      <c r="E138" s="25" t="s">
        <v>27</v>
      </c>
      <c r="F138" s="25" t="str">
        <f t="shared" si="15"/>
        <v>M82_1_0,5</v>
      </c>
      <c r="G138" s="25">
        <v>3</v>
      </c>
      <c r="H138" s="25">
        <f>18500/58730</f>
        <v>0.3150008513536523</v>
      </c>
      <c r="I138" s="25">
        <f>66830/86090</f>
        <v>0.77628063654315249</v>
      </c>
      <c r="J138" s="25">
        <f>81760/54310</f>
        <v>1.5054317805192414</v>
      </c>
      <c r="L138" s="25">
        <f t="shared" si="16"/>
        <v>0.46127978518950019</v>
      </c>
      <c r="M138" s="25">
        <f t="shared" si="17"/>
        <v>1.190430929165589</v>
      </c>
      <c r="O138" s="25">
        <v>0</v>
      </c>
    </row>
    <row r="139" spans="1:20" x14ac:dyDescent="0.25">
      <c r="A139" s="26" t="s">
        <v>18</v>
      </c>
      <c r="B139" s="26" t="s">
        <v>19</v>
      </c>
      <c r="C139" s="26">
        <v>1</v>
      </c>
      <c r="D139" s="26" t="s">
        <v>26</v>
      </c>
      <c r="E139" s="25" t="s">
        <v>27</v>
      </c>
      <c r="F139" s="25" t="str">
        <f t="shared" si="15"/>
        <v>M82_1_0,5</v>
      </c>
      <c r="G139" s="25">
        <v>3</v>
      </c>
      <c r="H139" s="25">
        <f>20820/58730</f>
        <v>0.35450366082070495</v>
      </c>
      <c r="I139" s="25">
        <f>32550/54310</f>
        <v>0.59933713864849936</v>
      </c>
      <c r="J139" s="25">
        <f>58640/54310</f>
        <v>1.0797274903332719</v>
      </c>
      <c r="L139" s="25">
        <f t="shared" si="16"/>
        <v>0.24483347782779441</v>
      </c>
      <c r="M139" s="25">
        <f t="shared" si="17"/>
        <v>0.72522382951256692</v>
      </c>
      <c r="O139" s="25">
        <v>0</v>
      </c>
    </row>
    <row r="140" spans="1:20" x14ac:dyDescent="0.25">
      <c r="A140" s="26" t="s">
        <v>18</v>
      </c>
      <c r="B140" s="26" t="s">
        <v>19</v>
      </c>
      <c r="C140" s="26">
        <v>1</v>
      </c>
      <c r="D140" s="26" t="s">
        <v>26</v>
      </c>
      <c r="E140" s="25" t="s">
        <v>27</v>
      </c>
      <c r="F140" s="25" t="str">
        <f t="shared" si="15"/>
        <v>M82_1_0,5</v>
      </c>
      <c r="G140" s="25">
        <v>3</v>
      </c>
      <c r="H140" s="25">
        <f>21350/58730</f>
        <v>0.3635280095351609</v>
      </c>
      <c r="I140" s="25">
        <f>65831/86090</f>
        <v>0.76467650133581133</v>
      </c>
      <c r="J140" s="25">
        <f>53120/54310</f>
        <v>0.97808874976983984</v>
      </c>
      <c r="L140" s="25">
        <f t="shared" si="16"/>
        <v>0.40114849180065043</v>
      </c>
      <c r="M140" s="25">
        <f t="shared" si="17"/>
        <v>0.61456074023467888</v>
      </c>
      <c r="O140" s="25">
        <v>0</v>
      </c>
    </row>
    <row r="141" spans="1:20" x14ac:dyDescent="0.25">
      <c r="A141" s="26" t="s">
        <v>18</v>
      </c>
      <c r="B141" s="26" t="s">
        <v>19</v>
      </c>
      <c r="C141" s="26">
        <v>1</v>
      </c>
      <c r="D141" s="26" t="s">
        <v>26</v>
      </c>
      <c r="E141" s="25" t="s">
        <v>27</v>
      </c>
      <c r="F141" s="25" t="str">
        <f t="shared" si="15"/>
        <v>M82_1_0,5</v>
      </c>
      <c r="G141" s="25">
        <v>3</v>
      </c>
      <c r="H141" s="25">
        <f>22800/58730</f>
        <v>0.3882172654520688</v>
      </c>
      <c r="I141" s="25">
        <f>39700/58730</f>
        <v>0.67597479993189169</v>
      </c>
      <c r="J141" s="25">
        <f>46480/54310</f>
        <v>0.85582765604860989</v>
      </c>
      <c r="L141" s="25">
        <f t="shared" si="16"/>
        <v>0.28775753447982289</v>
      </c>
      <c r="M141" s="25">
        <f t="shared" si="17"/>
        <v>0.46761039059654108</v>
      </c>
      <c r="O141" s="25">
        <v>0</v>
      </c>
    </row>
    <row r="142" spans="1:20" x14ac:dyDescent="0.25">
      <c r="A142" s="26" t="s">
        <v>18</v>
      </c>
      <c r="B142" s="26" t="s">
        <v>19</v>
      </c>
      <c r="C142" s="26">
        <v>1</v>
      </c>
      <c r="D142" s="26" t="s">
        <v>26</v>
      </c>
      <c r="E142" s="25" t="s">
        <v>27</v>
      </c>
      <c r="F142" s="25" t="str">
        <f t="shared" si="15"/>
        <v>M82_1_0,5</v>
      </c>
      <c r="G142" s="25">
        <v>6</v>
      </c>
      <c r="H142" s="25">
        <f>52310/58730</f>
        <v>0.89068619104375957</v>
      </c>
      <c r="I142" s="25">
        <f>69700/58730</f>
        <v>1.1867869913161928</v>
      </c>
      <c r="J142" s="25">
        <f>122700/54310</f>
        <v>2.25925243969803</v>
      </c>
      <c r="L142" s="25">
        <f t="shared" si="16"/>
        <v>0.29610080027243324</v>
      </c>
      <c r="M142" s="25">
        <f t="shared" si="17"/>
        <v>1.3685662486542705</v>
      </c>
      <c r="O142" s="25">
        <v>0</v>
      </c>
    </row>
    <row r="143" spans="1:20" x14ac:dyDescent="0.25">
      <c r="A143" s="26" t="s">
        <v>22</v>
      </c>
      <c r="B143" s="26" t="s">
        <v>19</v>
      </c>
      <c r="C143" s="26">
        <v>1</v>
      </c>
      <c r="D143" s="26" t="s">
        <v>26</v>
      </c>
      <c r="E143" s="25" t="s">
        <v>27</v>
      </c>
      <c r="F143" s="25" t="str">
        <f t="shared" si="15"/>
        <v>M82_1_0,5</v>
      </c>
      <c r="O143" s="36">
        <v>0</v>
      </c>
    </row>
    <row r="144" spans="1:20" x14ac:dyDescent="0.25">
      <c r="A144" s="26" t="s">
        <v>22</v>
      </c>
      <c r="B144" s="26" t="s">
        <v>19</v>
      </c>
      <c r="C144" s="26">
        <v>1</v>
      </c>
      <c r="D144" s="26" t="s">
        <v>26</v>
      </c>
      <c r="E144" s="25" t="s">
        <v>27</v>
      </c>
      <c r="F144" s="25" t="str">
        <f t="shared" si="15"/>
        <v>M82_1_0,5</v>
      </c>
      <c r="O144" s="36">
        <v>0</v>
      </c>
    </row>
    <row r="145" spans="1:20" x14ac:dyDescent="0.25">
      <c r="A145" s="26" t="s">
        <v>22</v>
      </c>
      <c r="B145" s="26" t="s">
        <v>19</v>
      </c>
      <c r="C145" s="26">
        <v>1</v>
      </c>
      <c r="D145" s="26" t="s">
        <v>26</v>
      </c>
      <c r="E145" s="25" t="s">
        <v>27</v>
      </c>
      <c r="F145" s="25" t="str">
        <f t="shared" si="15"/>
        <v>M82_1_0,5</v>
      </c>
      <c r="O145" s="36">
        <v>0</v>
      </c>
    </row>
    <row r="146" spans="1:20" x14ac:dyDescent="0.25">
      <c r="A146" s="26" t="s">
        <v>22</v>
      </c>
      <c r="B146" s="26" t="s">
        <v>19</v>
      </c>
      <c r="C146" s="26">
        <v>1</v>
      </c>
      <c r="D146" s="26" t="s">
        <v>26</v>
      </c>
      <c r="E146" s="25" t="s">
        <v>27</v>
      </c>
      <c r="F146" s="25" t="str">
        <f t="shared" si="15"/>
        <v>M82_1_0,5</v>
      </c>
      <c r="O146" s="36">
        <v>0</v>
      </c>
    </row>
    <row r="147" spans="1:20" ht="15.75" thickBot="1" x14ac:dyDescent="0.3">
      <c r="A147" s="26" t="s">
        <v>22</v>
      </c>
      <c r="B147" s="26" t="s">
        <v>19</v>
      </c>
      <c r="C147" s="26">
        <v>1</v>
      </c>
      <c r="D147" s="26" t="s">
        <v>26</v>
      </c>
      <c r="E147" s="25" t="s">
        <v>27</v>
      </c>
      <c r="F147" s="25" t="str">
        <f t="shared" si="15"/>
        <v>M82_1_0,5</v>
      </c>
      <c r="O147" s="36">
        <v>0</v>
      </c>
    </row>
    <row r="148" spans="1:20" s="32" customFormat="1" x14ac:dyDescent="0.25">
      <c r="A148" s="35" t="s">
        <v>22</v>
      </c>
      <c r="B148" s="34" t="s">
        <v>19</v>
      </c>
      <c r="C148" s="34">
        <v>2</v>
      </c>
      <c r="D148" s="34" t="s">
        <v>20</v>
      </c>
      <c r="E148" s="33" t="s">
        <v>28</v>
      </c>
      <c r="F148" s="33" t="str">
        <f t="shared" si="15"/>
        <v>M82_2_0</v>
      </c>
      <c r="G148" s="33"/>
      <c r="H148" s="33"/>
      <c r="I148" s="33"/>
      <c r="J148" s="33"/>
      <c r="K148" s="33"/>
      <c r="L148" s="33"/>
      <c r="M148" s="33"/>
      <c r="N148" s="33"/>
      <c r="O148" s="33">
        <v>1</v>
      </c>
      <c r="P148" s="33"/>
      <c r="Q148" s="33"/>
      <c r="R148" s="33"/>
      <c r="S148" s="33">
        <v>1</v>
      </c>
      <c r="T148" s="33">
        <v>5</v>
      </c>
    </row>
    <row r="149" spans="1:20" x14ac:dyDescent="0.25">
      <c r="A149" s="31" t="s">
        <v>22</v>
      </c>
      <c r="B149" s="26" t="s">
        <v>19</v>
      </c>
      <c r="C149" s="26">
        <v>2</v>
      </c>
      <c r="D149" s="26" t="s">
        <v>20</v>
      </c>
      <c r="E149" s="25" t="s">
        <v>28</v>
      </c>
      <c r="F149" s="25" t="str">
        <f t="shared" si="15"/>
        <v>M82_2_0</v>
      </c>
      <c r="O149" s="25">
        <v>1</v>
      </c>
      <c r="S149" s="25">
        <v>1</v>
      </c>
      <c r="T149" s="25">
        <v>4</v>
      </c>
    </row>
    <row r="150" spans="1:20" x14ac:dyDescent="0.25">
      <c r="A150" s="31" t="s">
        <v>22</v>
      </c>
      <c r="B150" s="26" t="s">
        <v>19</v>
      </c>
      <c r="C150" s="26">
        <v>2</v>
      </c>
      <c r="D150" s="26" t="s">
        <v>20</v>
      </c>
      <c r="E150" s="25" t="s">
        <v>28</v>
      </c>
      <c r="F150" s="25" t="str">
        <f t="shared" si="15"/>
        <v>M82_2_0</v>
      </c>
      <c r="O150" s="25">
        <v>1</v>
      </c>
      <c r="S150" s="25">
        <v>1</v>
      </c>
      <c r="T150" s="25">
        <v>4</v>
      </c>
    </row>
    <row r="151" spans="1:20" x14ac:dyDescent="0.25">
      <c r="A151" s="31" t="s">
        <v>22</v>
      </c>
      <c r="B151" s="26" t="s">
        <v>19</v>
      </c>
      <c r="C151" s="26">
        <v>2</v>
      </c>
      <c r="D151" s="26" t="s">
        <v>20</v>
      </c>
      <c r="E151" s="25" t="s">
        <v>28</v>
      </c>
      <c r="F151" s="25" t="str">
        <f t="shared" si="15"/>
        <v>M82_2_0</v>
      </c>
      <c r="O151" s="25">
        <v>1</v>
      </c>
      <c r="S151" s="25">
        <v>1</v>
      </c>
      <c r="T151" s="25">
        <v>3</v>
      </c>
    </row>
    <row r="152" spans="1:20" x14ac:dyDescent="0.25">
      <c r="A152" s="31" t="s">
        <v>18</v>
      </c>
      <c r="B152" s="26" t="s">
        <v>19</v>
      </c>
      <c r="C152" s="26">
        <v>2</v>
      </c>
      <c r="D152" s="26" t="s">
        <v>20</v>
      </c>
      <c r="E152" s="25" t="s">
        <v>28</v>
      </c>
      <c r="F152" s="25" t="str">
        <f t="shared" si="15"/>
        <v>M82_2_0</v>
      </c>
      <c r="G152" s="25">
        <v>2</v>
      </c>
      <c r="H152" s="25">
        <f>15610/86090</f>
        <v>0.18132187245905448</v>
      </c>
      <c r="I152" s="25">
        <f>35080/58730</f>
        <v>0.59730972245870939</v>
      </c>
      <c r="J152" s="25">
        <f>71850/57630</f>
        <v>1.2467464862051014</v>
      </c>
      <c r="K152" s="25">
        <f>105000/53440</f>
        <v>1.9648203592814371</v>
      </c>
      <c r="L152" s="25">
        <f>I152-H152</f>
        <v>0.41598784999965488</v>
      </c>
      <c r="M152" s="25">
        <f>J152-H152</f>
        <v>1.065424613746047</v>
      </c>
      <c r="N152" s="25">
        <f>K152-H152</f>
        <v>1.7834984868223827</v>
      </c>
      <c r="O152" s="25">
        <v>1</v>
      </c>
      <c r="P152" s="25">
        <f>39190/58730</f>
        <v>0.66729099267835856</v>
      </c>
      <c r="Q152" s="25">
        <f>103600/53440</f>
        <v>1.938622754491018</v>
      </c>
      <c r="R152" s="25">
        <v>98.666666666666671</v>
      </c>
      <c r="S152" s="25">
        <v>0</v>
      </c>
    </row>
    <row r="153" spans="1:20" x14ac:dyDescent="0.25">
      <c r="A153" s="31" t="s">
        <v>22</v>
      </c>
      <c r="B153" s="26" t="s">
        <v>19</v>
      </c>
      <c r="C153" s="26">
        <v>2</v>
      </c>
      <c r="D153" s="26" t="s">
        <v>20</v>
      </c>
      <c r="E153" s="25" t="s">
        <v>28</v>
      </c>
      <c r="F153" s="25" t="str">
        <f t="shared" si="15"/>
        <v>M82_2_0</v>
      </c>
      <c r="O153" s="25">
        <v>1</v>
      </c>
      <c r="S153" s="25">
        <v>0</v>
      </c>
    </row>
    <row r="154" spans="1:20" x14ac:dyDescent="0.25">
      <c r="A154" s="31" t="s">
        <v>22</v>
      </c>
      <c r="B154" s="26" t="s">
        <v>19</v>
      </c>
      <c r="C154" s="26">
        <v>2</v>
      </c>
      <c r="D154" s="26" t="s">
        <v>20</v>
      </c>
      <c r="E154" s="25" t="s">
        <v>28</v>
      </c>
      <c r="F154" s="25" t="str">
        <f t="shared" si="15"/>
        <v>M82_2_0</v>
      </c>
      <c r="O154" s="25">
        <v>1</v>
      </c>
      <c r="S154" s="25">
        <v>0</v>
      </c>
    </row>
    <row r="155" spans="1:20" x14ac:dyDescent="0.25">
      <c r="A155" s="31" t="s">
        <v>22</v>
      </c>
      <c r="B155" s="26" t="s">
        <v>19</v>
      </c>
      <c r="C155" s="26">
        <v>2</v>
      </c>
      <c r="D155" s="26" t="s">
        <v>20</v>
      </c>
      <c r="E155" s="25" t="s">
        <v>28</v>
      </c>
      <c r="F155" s="25" t="str">
        <f t="shared" si="15"/>
        <v>M82_2_0</v>
      </c>
      <c r="O155" s="25">
        <v>1</v>
      </c>
      <c r="S155" s="25">
        <v>0</v>
      </c>
    </row>
    <row r="156" spans="1:20" x14ac:dyDescent="0.25">
      <c r="A156" s="31" t="s">
        <v>22</v>
      </c>
      <c r="B156" s="26" t="s">
        <v>19</v>
      </c>
      <c r="C156" s="26">
        <v>2</v>
      </c>
      <c r="D156" s="26" t="s">
        <v>20</v>
      </c>
      <c r="E156" s="25" t="s">
        <v>28</v>
      </c>
      <c r="F156" s="25" t="str">
        <f t="shared" si="15"/>
        <v>M82_2_0</v>
      </c>
      <c r="O156" s="25">
        <v>1</v>
      </c>
      <c r="S156" s="25">
        <v>0</v>
      </c>
    </row>
    <row r="157" spans="1:20" x14ac:dyDescent="0.25">
      <c r="A157" s="31" t="s">
        <v>18</v>
      </c>
      <c r="B157" s="26" t="s">
        <v>19</v>
      </c>
      <c r="C157" s="26">
        <v>2</v>
      </c>
      <c r="D157" s="26" t="s">
        <v>20</v>
      </c>
      <c r="E157" s="25" t="s">
        <v>28</v>
      </c>
      <c r="F157" s="25" t="str">
        <f t="shared" si="15"/>
        <v>M82_2_0</v>
      </c>
      <c r="G157" s="25">
        <v>2</v>
      </c>
      <c r="H157" s="25">
        <f>15570/86090</f>
        <v>0.18085724242072249</v>
      </c>
      <c r="I157" s="25">
        <f>23580/57630</f>
        <v>0.40916189484643417</v>
      </c>
      <c r="J157" s="25">
        <f>29880/53440</f>
        <v>0.55913173652694614</v>
      </c>
      <c r="K157" s="25">
        <f>44190/58730</f>
        <v>0.75242635790907542</v>
      </c>
      <c r="L157" s="25">
        <f t="shared" ref="L157:L170" si="18">I157-H157</f>
        <v>0.22830465242571168</v>
      </c>
      <c r="M157" s="25">
        <f t="shared" ref="M157:M170" si="19">J157-H157</f>
        <v>0.37827449410622366</v>
      </c>
      <c r="N157" s="25">
        <f>K157-H157</f>
        <v>0.57156911548835287</v>
      </c>
      <c r="O157" s="25">
        <v>0</v>
      </c>
    </row>
    <row r="158" spans="1:20" x14ac:dyDescent="0.25">
      <c r="A158" s="31" t="s">
        <v>18</v>
      </c>
      <c r="B158" s="26" t="s">
        <v>19</v>
      </c>
      <c r="C158" s="26">
        <v>2</v>
      </c>
      <c r="D158" s="26" t="s">
        <v>20</v>
      </c>
      <c r="E158" s="25" t="s">
        <v>28</v>
      </c>
      <c r="F158" s="25" t="str">
        <f t="shared" si="15"/>
        <v>M82_2_0</v>
      </c>
      <c r="G158" s="25">
        <v>3</v>
      </c>
      <c r="H158" s="25">
        <f>18870/58730</f>
        <v>0.32130086838072536</v>
      </c>
      <c r="I158" s="25">
        <f>42910/57630</f>
        <v>0.74457747700850252</v>
      </c>
      <c r="J158" s="25">
        <f>49450/53440</f>
        <v>0.92533682634730541</v>
      </c>
      <c r="K158" s="25">
        <f>91440/86090</f>
        <v>1.0621442676269022</v>
      </c>
      <c r="L158" s="25">
        <f t="shared" si="18"/>
        <v>0.42327660862777716</v>
      </c>
      <c r="M158" s="25">
        <f t="shared" si="19"/>
        <v>0.60403595796658005</v>
      </c>
      <c r="N158" s="25">
        <f>K158-H158</f>
        <v>0.74084339924617681</v>
      </c>
      <c r="O158" s="25">
        <v>0</v>
      </c>
    </row>
    <row r="159" spans="1:20" x14ac:dyDescent="0.25">
      <c r="A159" s="31" t="s">
        <v>18</v>
      </c>
      <c r="B159" s="26" t="s">
        <v>19</v>
      </c>
      <c r="C159" s="26">
        <v>2</v>
      </c>
      <c r="D159" s="26" t="s">
        <v>20</v>
      </c>
      <c r="E159" s="25" t="s">
        <v>28</v>
      </c>
      <c r="F159" s="25" t="str">
        <f t="shared" si="15"/>
        <v>M82_2_0</v>
      </c>
      <c r="G159" s="25">
        <v>3</v>
      </c>
      <c r="H159" s="25">
        <f>29580/86090</f>
        <v>0.34359391334649786</v>
      </c>
      <c r="I159" s="25">
        <f>75260/58730</f>
        <v>1.2814575174527498</v>
      </c>
      <c r="J159" s="25">
        <f>87120/57630</f>
        <v>1.5117126496616347</v>
      </c>
      <c r="K159" s="25">
        <f>84960/53440</f>
        <v>1.5898203592814371</v>
      </c>
      <c r="L159" s="25">
        <f t="shared" si="18"/>
        <v>0.93786360410625202</v>
      </c>
      <c r="M159" s="25">
        <f t="shared" si="19"/>
        <v>1.1681187363151369</v>
      </c>
      <c r="N159" s="25">
        <f>K159-H159</f>
        <v>1.2462264459349393</v>
      </c>
      <c r="O159" s="25">
        <v>0</v>
      </c>
    </row>
    <row r="160" spans="1:20" x14ac:dyDescent="0.25">
      <c r="A160" s="31" t="s">
        <v>18</v>
      </c>
      <c r="B160" s="26" t="s">
        <v>19</v>
      </c>
      <c r="C160" s="26">
        <v>2</v>
      </c>
      <c r="D160" s="26" t="s">
        <v>20</v>
      </c>
      <c r="E160" s="25" t="s">
        <v>28</v>
      </c>
      <c r="F160" s="25" t="str">
        <f t="shared" si="15"/>
        <v>M82_2_0</v>
      </c>
      <c r="G160" s="25">
        <v>3</v>
      </c>
      <c r="H160" s="25">
        <f>20670/58730</f>
        <v>0.35194959986378344</v>
      </c>
      <c r="I160" s="25">
        <f>49280/86090</f>
        <v>0.57242420722499709</v>
      </c>
      <c r="J160" s="25">
        <f>128/57630</f>
        <v>2.2210654173173694E-3</v>
      </c>
      <c r="L160" s="25">
        <f t="shared" si="18"/>
        <v>0.22047460736121366</v>
      </c>
      <c r="M160" s="25">
        <f t="shared" si="19"/>
        <v>-0.34972853444646607</v>
      </c>
      <c r="O160" s="25">
        <v>0</v>
      </c>
    </row>
    <row r="161" spans="1:15" x14ac:dyDescent="0.25">
      <c r="A161" s="31" t="s">
        <v>18</v>
      </c>
      <c r="B161" s="26" t="s">
        <v>19</v>
      </c>
      <c r="C161" s="26">
        <v>2</v>
      </c>
      <c r="D161" s="26" t="s">
        <v>20</v>
      </c>
      <c r="E161" s="25" t="s">
        <v>28</v>
      </c>
      <c r="F161" s="25" t="str">
        <f t="shared" si="15"/>
        <v>M82_2_0</v>
      </c>
      <c r="G161" s="25">
        <v>3</v>
      </c>
      <c r="H161" s="25">
        <f>21850/58730</f>
        <v>0.37204154605823259</v>
      </c>
      <c r="I161" s="25">
        <f>39320/57630</f>
        <v>0.68228353288217947</v>
      </c>
      <c r="J161" s="25">
        <f>60270/86090</f>
        <v>0.70008131025670806</v>
      </c>
      <c r="K161" s="25">
        <f>48130/53440</f>
        <v>0.90063622754491013</v>
      </c>
      <c r="L161" s="25">
        <f t="shared" si="18"/>
        <v>0.31024198682394688</v>
      </c>
      <c r="M161" s="25">
        <f t="shared" si="19"/>
        <v>0.32803976419847547</v>
      </c>
      <c r="N161" s="25">
        <f>K161-H161</f>
        <v>0.52859468148667754</v>
      </c>
      <c r="O161" s="25">
        <v>0</v>
      </c>
    </row>
    <row r="162" spans="1:15" x14ac:dyDescent="0.25">
      <c r="A162" s="31" t="s">
        <v>18</v>
      </c>
      <c r="B162" s="26" t="s">
        <v>19</v>
      </c>
      <c r="C162" s="26">
        <v>2</v>
      </c>
      <c r="D162" s="26" t="s">
        <v>20</v>
      </c>
      <c r="E162" s="25" t="s">
        <v>28</v>
      </c>
      <c r="F162" s="25" t="str">
        <f t="shared" si="15"/>
        <v>M82_2_0</v>
      </c>
      <c r="G162" s="25">
        <v>3</v>
      </c>
      <c r="H162" s="25">
        <f>33410/86090</f>
        <v>0.38808223951678478</v>
      </c>
      <c r="I162" s="25">
        <f>24590/57630</f>
        <v>0.42668748915495402</v>
      </c>
      <c r="J162" s="25">
        <f>26840/53440</f>
        <v>0.5022455089820359</v>
      </c>
      <c r="K162" s="25">
        <f>48080/58730</f>
        <v>0.8186616720585731</v>
      </c>
      <c r="L162" s="25">
        <f t="shared" si="18"/>
        <v>3.8605249638169248E-2</v>
      </c>
      <c r="M162" s="25">
        <f t="shared" si="19"/>
        <v>0.11416326946525113</v>
      </c>
      <c r="N162" s="25">
        <f>K162-H162</f>
        <v>0.43057943254178832</v>
      </c>
      <c r="O162" s="25">
        <v>0</v>
      </c>
    </row>
    <row r="163" spans="1:15" x14ac:dyDescent="0.25">
      <c r="A163" s="31" t="s">
        <v>18</v>
      </c>
      <c r="B163" s="26" t="s">
        <v>19</v>
      </c>
      <c r="C163" s="26">
        <v>2</v>
      </c>
      <c r="D163" s="26" t="s">
        <v>20</v>
      </c>
      <c r="E163" s="25" t="s">
        <v>28</v>
      </c>
      <c r="F163" s="25" t="str">
        <f t="shared" si="15"/>
        <v>M82_2_0</v>
      </c>
      <c r="G163" s="25">
        <v>3</v>
      </c>
      <c r="H163" s="25">
        <f>23480/58730</f>
        <v>0.39979567512344627</v>
      </c>
      <c r="I163" s="25">
        <f>39550/86090</f>
        <v>0.45940295040074342</v>
      </c>
      <c r="J163" s="25">
        <f>52020/57630</f>
        <v>0.90265486725663713</v>
      </c>
      <c r="K163" s="25">
        <f>50160/53440</f>
        <v>0.93862275449101795</v>
      </c>
      <c r="L163" s="25">
        <f t="shared" si="18"/>
        <v>5.9607275277297145E-2</v>
      </c>
      <c r="M163" s="25">
        <f t="shared" si="19"/>
        <v>0.50285919213319086</v>
      </c>
      <c r="N163" s="25">
        <f>K163-H163</f>
        <v>0.53882707936757168</v>
      </c>
      <c r="O163" s="25">
        <v>0</v>
      </c>
    </row>
    <row r="164" spans="1:15" x14ac:dyDescent="0.25">
      <c r="A164" s="31" t="s">
        <v>18</v>
      </c>
      <c r="B164" s="26" t="s">
        <v>19</v>
      </c>
      <c r="C164" s="26">
        <v>2</v>
      </c>
      <c r="D164" s="26" t="s">
        <v>20</v>
      </c>
      <c r="E164" s="25" t="s">
        <v>28</v>
      </c>
      <c r="F164" s="25" t="str">
        <f t="shared" si="15"/>
        <v>M82_2_0</v>
      </c>
      <c r="G164" s="25">
        <v>4</v>
      </c>
      <c r="H164" s="25">
        <f>42170/86090</f>
        <v>0.48983621791148796</v>
      </c>
      <c r="I164" s="25">
        <f>36540/57630</f>
        <v>0.63404476834981782</v>
      </c>
      <c r="J164" s="25">
        <f>41600/58730</f>
        <v>0.70832623871956413</v>
      </c>
      <c r="K164" s="25">
        <f>38420/53440</f>
        <v>0.71893712574850299</v>
      </c>
      <c r="L164" s="25">
        <f t="shared" si="18"/>
        <v>0.14420855043832986</v>
      </c>
      <c r="M164" s="25">
        <f t="shared" si="19"/>
        <v>0.21849002080807617</v>
      </c>
      <c r="N164" s="25">
        <f>K164-H164</f>
        <v>0.22910090783701503</v>
      </c>
      <c r="O164" s="25">
        <v>0</v>
      </c>
    </row>
    <row r="165" spans="1:15" x14ac:dyDescent="0.25">
      <c r="A165" s="31" t="s">
        <v>18</v>
      </c>
      <c r="B165" s="26" t="s">
        <v>19</v>
      </c>
      <c r="C165" s="26">
        <v>2</v>
      </c>
      <c r="D165" s="26" t="s">
        <v>20</v>
      </c>
      <c r="E165" s="25" t="s">
        <v>28</v>
      </c>
      <c r="F165" s="25" t="str">
        <f t="shared" si="15"/>
        <v>M82_2_0</v>
      </c>
      <c r="G165" s="25">
        <v>4</v>
      </c>
      <c r="H165" s="25">
        <f>32120/58730</f>
        <v>0.54690958624212493</v>
      </c>
      <c r="I165" s="25">
        <f>60370/86090</f>
        <v>0.70124288535253809</v>
      </c>
      <c r="J165" s="25">
        <f>26400/57630</f>
        <v>0.45809474232170744</v>
      </c>
      <c r="K165" s="25">
        <f>14140/53440</f>
        <v>0.26459580838323354</v>
      </c>
      <c r="L165" s="25">
        <f t="shared" si="18"/>
        <v>0.15433329911041316</v>
      </c>
      <c r="M165" s="25">
        <f t="shared" si="19"/>
        <v>-8.8814843920417497E-2</v>
      </c>
      <c r="N165" s="25">
        <f>K165-H165</f>
        <v>-0.28231377785889139</v>
      </c>
      <c r="O165" s="25">
        <v>0</v>
      </c>
    </row>
    <row r="166" spans="1:15" x14ac:dyDescent="0.25">
      <c r="A166" s="31" t="s">
        <v>18</v>
      </c>
      <c r="B166" s="26" t="s">
        <v>19</v>
      </c>
      <c r="C166" s="26">
        <v>2</v>
      </c>
      <c r="D166" s="26" t="s">
        <v>20</v>
      </c>
      <c r="E166" s="25" t="s">
        <v>28</v>
      </c>
      <c r="F166" s="25" t="str">
        <f t="shared" si="15"/>
        <v>M82_2_0</v>
      </c>
      <c r="G166" s="25">
        <v>4</v>
      </c>
      <c r="H166" s="25">
        <f>33300/58730</f>
        <v>0.56700153243657414</v>
      </c>
      <c r="I166" s="25">
        <f>60150/86090</f>
        <v>0.69868742014171215</v>
      </c>
      <c r="L166" s="25">
        <f t="shared" si="18"/>
        <v>0.13168588770513801</v>
      </c>
      <c r="M166" s="25">
        <f t="shared" si="19"/>
        <v>-0.56700153243657414</v>
      </c>
      <c r="O166" s="25">
        <v>0</v>
      </c>
    </row>
    <row r="167" spans="1:15" x14ac:dyDescent="0.25">
      <c r="A167" s="31" t="s">
        <v>18</v>
      </c>
      <c r="B167" s="26" t="s">
        <v>19</v>
      </c>
      <c r="C167" s="26">
        <v>2</v>
      </c>
      <c r="D167" s="26" t="s">
        <v>20</v>
      </c>
      <c r="E167" s="25" t="s">
        <v>28</v>
      </c>
      <c r="F167" s="25" t="str">
        <f t="shared" si="15"/>
        <v>M82_2_0</v>
      </c>
      <c r="G167" s="25">
        <v>4</v>
      </c>
      <c r="H167" s="25">
        <f>34430/58730</f>
        <v>0.58624212497871619</v>
      </c>
      <c r="I167" s="25">
        <f>59610/86090</f>
        <v>0.69241491462423044</v>
      </c>
      <c r="L167" s="25">
        <f t="shared" si="18"/>
        <v>0.10617278964551424</v>
      </c>
      <c r="M167" s="25">
        <f t="shared" si="19"/>
        <v>-0.58624212497871619</v>
      </c>
      <c r="O167" s="25">
        <v>0</v>
      </c>
    </row>
    <row r="168" spans="1:15" x14ac:dyDescent="0.25">
      <c r="A168" s="31" t="s">
        <v>18</v>
      </c>
      <c r="B168" s="26" t="s">
        <v>19</v>
      </c>
      <c r="C168" s="26">
        <v>2</v>
      </c>
      <c r="D168" s="26" t="s">
        <v>20</v>
      </c>
      <c r="E168" s="25" t="s">
        <v>28</v>
      </c>
      <c r="F168" s="25" t="str">
        <f t="shared" si="15"/>
        <v>M82_2_0</v>
      </c>
      <c r="G168" s="25">
        <v>4</v>
      </c>
      <c r="H168" s="25">
        <f>35020/58730</f>
        <v>0.59628809807594074</v>
      </c>
      <c r="I168" s="25">
        <f>51950/86090</f>
        <v>0.6034382622836566</v>
      </c>
      <c r="L168" s="25">
        <f t="shared" si="18"/>
        <v>7.1501642077158589E-3</v>
      </c>
      <c r="M168" s="25">
        <f t="shared" si="19"/>
        <v>-0.59628809807594074</v>
      </c>
      <c r="O168" s="25">
        <v>0</v>
      </c>
    </row>
    <row r="169" spans="1:15" x14ac:dyDescent="0.25">
      <c r="A169" s="31" t="s">
        <v>18</v>
      </c>
      <c r="B169" s="26" t="s">
        <v>19</v>
      </c>
      <c r="C169" s="26">
        <v>2</v>
      </c>
      <c r="D169" s="26" t="s">
        <v>20</v>
      </c>
      <c r="E169" s="25" t="s">
        <v>28</v>
      </c>
      <c r="F169" s="25" t="str">
        <f t="shared" si="15"/>
        <v>M82_2_0</v>
      </c>
      <c r="G169" s="25">
        <v>5</v>
      </c>
      <c r="H169" s="25">
        <f>39120/58730</f>
        <v>0.66609909756512853</v>
      </c>
      <c r="I169" s="25">
        <f>48310/86090</f>
        <v>0.56115692879544665</v>
      </c>
      <c r="L169" s="25">
        <f t="shared" si="18"/>
        <v>-0.10494216876968188</v>
      </c>
      <c r="M169" s="25">
        <f t="shared" si="19"/>
        <v>-0.66609909756512853</v>
      </c>
      <c r="O169" s="25">
        <v>0</v>
      </c>
    </row>
    <row r="170" spans="1:15" x14ac:dyDescent="0.25">
      <c r="A170" s="31" t="s">
        <v>18</v>
      </c>
      <c r="B170" s="26" t="s">
        <v>19</v>
      </c>
      <c r="C170" s="26">
        <v>2</v>
      </c>
      <c r="D170" s="26" t="s">
        <v>20</v>
      </c>
      <c r="E170" s="25" t="s">
        <v>28</v>
      </c>
      <c r="F170" s="25" t="str">
        <f t="shared" si="15"/>
        <v>M82_2_0</v>
      </c>
      <c r="G170" s="25">
        <v>5</v>
      </c>
      <c r="H170" s="25">
        <f>41090/58730</f>
        <v>0.699642431466031</v>
      </c>
      <c r="I170" s="25">
        <f>60710/86090</f>
        <v>0.70519224067835984</v>
      </c>
      <c r="L170" s="25">
        <f t="shared" si="18"/>
        <v>5.5498092123288378E-3</v>
      </c>
      <c r="M170" s="25">
        <f t="shared" si="19"/>
        <v>-0.699642431466031</v>
      </c>
      <c r="O170" s="25">
        <v>0</v>
      </c>
    </row>
    <row r="171" spans="1:15" x14ac:dyDescent="0.25">
      <c r="A171" s="31" t="s">
        <v>22</v>
      </c>
      <c r="B171" s="26" t="s">
        <v>19</v>
      </c>
      <c r="C171" s="26">
        <v>2</v>
      </c>
      <c r="D171" s="26" t="s">
        <v>20</v>
      </c>
      <c r="E171" s="25" t="s">
        <v>28</v>
      </c>
      <c r="F171" s="25" t="str">
        <f t="shared" si="15"/>
        <v>M82_2_0</v>
      </c>
      <c r="O171" s="25">
        <v>0</v>
      </c>
    </row>
    <row r="172" spans="1:15" x14ac:dyDescent="0.25">
      <c r="A172" s="31" t="s">
        <v>22</v>
      </c>
      <c r="B172" s="26" t="s">
        <v>19</v>
      </c>
      <c r="C172" s="26">
        <v>2</v>
      </c>
      <c r="D172" s="26" t="s">
        <v>20</v>
      </c>
      <c r="E172" s="25" t="s">
        <v>28</v>
      </c>
      <c r="F172" s="25" t="str">
        <f t="shared" si="15"/>
        <v>M82_2_0</v>
      </c>
      <c r="O172" s="25">
        <v>0</v>
      </c>
    </row>
    <row r="173" spans="1:15" x14ac:dyDescent="0.25">
      <c r="A173" s="31" t="s">
        <v>22</v>
      </c>
      <c r="B173" s="26" t="s">
        <v>19</v>
      </c>
      <c r="C173" s="26">
        <v>2</v>
      </c>
      <c r="D173" s="26" t="s">
        <v>20</v>
      </c>
      <c r="E173" s="25" t="s">
        <v>28</v>
      </c>
      <c r="F173" s="25" t="str">
        <f t="shared" si="15"/>
        <v>M82_2_0</v>
      </c>
      <c r="O173" s="25">
        <v>0</v>
      </c>
    </row>
    <row r="174" spans="1:15" x14ac:dyDescent="0.25">
      <c r="A174" s="31" t="s">
        <v>22</v>
      </c>
      <c r="B174" s="26" t="s">
        <v>19</v>
      </c>
      <c r="C174" s="26">
        <v>2</v>
      </c>
      <c r="D174" s="26" t="s">
        <v>20</v>
      </c>
      <c r="E174" s="25" t="s">
        <v>28</v>
      </c>
      <c r="F174" s="25" t="str">
        <f t="shared" si="15"/>
        <v>M82_2_0</v>
      </c>
      <c r="O174" s="25">
        <v>0</v>
      </c>
    </row>
    <row r="175" spans="1:15" x14ac:dyDescent="0.25">
      <c r="A175" s="31" t="s">
        <v>22</v>
      </c>
      <c r="B175" s="26" t="s">
        <v>19</v>
      </c>
      <c r="C175" s="26">
        <v>2</v>
      </c>
      <c r="D175" s="26" t="s">
        <v>20</v>
      </c>
      <c r="E175" s="25" t="s">
        <v>28</v>
      </c>
      <c r="F175" s="25" t="str">
        <f t="shared" si="15"/>
        <v>M82_2_0</v>
      </c>
      <c r="O175" s="25">
        <v>0</v>
      </c>
    </row>
    <row r="176" spans="1:15" x14ac:dyDescent="0.25">
      <c r="A176" s="31" t="s">
        <v>22</v>
      </c>
      <c r="B176" s="26" t="s">
        <v>19</v>
      </c>
      <c r="C176" s="26">
        <v>2</v>
      </c>
      <c r="D176" s="26" t="s">
        <v>20</v>
      </c>
      <c r="E176" s="25" t="s">
        <v>28</v>
      </c>
      <c r="F176" s="25" t="str">
        <f t="shared" si="15"/>
        <v>M82_2_0</v>
      </c>
      <c r="O176" s="25">
        <v>0</v>
      </c>
    </row>
    <row r="177" spans="1:20" x14ac:dyDescent="0.25">
      <c r="A177" s="31" t="s">
        <v>22</v>
      </c>
      <c r="B177" s="26" t="s">
        <v>19</v>
      </c>
      <c r="C177" s="26">
        <v>2</v>
      </c>
      <c r="D177" s="26" t="s">
        <v>20</v>
      </c>
      <c r="E177" s="25" t="s">
        <v>28</v>
      </c>
      <c r="F177" s="25" t="str">
        <f t="shared" si="15"/>
        <v>M82_2_0</v>
      </c>
      <c r="O177" s="25">
        <v>0</v>
      </c>
    </row>
    <row r="178" spans="1:20" x14ac:dyDescent="0.25">
      <c r="A178" s="31" t="s">
        <v>22</v>
      </c>
      <c r="B178" s="26" t="s">
        <v>19</v>
      </c>
      <c r="C178" s="26">
        <v>2</v>
      </c>
      <c r="D178" s="26" t="s">
        <v>20</v>
      </c>
      <c r="E178" s="25" t="s">
        <v>28</v>
      </c>
      <c r="F178" s="25" t="str">
        <f t="shared" si="15"/>
        <v>M82_2_0</v>
      </c>
      <c r="O178" s="25">
        <v>0</v>
      </c>
    </row>
    <row r="179" spans="1:20" x14ac:dyDescent="0.25">
      <c r="A179" s="31" t="s">
        <v>22</v>
      </c>
      <c r="B179" s="26" t="s">
        <v>19</v>
      </c>
      <c r="C179" s="26">
        <v>2</v>
      </c>
      <c r="D179" s="26" t="s">
        <v>20</v>
      </c>
      <c r="E179" s="25" t="s">
        <v>28</v>
      </c>
      <c r="F179" s="25" t="str">
        <f t="shared" si="15"/>
        <v>M82_2_0</v>
      </c>
      <c r="O179" s="25">
        <v>0</v>
      </c>
    </row>
    <row r="180" spans="1:20" x14ac:dyDescent="0.25">
      <c r="A180" s="31" t="s">
        <v>22</v>
      </c>
      <c r="B180" s="26" t="s">
        <v>19</v>
      </c>
      <c r="C180" s="26">
        <v>2</v>
      </c>
      <c r="D180" s="26" t="s">
        <v>20</v>
      </c>
      <c r="E180" s="25" t="s">
        <v>28</v>
      </c>
      <c r="F180" s="25" t="str">
        <f t="shared" si="15"/>
        <v>M82_2_0</v>
      </c>
      <c r="O180" s="25">
        <v>0</v>
      </c>
    </row>
    <row r="181" spans="1:20" s="27" customFormat="1" ht="15.75" thickBot="1" x14ac:dyDescent="0.3">
      <c r="A181" s="30" t="s">
        <v>22</v>
      </c>
      <c r="B181" s="29" t="s">
        <v>19</v>
      </c>
      <c r="C181" s="29">
        <v>2</v>
      </c>
      <c r="D181" s="29" t="s">
        <v>20</v>
      </c>
      <c r="E181" s="28" t="s">
        <v>28</v>
      </c>
      <c r="F181" s="28" t="str">
        <f t="shared" si="15"/>
        <v>M82_2_0</v>
      </c>
      <c r="G181" s="28"/>
      <c r="H181" s="28"/>
      <c r="I181" s="28"/>
      <c r="J181" s="28"/>
      <c r="K181" s="28"/>
      <c r="L181" s="28"/>
      <c r="M181" s="28"/>
      <c r="N181" s="28"/>
      <c r="O181" s="28">
        <v>0</v>
      </c>
      <c r="P181" s="28"/>
      <c r="Q181" s="28"/>
      <c r="R181" s="28"/>
      <c r="S181" s="28"/>
      <c r="T181" s="28"/>
    </row>
    <row r="182" spans="1:20" x14ac:dyDescent="0.25">
      <c r="A182" s="26" t="s">
        <v>22</v>
      </c>
      <c r="B182" s="26" t="s">
        <v>19</v>
      </c>
      <c r="C182" s="26">
        <v>2</v>
      </c>
      <c r="D182" s="26" t="s">
        <v>23</v>
      </c>
      <c r="E182" s="25" t="s">
        <v>29</v>
      </c>
      <c r="F182" s="25" t="str">
        <f t="shared" si="15"/>
        <v>M82_2_0,1</v>
      </c>
      <c r="O182" s="25">
        <v>1</v>
      </c>
      <c r="S182" s="25">
        <v>1</v>
      </c>
      <c r="T182" s="25">
        <v>15</v>
      </c>
    </row>
    <row r="183" spans="1:20" x14ac:dyDescent="0.25">
      <c r="A183" s="26" t="s">
        <v>22</v>
      </c>
      <c r="B183" s="26" t="s">
        <v>19</v>
      </c>
      <c r="C183" s="26">
        <v>2</v>
      </c>
      <c r="D183" s="26" t="s">
        <v>23</v>
      </c>
      <c r="E183" s="25" t="s">
        <v>29</v>
      </c>
      <c r="F183" s="25" t="str">
        <f t="shared" si="15"/>
        <v>M82_2_0,1</v>
      </c>
      <c r="O183" s="25">
        <v>1</v>
      </c>
      <c r="S183" s="25">
        <v>1</v>
      </c>
      <c r="T183" s="25">
        <v>15</v>
      </c>
    </row>
    <row r="184" spans="1:20" x14ac:dyDescent="0.25">
      <c r="A184" s="26" t="s">
        <v>18</v>
      </c>
      <c r="B184" s="26" t="s">
        <v>19</v>
      </c>
      <c r="C184" s="26">
        <v>2</v>
      </c>
      <c r="D184" s="26" t="s">
        <v>23</v>
      </c>
      <c r="E184" s="25" t="s">
        <v>29</v>
      </c>
      <c r="F184" s="25" t="str">
        <f t="shared" si="15"/>
        <v>M82_2_0,1</v>
      </c>
      <c r="G184" s="25">
        <v>4</v>
      </c>
      <c r="H184" s="25">
        <f>40800/86090</f>
        <v>0.4739226390986177</v>
      </c>
      <c r="I184" s="25">
        <f>57880/58730</f>
        <v>0.98552698791077809</v>
      </c>
      <c r="J184" s="25">
        <f>83160/53440</f>
        <v>1.5561377245508983</v>
      </c>
      <c r="K184" s="25">
        <f>69140/57630</f>
        <v>1.1997223668228354</v>
      </c>
      <c r="L184" s="25">
        <f>I184-H184</f>
        <v>0.51160434881216044</v>
      </c>
      <c r="M184" s="25">
        <f>J184-H184</f>
        <v>1.0822150854522805</v>
      </c>
      <c r="N184" s="25">
        <f>K184-H184</f>
        <v>0.72579972772421764</v>
      </c>
      <c r="O184" s="25">
        <v>1</v>
      </c>
      <c r="P184" s="25">
        <f>23740/53440</f>
        <v>0.44423652694610777</v>
      </c>
      <c r="Q184" s="25">
        <f>50550/53440</f>
        <v>0.94592065868263475</v>
      </c>
      <c r="R184" s="25">
        <v>78.844963204917903</v>
      </c>
      <c r="S184" s="25">
        <v>1</v>
      </c>
      <c r="T184" s="25">
        <v>14</v>
      </c>
    </row>
    <row r="185" spans="1:20" x14ac:dyDescent="0.25">
      <c r="A185" s="26" t="s">
        <v>18</v>
      </c>
      <c r="B185" s="26" t="s">
        <v>19</v>
      </c>
      <c r="C185" s="26">
        <v>2</v>
      </c>
      <c r="D185" s="26" t="s">
        <v>23</v>
      </c>
      <c r="E185" s="25" t="s">
        <v>29</v>
      </c>
      <c r="F185" s="25" t="str">
        <f t="shared" si="15"/>
        <v>M82_2_0,1</v>
      </c>
      <c r="G185" s="25">
        <v>6</v>
      </c>
      <c r="H185" s="25">
        <f>89090/86090</f>
        <v>1.0348472528748984</v>
      </c>
      <c r="I185" s="25">
        <f>62820/58730</f>
        <v>1.0696407287587264</v>
      </c>
      <c r="J185" s="25">
        <f>140300/53440</f>
        <v>2.6253742514970062</v>
      </c>
      <c r="K185" s="25">
        <f>163800/57630</f>
        <v>2.842269651223321</v>
      </c>
      <c r="L185" s="25">
        <f>I185-H185</f>
        <v>3.4793475883827973E-2</v>
      </c>
      <c r="M185" s="25">
        <f>J185-H185</f>
        <v>1.5905269986221078</v>
      </c>
      <c r="N185" s="25">
        <f>K185-H185</f>
        <v>1.8074223983484226</v>
      </c>
      <c r="O185" s="25">
        <v>1</v>
      </c>
      <c r="P185" s="25">
        <f>57010/57630</f>
        <v>0.98924171438486896</v>
      </c>
      <c r="Q185" s="25">
        <f>69500/53440</f>
        <v>1.3005239520958083</v>
      </c>
      <c r="R185" s="25">
        <v>45.756529523370844</v>
      </c>
      <c r="S185" s="25">
        <v>1</v>
      </c>
      <c r="T185" s="25">
        <v>14</v>
      </c>
    </row>
    <row r="186" spans="1:20" x14ac:dyDescent="0.25">
      <c r="A186" s="26" t="s">
        <v>22</v>
      </c>
      <c r="B186" s="26" t="s">
        <v>19</v>
      </c>
      <c r="C186" s="26">
        <v>2</v>
      </c>
      <c r="D186" s="26" t="s">
        <v>23</v>
      </c>
      <c r="E186" s="25" t="s">
        <v>29</v>
      </c>
      <c r="F186" s="25" t="str">
        <f t="shared" si="15"/>
        <v>M82_2_0,1</v>
      </c>
      <c r="O186" s="25">
        <v>1</v>
      </c>
      <c r="S186" s="25">
        <v>1</v>
      </c>
      <c r="T186" s="25">
        <v>14</v>
      </c>
    </row>
    <row r="187" spans="1:20" x14ac:dyDescent="0.25">
      <c r="A187" s="26" t="s">
        <v>22</v>
      </c>
      <c r="B187" s="26" t="s">
        <v>19</v>
      </c>
      <c r="C187" s="26">
        <v>2</v>
      </c>
      <c r="D187" s="26" t="s">
        <v>23</v>
      </c>
      <c r="E187" s="25" t="s">
        <v>29</v>
      </c>
      <c r="F187" s="25" t="str">
        <f t="shared" si="15"/>
        <v>M82_2_0,1</v>
      </c>
      <c r="O187" s="25">
        <v>1</v>
      </c>
      <c r="S187" s="25">
        <v>1</v>
      </c>
      <c r="T187" s="25">
        <v>14</v>
      </c>
    </row>
    <row r="188" spans="1:20" x14ac:dyDescent="0.25">
      <c r="A188" s="26" t="s">
        <v>22</v>
      </c>
      <c r="B188" s="26" t="s">
        <v>19</v>
      </c>
      <c r="C188" s="26">
        <v>2</v>
      </c>
      <c r="D188" s="26" t="s">
        <v>23</v>
      </c>
      <c r="E188" s="25" t="s">
        <v>29</v>
      </c>
      <c r="F188" s="25" t="str">
        <f t="shared" si="15"/>
        <v>M82_2_0,1</v>
      </c>
      <c r="O188" s="25">
        <v>1</v>
      </c>
      <c r="S188" s="25">
        <v>1</v>
      </c>
      <c r="T188" s="25">
        <v>12</v>
      </c>
    </row>
    <row r="189" spans="1:20" x14ac:dyDescent="0.25">
      <c r="A189" s="26" t="s">
        <v>18</v>
      </c>
      <c r="B189" s="26" t="s">
        <v>19</v>
      </c>
      <c r="C189" s="26">
        <v>2</v>
      </c>
      <c r="D189" s="26" t="s">
        <v>23</v>
      </c>
      <c r="E189" s="25" t="s">
        <v>29</v>
      </c>
      <c r="F189" s="25" t="str">
        <f t="shared" si="15"/>
        <v>M82_2_0,1</v>
      </c>
      <c r="G189" s="25">
        <v>5</v>
      </c>
      <c r="H189" s="25">
        <f>42610/58730</f>
        <v>0.72552358249616888</v>
      </c>
      <c r="I189" s="25">
        <f>55620/86090</f>
        <v>0.64606806830061558</v>
      </c>
      <c r="J189" s="25">
        <f>33800/57630</f>
        <v>0.58650008676036791</v>
      </c>
      <c r="K189" s="25">
        <f>28170/53440</f>
        <v>0.52713323353293418</v>
      </c>
      <c r="L189" s="25">
        <f>I189-H189</f>
        <v>-7.9455514195553301E-2</v>
      </c>
      <c r="M189" s="25">
        <f>J189-H189</f>
        <v>-0.13902349573580097</v>
      </c>
      <c r="N189" s="25">
        <f>K189-H189</f>
        <v>-0.19839034896323471</v>
      </c>
      <c r="O189" s="25">
        <v>1</v>
      </c>
      <c r="S189" s="25">
        <v>1</v>
      </c>
      <c r="T189" s="25">
        <v>12</v>
      </c>
    </row>
    <row r="190" spans="1:20" x14ac:dyDescent="0.25">
      <c r="A190" s="26" t="s">
        <v>22</v>
      </c>
      <c r="B190" s="26" t="s">
        <v>19</v>
      </c>
      <c r="C190" s="26">
        <v>2</v>
      </c>
      <c r="D190" s="26" t="s">
        <v>23</v>
      </c>
      <c r="E190" s="25" t="s">
        <v>29</v>
      </c>
      <c r="F190" s="25" t="str">
        <f t="shared" si="15"/>
        <v>M82_2_0,1</v>
      </c>
      <c r="O190" s="25">
        <v>1</v>
      </c>
      <c r="S190" s="25">
        <v>1</v>
      </c>
      <c r="T190" s="25">
        <v>11</v>
      </c>
    </row>
    <row r="191" spans="1:20" x14ac:dyDescent="0.25">
      <c r="A191" s="26" t="s">
        <v>22</v>
      </c>
      <c r="B191" s="26" t="s">
        <v>19</v>
      </c>
      <c r="C191" s="26">
        <v>2</v>
      </c>
      <c r="D191" s="26" t="s">
        <v>23</v>
      </c>
      <c r="E191" s="25" t="s">
        <v>29</v>
      </c>
      <c r="F191" s="25" t="str">
        <f t="shared" si="15"/>
        <v>M82_2_0,1</v>
      </c>
      <c r="O191" s="25">
        <v>1</v>
      </c>
      <c r="S191" s="25">
        <v>1</v>
      </c>
      <c r="T191" s="25">
        <v>10</v>
      </c>
    </row>
    <row r="192" spans="1:20" x14ac:dyDescent="0.25">
      <c r="A192" s="26" t="s">
        <v>25</v>
      </c>
      <c r="B192" s="26" t="s">
        <v>19</v>
      </c>
      <c r="C192" s="26">
        <v>2</v>
      </c>
      <c r="D192" s="26" t="s">
        <v>23</v>
      </c>
      <c r="E192" s="25" t="s">
        <v>29</v>
      </c>
      <c r="F192" s="25" t="str">
        <f t="shared" si="15"/>
        <v>M82_2_0,1</v>
      </c>
      <c r="G192" s="25">
        <v>5</v>
      </c>
      <c r="H192" s="25">
        <f>38730/60840</f>
        <v>0.63658777120315579</v>
      </c>
      <c r="I192" s="25">
        <f>60640/55080</f>
        <v>1.1009440813362381</v>
      </c>
      <c r="J192" s="25">
        <f>139000/52540</f>
        <v>2.6456033498287019</v>
      </c>
      <c r="K192" s="25">
        <f>195500/54880</f>
        <v>3.5623177842565599</v>
      </c>
      <c r="L192" s="25">
        <f>I192-H192</f>
        <v>0.46435631013308232</v>
      </c>
      <c r="M192" s="25">
        <f>J192-H192</f>
        <v>2.0090155786255464</v>
      </c>
      <c r="N192" s="25">
        <f>K192-H192</f>
        <v>2.9257300130534043</v>
      </c>
      <c r="O192" s="25">
        <v>1</v>
      </c>
      <c r="P192" s="25">
        <f>115000/52540</f>
        <v>2.1888085268366959</v>
      </c>
      <c r="Q192" s="25">
        <f>156600/54880</f>
        <v>2.8534985422740524</v>
      </c>
      <c r="R192" s="25">
        <v>80.102301790281331</v>
      </c>
      <c r="S192" s="25">
        <v>1</v>
      </c>
      <c r="T192" s="25">
        <v>9</v>
      </c>
    </row>
    <row r="193" spans="1:20" x14ac:dyDescent="0.25">
      <c r="A193" s="26" t="s">
        <v>22</v>
      </c>
      <c r="B193" s="26" t="s">
        <v>19</v>
      </c>
      <c r="C193" s="26">
        <v>2</v>
      </c>
      <c r="D193" s="26" t="s">
        <v>23</v>
      </c>
      <c r="E193" s="25" t="s">
        <v>29</v>
      </c>
      <c r="F193" s="25" t="str">
        <f t="shared" si="15"/>
        <v>M82_2_0,1</v>
      </c>
      <c r="O193" s="25">
        <v>1</v>
      </c>
      <c r="S193" s="25">
        <v>1</v>
      </c>
      <c r="T193" s="25">
        <v>9</v>
      </c>
    </row>
    <row r="194" spans="1:20" x14ac:dyDescent="0.25">
      <c r="A194" s="26" t="s">
        <v>22</v>
      </c>
      <c r="B194" s="26" t="s">
        <v>19</v>
      </c>
      <c r="C194" s="26">
        <v>2</v>
      </c>
      <c r="D194" s="26" t="s">
        <v>23</v>
      </c>
      <c r="E194" s="25" t="s">
        <v>29</v>
      </c>
      <c r="F194" s="25" t="str">
        <f t="shared" ref="F194:F257" si="20">CONCATENATE(B194,"_",E194)</f>
        <v>M82_2_0,1</v>
      </c>
      <c r="O194" s="25">
        <v>1</v>
      </c>
      <c r="S194" s="25">
        <v>1</v>
      </c>
      <c r="T194" s="25">
        <v>8</v>
      </c>
    </row>
    <row r="195" spans="1:20" x14ac:dyDescent="0.25">
      <c r="A195" s="26" t="s">
        <v>18</v>
      </c>
      <c r="B195" s="26" t="s">
        <v>19</v>
      </c>
      <c r="C195" s="26">
        <v>2</v>
      </c>
      <c r="D195" s="26" t="s">
        <v>23</v>
      </c>
      <c r="E195" s="25" t="s">
        <v>29</v>
      </c>
      <c r="F195" s="25" t="str">
        <f t="shared" si="20"/>
        <v>M82_2_0,1</v>
      </c>
      <c r="G195" s="25">
        <v>3</v>
      </c>
      <c r="H195" s="25">
        <f>33960/86090</f>
        <v>0.39447090254384948</v>
      </c>
      <c r="I195" s="25">
        <f>30550/58730</f>
        <v>0.5201770815596799</v>
      </c>
      <c r="J195" s="25">
        <f>101700/57630</f>
        <v>1.7647058823529411</v>
      </c>
      <c r="L195" s="25">
        <f>I195-H195</f>
        <v>0.12570617901583042</v>
      </c>
      <c r="M195" s="25">
        <f>J195-H195</f>
        <v>1.3702349798090916</v>
      </c>
      <c r="O195" s="25">
        <v>1</v>
      </c>
      <c r="S195" s="25">
        <v>1</v>
      </c>
      <c r="T195" s="25">
        <v>8</v>
      </c>
    </row>
    <row r="196" spans="1:20" x14ac:dyDescent="0.25">
      <c r="A196" s="26" t="s">
        <v>22</v>
      </c>
      <c r="B196" s="26" t="s">
        <v>19</v>
      </c>
      <c r="C196" s="26">
        <v>2</v>
      </c>
      <c r="D196" s="26" t="s">
        <v>23</v>
      </c>
      <c r="E196" s="25" t="s">
        <v>29</v>
      </c>
      <c r="F196" s="25" t="str">
        <f t="shared" si="20"/>
        <v>M82_2_0,1</v>
      </c>
      <c r="O196" s="25">
        <v>1</v>
      </c>
      <c r="S196" s="25">
        <v>1</v>
      </c>
      <c r="T196" s="25">
        <v>7</v>
      </c>
    </row>
    <row r="197" spans="1:20" x14ac:dyDescent="0.25">
      <c r="A197" s="26" t="s">
        <v>18</v>
      </c>
      <c r="B197" s="26" t="s">
        <v>19</v>
      </c>
      <c r="C197" s="26">
        <v>2</v>
      </c>
      <c r="D197" s="26" t="s">
        <v>23</v>
      </c>
      <c r="E197" s="25" t="s">
        <v>29</v>
      </c>
      <c r="F197" s="25" t="str">
        <f t="shared" si="20"/>
        <v>M82_2_0,1</v>
      </c>
      <c r="G197" s="25">
        <v>5</v>
      </c>
      <c r="H197" s="25">
        <f>40520/58730</f>
        <v>0.68993699982972923</v>
      </c>
      <c r="I197" s="25">
        <f>60900/86090</f>
        <v>0.70739923336043675</v>
      </c>
      <c r="J197" s="25">
        <f>126800/57630</f>
        <v>2.2002429290300189</v>
      </c>
      <c r="L197" s="25">
        <f t="shared" ref="L197:L203" si="21">I197-H197</f>
        <v>1.7462233530707527E-2</v>
      </c>
      <c r="M197" s="25">
        <f t="shared" ref="M197:M203" si="22">J197-H197</f>
        <v>1.5103059292002898</v>
      </c>
      <c r="O197" s="25">
        <v>1</v>
      </c>
      <c r="S197" s="25">
        <v>1</v>
      </c>
      <c r="T197" s="25">
        <v>7</v>
      </c>
    </row>
    <row r="198" spans="1:20" x14ac:dyDescent="0.25">
      <c r="A198" s="26" t="s">
        <v>18</v>
      </c>
      <c r="B198" s="26" t="s">
        <v>19</v>
      </c>
      <c r="C198" s="26">
        <v>2</v>
      </c>
      <c r="D198" s="26" t="s">
        <v>23</v>
      </c>
      <c r="E198" s="25" t="s">
        <v>29</v>
      </c>
      <c r="F198" s="25" t="str">
        <f t="shared" si="20"/>
        <v>M82_2_0,1</v>
      </c>
      <c r="G198" s="25">
        <v>2</v>
      </c>
      <c r="H198" s="25">
        <f>17640/58730</f>
        <v>0.300357568533969</v>
      </c>
      <c r="I198" s="25">
        <f>42830/86090</f>
        <v>0.49750261354396563</v>
      </c>
      <c r="J198" s="25">
        <f>85750/57630</f>
        <v>1.4879403088669096</v>
      </c>
      <c r="K198" s="25">
        <f>126600/53440</f>
        <v>2.3690119760479043</v>
      </c>
      <c r="L198" s="25">
        <f t="shared" si="21"/>
        <v>0.19714504500999663</v>
      </c>
      <c r="M198" s="25">
        <f t="shared" si="22"/>
        <v>1.1875827403329406</v>
      </c>
      <c r="N198" s="25">
        <f>K198-H198</f>
        <v>2.068654407513935</v>
      </c>
      <c r="O198" s="25">
        <v>1</v>
      </c>
      <c r="P198" s="25">
        <f>25750/53440</f>
        <v>0.48184880239520961</v>
      </c>
      <c r="Q198" s="25">
        <f>46670/53440</f>
        <v>0.87331586826347307</v>
      </c>
      <c r="R198" s="25">
        <v>36.864139020537124</v>
      </c>
      <c r="S198" s="25">
        <v>1</v>
      </c>
      <c r="T198" s="25">
        <v>6</v>
      </c>
    </row>
    <row r="199" spans="1:20" x14ac:dyDescent="0.25">
      <c r="A199" s="26" t="s">
        <v>18</v>
      </c>
      <c r="B199" s="26" t="s">
        <v>19</v>
      </c>
      <c r="C199" s="26">
        <v>2</v>
      </c>
      <c r="D199" s="26" t="s">
        <v>23</v>
      </c>
      <c r="E199" s="25" t="s">
        <v>29</v>
      </c>
      <c r="F199" s="25" t="str">
        <f t="shared" si="20"/>
        <v>M82_2_0,1</v>
      </c>
      <c r="G199" s="25">
        <v>3</v>
      </c>
      <c r="H199" s="25">
        <f>32920/86090</f>
        <v>0.38239052154721803</v>
      </c>
      <c r="I199" s="25">
        <f>49050/58730</f>
        <v>0.8351779329133322</v>
      </c>
      <c r="J199" s="25">
        <f>131800/57630</f>
        <v>2.2870032968939786</v>
      </c>
      <c r="K199" s="25">
        <f>148600/53440</f>
        <v>2.7806886227544911</v>
      </c>
      <c r="L199" s="25">
        <f t="shared" si="21"/>
        <v>0.45278741136611417</v>
      </c>
      <c r="M199" s="25">
        <f t="shared" si="22"/>
        <v>1.9046127753467605</v>
      </c>
      <c r="N199" s="25">
        <f>K199-H199</f>
        <v>2.3982981012072733</v>
      </c>
      <c r="O199" s="25">
        <v>1</v>
      </c>
      <c r="P199" s="25">
        <f>60010/57630</f>
        <v>1.0412979351032448</v>
      </c>
      <c r="Q199" s="25">
        <f>111800/53440</f>
        <v>2.092065868263473</v>
      </c>
      <c r="R199" s="25">
        <v>75.235531628532968</v>
      </c>
      <c r="S199" s="25">
        <v>1</v>
      </c>
      <c r="T199" s="25">
        <v>5</v>
      </c>
    </row>
    <row r="200" spans="1:20" x14ac:dyDescent="0.25">
      <c r="A200" s="26" t="s">
        <v>25</v>
      </c>
      <c r="B200" s="26" t="s">
        <v>19</v>
      </c>
      <c r="C200" s="26">
        <v>2</v>
      </c>
      <c r="D200" s="26" t="s">
        <v>23</v>
      </c>
      <c r="E200" s="25" t="s">
        <v>29</v>
      </c>
      <c r="F200" s="25" t="str">
        <f t="shared" si="20"/>
        <v>M82_2_0,1</v>
      </c>
      <c r="G200" s="25">
        <v>4</v>
      </c>
      <c r="H200" s="25">
        <f>33310/60840</f>
        <v>0.54750164365548981</v>
      </c>
      <c r="I200" s="25">
        <f>86590/55080</f>
        <v>1.572076978939724</v>
      </c>
      <c r="J200" s="25">
        <f>159000/52540</f>
        <v>3.0262657023220405</v>
      </c>
      <c r="K200" s="25">
        <f>206000/54880</f>
        <v>3.7536443148688048</v>
      </c>
      <c r="L200" s="25">
        <f t="shared" si="21"/>
        <v>1.0245753352842342</v>
      </c>
      <c r="M200" s="25">
        <f t="shared" si="22"/>
        <v>2.4787640586665507</v>
      </c>
      <c r="N200" s="25">
        <f>K200-H200</f>
        <v>3.206142671213315</v>
      </c>
      <c r="O200" s="25">
        <v>1</v>
      </c>
      <c r="P200" s="25">
        <f>117400/52540</f>
        <v>2.2344880091358963</v>
      </c>
      <c r="Q200" s="25">
        <f>135800/54880</f>
        <v>2.4744897959183674</v>
      </c>
      <c r="R200" s="25">
        <v>65.922330097087382</v>
      </c>
      <c r="S200" s="25">
        <v>1</v>
      </c>
      <c r="T200" s="25">
        <v>5</v>
      </c>
    </row>
    <row r="201" spans="1:20" x14ac:dyDescent="0.25">
      <c r="A201" s="26" t="s">
        <v>18</v>
      </c>
      <c r="B201" s="26" t="s">
        <v>19</v>
      </c>
      <c r="C201" s="26">
        <v>2</v>
      </c>
      <c r="D201" s="26" t="s">
        <v>23</v>
      </c>
      <c r="E201" s="25" t="s">
        <v>29</v>
      </c>
      <c r="F201" s="25" t="str">
        <f t="shared" si="20"/>
        <v>M82_2_0,1</v>
      </c>
      <c r="G201" s="25">
        <v>5</v>
      </c>
      <c r="H201" s="25">
        <f>38920/58730</f>
        <v>0.66269368295589992</v>
      </c>
      <c r="I201" s="25">
        <f>82170/86090</f>
        <v>0.95446625624346615</v>
      </c>
      <c r="J201" s="25">
        <f>109100/57630</f>
        <v>1.8931112267916015</v>
      </c>
      <c r="L201" s="25">
        <f t="shared" si="21"/>
        <v>0.29177257328756623</v>
      </c>
      <c r="M201" s="25">
        <f t="shared" si="22"/>
        <v>1.2304175438357015</v>
      </c>
      <c r="O201" s="25">
        <v>1</v>
      </c>
      <c r="S201" s="25">
        <v>1</v>
      </c>
      <c r="T201" s="25">
        <v>5</v>
      </c>
    </row>
    <row r="202" spans="1:20" x14ac:dyDescent="0.25">
      <c r="A202" s="26" t="s">
        <v>25</v>
      </c>
      <c r="B202" s="26" t="s">
        <v>19</v>
      </c>
      <c r="C202" s="26">
        <v>2</v>
      </c>
      <c r="D202" s="26" t="s">
        <v>23</v>
      </c>
      <c r="E202" s="25" t="s">
        <v>29</v>
      </c>
      <c r="F202" s="25" t="str">
        <f t="shared" si="20"/>
        <v>M82_2_0,1</v>
      </c>
      <c r="G202" s="25">
        <v>4</v>
      </c>
      <c r="H202" s="25">
        <f>34280/60840</f>
        <v>0.56344510190664032</v>
      </c>
      <c r="I202" s="25">
        <f>52590/55080</f>
        <v>0.95479302832244006</v>
      </c>
      <c r="J202" s="25">
        <f>94740/52540</f>
        <v>1.8031975637609441</v>
      </c>
      <c r="K202" s="25">
        <f>182400/54880</f>
        <v>3.323615160349854</v>
      </c>
      <c r="L202" s="25">
        <f t="shared" si="21"/>
        <v>0.39134792641579974</v>
      </c>
      <c r="M202" s="25">
        <f t="shared" si="22"/>
        <v>1.2397524618543039</v>
      </c>
      <c r="N202" s="25">
        <f>K202-H202</f>
        <v>2.7601700584432138</v>
      </c>
      <c r="O202" s="25">
        <v>1</v>
      </c>
      <c r="P202" s="25">
        <f>72070/52540</f>
        <v>1.3717167872097449</v>
      </c>
      <c r="Q202" s="25">
        <f>95800/54880</f>
        <v>1.7456268221574345</v>
      </c>
      <c r="R202" s="25">
        <v>52.521929824561411</v>
      </c>
      <c r="S202" s="25">
        <v>1</v>
      </c>
      <c r="T202" s="25">
        <v>4</v>
      </c>
    </row>
    <row r="203" spans="1:20" x14ac:dyDescent="0.25">
      <c r="A203" s="26" t="s">
        <v>18</v>
      </c>
      <c r="B203" s="26" t="s">
        <v>19</v>
      </c>
      <c r="C203" s="26">
        <v>2</v>
      </c>
      <c r="D203" s="26" t="s">
        <v>23</v>
      </c>
      <c r="E203" s="25" t="s">
        <v>29</v>
      </c>
      <c r="F203" s="25" t="str">
        <f t="shared" si="20"/>
        <v>M82_2_0,1</v>
      </c>
      <c r="G203" s="25">
        <v>5</v>
      </c>
      <c r="H203" s="25">
        <f>37120/58730</f>
        <v>0.63204495147284179</v>
      </c>
      <c r="I203" s="25">
        <f>114400/86090</f>
        <v>1.3288419096294575</v>
      </c>
      <c r="J203" s="25">
        <f>126400/57630</f>
        <v>2.1933020996009023</v>
      </c>
      <c r="K203" s="25">
        <f>136400/53440</f>
        <v>2.5523952095808382</v>
      </c>
      <c r="L203" s="25">
        <f t="shared" si="21"/>
        <v>0.69679695815661569</v>
      </c>
      <c r="M203" s="25">
        <f t="shared" si="22"/>
        <v>1.5612571481280604</v>
      </c>
      <c r="N203" s="25">
        <f>K203-H203</f>
        <v>1.9203502581079963</v>
      </c>
      <c r="O203" s="25">
        <v>1</v>
      </c>
      <c r="P203" s="25">
        <f>50820/57630</f>
        <v>0.88183237896928679</v>
      </c>
      <c r="Q203" s="25">
        <f>125700/53440</f>
        <v>2.3521706586826348</v>
      </c>
      <c r="R203" s="25">
        <v>92.15542521994135</v>
      </c>
      <c r="S203" s="25">
        <v>1</v>
      </c>
      <c r="T203" s="25">
        <v>4</v>
      </c>
    </row>
    <row r="204" spans="1:20" x14ac:dyDescent="0.25">
      <c r="A204" s="26" t="s">
        <v>22</v>
      </c>
      <c r="B204" s="26" t="s">
        <v>19</v>
      </c>
      <c r="C204" s="26">
        <v>2</v>
      </c>
      <c r="D204" s="26" t="s">
        <v>23</v>
      </c>
      <c r="E204" s="25" t="s">
        <v>29</v>
      </c>
      <c r="F204" s="25" t="str">
        <f t="shared" si="20"/>
        <v>M82_2_0,1</v>
      </c>
      <c r="O204" s="25">
        <v>1</v>
      </c>
      <c r="S204" s="25">
        <v>1</v>
      </c>
      <c r="T204" s="25">
        <v>4</v>
      </c>
    </row>
    <row r="205" spans="1:20" x14ac:dyDescent="0.25">
      <c r="A205" s="26" t="s">
        <v>22</v>
      </c>
      <c r="B205" s="26" t="s">
        <v>19</v>
      </c>
      <c r="C205" s="26">
        <v>2</v>
      </c>
      <c r="D205" s="26" t="s">
        <v>23</v>
      </c>
      <c r="E205" s="25" t="s">
        <v>29</v>
      </c>
      <c r="F205" s="25" t="str">
        <f t="shared" si="20"/>
        <v>M82_2_0,1</v>
      </c>
      <c r="O205" s="25">
        <v>1</v>
      </c>
      <c r="S205" s="25">
        <v>1</v>
      </c>
      <c r="T205" s="25">
        <v>3</v>
      </c>
    </row>
    <row r="206" spans="1:20" x14ac:dyDescent="0.25">
      <c r="A206" s="26" t="s">
        <v>25</v>
      </c>
      <c r="B206" s="26" t="s">
        <v>19</v>
      </c>
      <c r="C206" s="26">
        <v>2</v>
      </c>
      <c r="D206" s="26" t="s">
        <v>23</v>
      </c>
      <c r="E206" s="25" t="s">
        <v>29</v>
      </c>
      <c r="F206" s="25" t="str">
        <f t="shared" si="20"/>
        <v>M82_2_0,1</v>
      </c>
      <c r="G206" s="25">
        <v>1</v>
      </c>
      <c r="H206" s="25">
        <f>9579/60840</f>
        <v>0.15744575936883629</v>
      </c>
      <c r="I206" s="25">
        <f>19470/55080</f>
        <v>0.35348583877995643</v>
      </c>
      <c r="J206" s="25">
        <f>132000/52540</f>
        <v>2.5123715264560333</v>
      </c>
      <c r="K206" s="25">
        <f>202800/54880</f>
        <v>3.69533527696793</v>
      </c>
      <c r="L206" s="25">
        <f t="shared" ref="L206:L215" si="23">I206-H206</f>
        <v>0.19604007941112014</v>
      </c>
      <c r="M206" s="25">
        <f t="shared" ref="M206:M215" si="24">J206-H206</f>
        <v>2.354925767087197</v>
      </c>
      <c r="N206" s="25">
        <f t="shared" ref="N206:N215" si="25">K206-H206</f>
        <v>3.5378895175990936</v>
      </c>
      <c r="O206" s="25">
        <v>1</v>
      </c>
      <c r="P206" s="25">
        <f>20250/52540</f>
        <v>0.38542063189950515</v>
      </c>
      <c r="Q206" s="25">
        <f>67080/54880</f>
        <v>1.2223032069970845</v>
      </c>
      <c r="R206" s="25">
        <v>33.076923076923073</v>
      </c>
      <c r="S206" s="25">
        <v>0</v>
      </c>
    </row>
    <row r="207" spans="1:20" x14ac:dyDescent="0.25">
      <c r="A207" s="26" t="s">
        <v>25</v>
      </c>
      <c r="B207" s="26" t="s">
        <v>19</v>
      </c>
      <c r="C207" s="26">
        <v>2</v>
      </c>
      <c r="D207" s="26" t="s">
        <v>23</v>
      </c>
      <c r="E207" s="25" t="s">
        <v>29</v>
      </c>
      <c r="F207" s="25" t="str">
        <f t="shared" si="20"/>
        <v>M82_2_0,1</v>
      </c>
      <c r="G207" s="25">
        <v>3</v>
      </c>
      <c r="H207" s="25">
        <f>24510/60840</f>
        <v>0.40285996055226825</v>
      </c>
      <c r="I207" s="25">
        <f>68860/55080</f>
        <v>1.2501815541031227</v>
      </c>
      <c r="J207" s="25">
        <f>179800/52540</f>
        <v>3.4221545489151124</v>
      </c>
      <c r="K207" s="25">
        <f>207700/54880</f>
        <v>3.7846209912536444</v>
      </c>
      <c r="L207" s="25">
        <f t="shared" si="23"/>
        <v>0.84732159355085446</v>
      </c>
      <c r="M207" s="25">
        <f t="shared" si="24"/>
        <v>3.0192945883628441</v>
      </c>
      <c r="N207" s="25">
        <f t="shared" si="25"/>
        <v>3.3817610307013761</v>
      </c>
      <c r="O207" s="25">
        <v>1</v>
      </c>
      <c r="P207" s="25">
        <f>92600/52540</f>
        <v>1.7624666920441567</v>
      </c>
      <c r="Q207" s="25">
        <f>99420/54880</f>
        <v>1.8115889212827989</v>
      </c>
      <c r="R207" s="25">
        <v>47.867116032739531</v>
      </c>
      <c r="S207" s="25">
        <v>0</v>
      </c>
    </row>
    <row r="208" spans="1:20" x14ac:dyDescent="0.25">
      <c r="A208" s="26" t="s">
        <v>18</v>
      </c>
      <c r="B208" s="26" t="s">
        <v>19</v>
      </c>
      <c r="C208" s="26">
        <v>2</v>
      </c>
      <c r="D208" s="26" t="s">
        <v>23</v>
      </c>
      <c r="E208" s="25" t="s">
        <v>29</v>
      </c>
      <c r="F208" s="25" t="str">
        <f t="shared" si="20"/>
        <v>M82_2_0,1</v>
      </c>
      <c r="G208" s="25">
        <v>4</v>
      </c>
      <c r="H208" s="25">
        <f>40000/86090</f>
        <v>0.46463003833197813</v>
      </c>
      <c r="I208" s="25">
        <f>29090/58730</f>
        <v>0.49531755491231055</v>
      </c>
      <c r="J208" s="25">
        <f>106100/57630</f>
        <v>1.8410550060732258</v>
      </c>
      <c r="K208" s="25">
        <f>109500/53440</f>
        <v>2.0490269461077846</v>
      </c>
      <c r="L208" s="25">
        <f t="shared" si="23"/>
        <v>3.0687516580332419E-2</v>
      </c>
      <c r="M208" s="25">
        <f t="shared" si="24"/>
        <v>1.3764249677412477</v>
      </c>
      <c r="N208" s="25">
        <f t="shared" si="25"/>
        <v>1.5843969077758064</v>
      </c>
      <c r="O208" s="25">
        <v>1</v>
      </c>
      <c r="P208" s="25">
        <f>54540/53440</f>
        <v>1.0205838323353293</v>
      </c>
      <c r="Q208" s="25">
        <f>108200/53440</f>
        <v>2.0247005988023954</v>
      </c>
      <c r="R208" s="25">
        <v>98.81278538812785</v>
      </c>
      <c r="S208" s="25">
        <v>0</v>
      </c>
    </row>
    <row r="209" spans="1:19" x14ac:dyDescent="0.25">
      <c r="A209" s="26" t="s">
        <v>25</v>
      </c>
      <c r="B209" s="26" t="s">
        <v>19</v>
      </c>
      <c r="C209" s="26">
        <v>2</v>
      </c>
      <c r="D209" s="26" t="s">
        <v>23</v>
      </c>
      <c r="E209" s="25" t="s">
        <v>29</v>
      </c>
      <c r="F209" s="25" t="str">
        <f t="shared" si="20"/>
        <v>M82_2_0,1</v>
      </c>
      <c r="G209" s="25">
        <v>4</v>
      </c>
      <c r="H209" s="25">
        <f>28840/60840</f>
        <v>0.47403024326101251</v>
      </c>
      <c r="I209" s="25">
        <f>67910/55080</f>
        <v>1.2329339143064633</v>
      </c>
      <c r="J209" s="25">
        <f>69520/52540</f>
        <v>1.3231823372668443</v>
      </c>
      <c r="K209" s="25">
        <f>194200/54880</f>
        <v>3.5386297376093294</v>
      </c>
      <c r="L209" s="25">
        <f t="shared" si="23"/>
        <v>0.75890367104545076</v>
      </c>
      <c r="M209" s="25">
        <f t="shared" si="24"/>
        <v>0.8491520940058318</v>
      </c>
      <c r="N209" s="25">
        <f t="shared" si="25"/>
        <v>3.0645994943483168</v>
      </c>
      <c r="O209" s="25">
        <v>1</v>
      </c>
      <c r="P209" s="25">
        <f>23830/52540</f>
        <v>0.45355919299581271</v>
      </c>
      <c r="Q209" s="25">
        <f>54540/54880</f>
        <v>0.99380466472303208</v>
      </c>
      <c r="R209" s="25">
        <v>28.08444902162719</v>
      </c>
      <c r="S209" s="25">
        <v>0</v>
      </c>
    </row>
    <row r="210" spans="1:19" x14ac:dyDescent="0.25">
      <c r="A210" s="26" t="s">
        <v>18</v>
      </c>
      <c r="B210" s="26" t="s">
        <v>19</v>
      </c>
      <c r="C210" s="26">
        <v>2</v>
      </c>
      <c r="D210" s="26" t="s">
        <v>23</v>
      </c>
      <c r="E210" s="25" t="s">
        <v>29</v>
      </c>
      <c r="F210" s="25" t="str">
        <f t="shared" si="20"/>
        <v>M82_2_0,1</v>
      </c>
      <c r="G210" s="25">
        <v>4</v>
      </c>
      <c r="H210" s="25">
        <f>28440/58730</f>
        <v>0.48424995743231736</v>
      </c>
      <c r="I210" s="25">
        <f>46000/86090</f>
        <v>0.53432454408177488</v>
      </c>
      <c r="J210" s="25">
        <f>104000/57630</f>
        <v>1.8046156515703626</v>
      </c>
      <c r="K210" s="25">
        <f>175900/53440</f>
        <v>3.2915419161676644</v>
      </c>
      <c r="L210" s="25">
        <f t="shared" si="23"/>
        <v>5.007458664945752E-2</v>
      </c>
      <c r="M210" s="25">
        <f t="shared" si="24"/>
        <v>1.3203656941380453</v>
      </c>
      <c r="N210" s="25">
        <f t="shared" si="25"/>
        <v>2.8072919587353473</v>
      </c>
      <c r="O210" s="25">
        <v>1</v>
      </c>
      <c r="P210" s="25">
        <f>51540/53440</f>
        <v>0.96444610778443118</v>
      </c>
      <c r="Q210" s="25">
        <f>55680/53440</f>
        <v>1.0419161676646707</v>
      </c>
      <c r="R210" s="25">
        <v>31.654349061967029</v>
      </c>
      <c r="S210" s="25">
        <v>0</v>
      </c>
    </row>
    <row r="211" spans="1:19" x14ac:dyDescent="0.25">
      <c r="A211" s="26" t="s">
        <v>25</v>
      </c>
      <c r="B211" s="26" t="s">
        <v>19</v>
      </c>
      <c r="C211" s="26">
        <v>2</v>
      </c>
      <c r="D211" s="26" t="s">
        <v>23</v>
      </c>
      <c r="E211" s="25" t="s">
        <v>29</v>
      </c>
      <c r="F211" s="25" t="str">
        <f t="shared" si="20"/>
        <v>M82_2_0,1</v>
      </c>
      <c r="G211" s="25">
        <v>4</v>
      </c>
      <c r="H211" s="25">
        <f>29760/60840</f>
        <v>0.48915187376725838</v>
      </c>
      <c r="I211" s="25">
        <f>80390/55080</f>
        <v>1.4595134350036312</v>
      </c>
      <c r="J211" s="25">
        <f>101300/52540</f>
        <v>1.9280548153787591</v>
      </c>
      <c r="K211" s="25">
        <f>110300/54880</f>
        <v>2.0098396501457727</v>
      </c>
      <c r="L211" s="25">
        <f t="shared" si="23"/>
        <v>0.97036156123637274</v>
      </c>
      <c r="M211" s="25">
        <f t="shared" si="24"/>
        <v>1.4389029416115007</v>
      </c>
      <c r="N211" s="25">
        <f t="shared" si="25"/>
        <v>1.5206877763785143</v>
      </c>
      <c r="O211" s="25">
        <v>1</v>
      </c>
      <c r="P211" s="25">
        <f>33370/52540</f>
        <v>0.63513513513513509</v>
      </c>
      <c r="Q211" s="25">
        <f>60110/54880</f>
        <v>1.095298833819242</v>
      </c>
      <c r="R211" s="25">
        <v>54.496826835902077</v>
      </c>
      <c r="S211" s="25">
        <v>0</v>
      </c>
    </row>
    <row r="212" spans="1:19" x14ac:dyDescent="0.25">
      <c r="A212" s="26" t="s">
        <v>25</v>
      </c>
      <c r="B212" s="26" t="s">
        <v>19</v>
      </c>
      <c r="C212" s="26">
        <v>2</v>
      </c>
      <c r="D212" s="26" t="s">
        <v>23</v>
      </c>
      <c r="E212" s="25" t="s">
        <v>29</v>
      </c>
      <c r="F212" s="25" t="str">
        <f t="shared" si="20"/>
        <v>M82_2_0,1</v>
      </c>
      <c r="G212" s="25">
        <v>4</v>
      </c>
      <c r="H212" s="25">
        <f>33800/60840</f>
        <v>0.55555555555555558</v>
      </c>
      <c r="I212" s="25">
        <f>83720/55080</f>
        <v>1.5199709513435005</v>
      </c>
      <c r="J212" s="25">
        <f>84690/54880</f>
        <v>1.5431851311953353</v>
      </c>
      <c r="K212" s="25">
        <f>138300/52540</f>
        <v>2.6322801674914351</v>
      </c>
      <c r="L212" s="25">
        <f t="shared" si="23"/>
        <v>0.96441539578794488</v>
      </c>
      <c r="M212" s="25">
        <f t="shared" si="24"/>
        <v>0.98762957563977971</v>
      </c>
      <c r="N212" s="25">
        <f t="shared" si="25"/>
        <v>2.0767246119358793</v>
      </c>
      <c r="O212" s="25">
        <v>1</v>
      </c>
      <c r="P212" s="25">
        <f>82860/54880</f>
        <v>1.5098396501457727</v>
      </c>
      <c r="Q212" s="25">
        <f>133400/52540</f>
        <v>2.539017891130567</v>
      </c>
      <c r="R212" s="25">
        <v>96.456977584960228</v>
      </c>
      <c r="S212" s="25">
        <v>0</v>
      </c>
    </row>
    <row r="213" spans="1:19" x14ac:dyDescent="0.25">
      <c r="A213" s="26" t="s">
        <v>25</v>
      </c>
      <c r="B213" s="26" t="s">
        <v>19</v>
      </c>
      <c r="C213" s="26">
        <v>2</v>
      </c>
      <c r="D213" s="26" t="s">
        <v>23</v>
      </c>
      <c r="E213" s="25" t="s">
        <v>29</v>
      </c>
      <c r="F213" s="25" t="str">
        <f t="shared" si="20"/>
        <v>M82_2_0,1</v>
      </c>
      <c r="G213" s="25">
        <v>5</v>
      </c>
      <c r="H213" s="25">
        <f>39700/60840</f>
        <v>0.65253122945430642</v>
      </c>
      <c r="I213" s="25">
        <f>80640/55080</f>
        <v>1.4640522875816993</v>
      </c>
      <c r="J213" s="25">
        <f>77890/52540</f>
        <v>1.4824895317853064</v>
      </c>
      <c r="K213" s="25">
        <f>130200/54880</f>
        <v>2.3724489795918369</v>
      </c>
      <c r="L213" s="25">
        <f t="shared" si="23"/>
        <v>0.81152105812739284</v>
      </c>
      <c r="M213" s="25">
        <f t="shared" si="24"/>
        <v>0.82995830233099999</v>
      </c>
      <c r="N213" s="25">
        <f t="shared" si="25"/>
        <v>1.7199177501375305</v>
      </c>
      <c r="O213" s="25">
        <v>1</v>
      </c>
      <c r="Q213" s="25">
        <f>116700/54880</f>
        <v>2.1264577259475219</v>
      </c>
      <c r="R213" s="25">
        <v>89.63133640552995</v>
      </c>
      <c r="S213" s="25">
        <v>0</v>
      </c>
    </row>
    <row r="214" spans="1:19" x14ac:dyDescent="0.25">
      <c r="A214" s="26" t="s">
        <v>25</v>
      </c>
      <c r="B214" s="26" t="s">
        <v>19</v>
      </c>
      <c r="C214" s="26">
        <v>2</v>
      </c>
      <c r="D214" s="26" t="s">
        <v>23</v>
      </c>
      <c r="E214" s="25" t="s">
        <v>29</v>
      </c>
      <c r="F214" s="25" t="str">
        <f t="shared" si="20"/>
        <v>M82_2_0,1</v>
      </c>
      <c r="G214" s="25">
        <v>5</v>
      </c>
      <c r="H214" s="25">
        <f>43710/60840</f>
        <v>0.7184418145956607</v>
      </c>
      <c r="I214" s="25">
        <f>108300/55080</f>
        <v>1.9662309368191722</v>
      </c>
      <c r="J214" s="25">
        <f>150100/52540</f>
        <v>2.8568709554625049</v>
      </c>
      <c r="K214" s="25">
        <f>161800/54880</f>
        <v>2.9482507288629738</v>
      </c>
      <c r="L214" s="25">
        <f t="shared" si="23"/>
        <v>1.2477891222235113</v>
      </c>
      <c r="M214" s="25">
        <f t="shared" si="24"/>
        <v>2.1384291408668443</v>
      </c>
      <c r="N214" s="25">
        <f t="shared" si="25"/>
        <v>2.2298089142673132</v>
      </c>
      <c r="O214" s="25">
        <v>1</v>
      </c>
      <c r="P214" s="25">
        <f>33210/52540</f>
        <v>0.63208983631518845</v>
      </c>
      <c r="Q214" s="25">
        <f>70160/54880</f>
        <v>1.2784256559766765</v>
      </c>
      <c r="R214" s="25">
        <v>43.362175525339929</v>
      </c>
      <c r="S214" s="25">
        <v>0</v>
      </c>
    </row>
    <row r="215" spans="1:19" x14ac:dyDescent="0.25">
      <c r="A215" s="26" t="s">
        <v>18</v>
      </c>
      <c r="B215" s="26" t="s">
        <v>19</v>
      </c>
      <c r="C215" s="26">
        <v>2</v>
      </c>
      <c r="D215" s="26" t="s">
        <v>23</v>
      </c>
      <c r="E215" s="25" t="s">
        <v>29</v>
      </c>
      <c r="F215" s="25" t="str">
        <f t="shared" si="20"/>
        <v>M82_2_0,1</v>
      </c>
      <c r="G215" s="25">
        <v>6</v>
      </c>
      <c r="H215" s="25">
        <f>51570/58730</f>
        <v>0.87808615698961345</v>
      </c>
      <c r="I215" s="25">
        <f>120800/86090</f>
        <v>1.403182715762574</v>
      </c>
      <c r="J215" s="25">
        <f>112900/57630</f>
        <v>1.9590491063682109</v>
      </c>
      <c r="K215" s="25">
        <f>117100/53440</f>
        <v>2.1912425149700598</v>
      </c>
      <c r="L215" s="25">
        <f t="shared" si="23"/>
        <v>0.52509655877296058</v>
      </c>
      <c r="M215" s="25">
        <f t="shared" si="24"/>
        <v>1.0809629493785975</v>
      </c>
      <c r="N215" s="25">
        <f t="shared" si="25"/>
        <v>1.3131563579804464</v>
      </c>
      <c r="O215" s="25">
        <v>1</v>
      </c>
      <c r="P215" s="25">
        <f>74540/53440</f>
        <v>1.3948353293413174</v>
      </c>
      <c r="Q215" s="25">
        <f>93400/53440</f>
        <v>1.7477544910179641</v>
      </c>
      <c r="R215" s="25">
        <v>79.76088812980359</v>
      </c>
      <c r="S215" s="25">
        <v>0</v>
      </c>
    </row>
    <row r="216" spans="1:19" x14ac:dyDescent="0.25">
      <c r="A216" s="26" t="s">
        <v>22</v>
      </c>
      <c r="B216" s="26" t="s">
        <v>19</v>
      </c>
      <c r="C216" s="26">
        <v>2</v>
      </c>
      <c r="D216" s="26" t="s">
        <v>23</v>
      </c>
      <c r="E216" s="25" t="s">
        <v>29</v>
      </c>
      <c r="F216" s="25" t="str">
        <f t="shared" si="20"/>
        <v>M82_2_0,1</v>
      </c>
      <c r="O216" s="25">
        <v>1</v>
      </c>
      <c r="S216" s="25">
        <v>0</v>
      </c>
    </row>
    <row r="217" spans="1:19" x14ac:dyDescent="0.25">
      <c r="A217" s="26" t="s">
        <v>22</v>
      </c>
      <c r="B217" s="26" t="s">
        <v>19</v>
      </c>
      <c r="C217" s="26">
        <v>2</v>
      </c>
      <c r="D217" s="26" t="s">
        <v>23</v>
      </c>
      <c r="E217" s="25" t="s">
        <v>29</v>
      </c>
      <c r="F217" s="25" t="str">
        <f t="shared" si="20"/>
        <v>M82_2_0,1</v>
      </c>
      <c r="O217" s="25">
        <v>1</v>
      </c>
      <c r="S217" s="25">
        <v>0</v>
      </c>
    </row>
    <row r="218" spans="1:19" x14ac:dyDescent="0.25">
      <c r="A218" s="26" t="s">
        <v>22</v>
      </c>
      <c r="B218" s="26" t="s">
        <v>19</v>
      </c>
      <c r="C218" s="26">
        <v>2</v>
      </c>
      <c r="D218" s="26" t="s">
        <v>23</v>
      </c>
      <c r="E218" s="25" t="s">
        <v>29</v>
      </c>
      <c r="F218" s="25" t="str">
        <f t="shared" si="20"/>
        <v>M82_2_0,1</v>
      </c>
      <c r="O218" s="25">
        <v>1</v>
      </c>
      <c r="S218" s="25">
        <v>0</v>
      </c>
    </row>
    <row r="219" spans="1:19" x14ac:dyDescent="0.25">
      <c r="A219" s="26" t="s">
        <v>22</v>
      </c>
      <c r="B219" s="26" t="s">
        <v>19</v>
      </c>
      <c r="C219" s="26">
        <v>2</v>
      </c>
      <c r="D219" s="26" t="s">
        <v>23</v>
      </c>
      <c r="E219" s="25" t="s">
        <v>29</v>
      </c>
      <c r="F219" s="25" t="str">
        <f t="shared" si="20"/>
        <v>M82_2_0,1</v>
      </c>
      <c r="O219" s="25">
        <v>1</v>
      </c>
      <c r="S219" s="25">
        <v>0</v>
      </c>
    </row>
    <row r="220" spans="1:19" x14ac:dyDescent="0.25">
      <c r="A220" s="26" t="s">
        <v>22</v>
      </c>
      <c r="B220" s="26" t="s">
        <v>19</v>
      </c>
      <c r="C220" s="26">
        <v>2</v>
      </c>
      <c r="D220" s="26" t="s">
        <v>23</v>
      </c>
      <c r="E220" s="25" t="s">
        <v>29</v>
      </c>
      <c r="F220" s="25" t="str">
        <f t="shared" si="20"/>
        <v>M82_2_0,1</v>
      </c>
      <c r="O220" s="25">
        <v>1</v>
      </c>
      <c r="S220" s="25">
        <v>0</v>
      </c>
    </row>
    <row r="221" spans="1:19" x14ac:dyDescent="0.25">
      <c r="A221" s="26" t="s">
        <v>22</v>
      </c>
      <c r="B221" s="26" t="s">
        <v>19</v>
      </c>
      <c r="C221" s="26">
        <v>2</v>
      </c>
      <c r="D221" s="26" t="s">
        <v>23</v>
      </c>
      <c r="E221" s="25" t="s">
        <v>29</v>
      </c>
      <c r="F221" s="25" t="str">
        <f t="shared" si="20"/>
        <v>M82_2_0,1</v>
      </c>
      <c r="O221" s="25">
        <v>1</v>
      </c>
      <c r="S221" s="25">
        <v>0</v>
      </c>
    </row>
    <row r="222" spans="1:19" x14ac:dyDescent="0.25">
      <c r="A222" s="26" t="s">
        <v>22</v>
      </c>
      <c r="B222" s="26" t="s">
        <v>19</v>
      </c>
      <c r="C222" s="26">
        <v>2</v>
      </c>
      <c r="D222" s="26" t="s">
        <v>23</v>
      </c>
      <c r="E222" s="25" t="s">
        <v>29</v>
      </c>
      <c r="F222" s="25" t="str">
        <f t="shared" si="20"/>
        <v>M82_2_0,1</v>
      </c>
      <c r="O222" s="25">
        <v>1</v>
      </c>
      <c r="S222" s="25">
        <v>0</v>
      </c>
    </row>
    <row r="223" spans="1:19" x14ac:dyDescent="0.25">
      <c r="A223" s="26" t="s">
        <v>22</v>
      </c>
      <c r="B223" s="26" t="s">
        <v>19</v>
      </c>
      <c r="C223" s="26">
        <v>2</v>
      </c>
      <c r="D223" s="26" t="s">
        <v>23</v>
      </c>
      <c r="E223" s="25" t="s">
        <v>29</v>
      </c>
      <c r="F223" s="25" t="str">
        <f t="shared" si="20"/>
        <v>M82_2_0,1</v>
      </c>
      <c r="O223" s="25">
        <v>1</v>
      </c>
      <c r="S223" s="25">
        <v>0</v>
      </c>
    </row>
    <row r="224" spans="1:19" x14ac:dyDescent="0.25">
      <c r="A224" s="26" t="s">
        <v>25</v>
      </c>
      <c r="B224" s="26" t="s">
        <v>19</v>
      </c>
      <c r="C224" s="26">
        <v>2</v>
      </c>
      <c r="D224" s="26" t="s">
        <v>23</v>
      </c>
      <c r="E224" s="25" t="s">
        <v>29</v>
      </c>
      <c r="F224" s="25" t="str">
        <f t="shared" si="20"/>
        <v>M82_2_0,1</v>
      </c>
      <c r="G224" s="25">
        <v>1</v>
      </c>
      <c r="H224" s="25">
        <f>6171/60840</f>
        <v>0.10142998027613412</v>
      </c>
      <c r="I224" s="25">
        <f>19880/55080</f>
        <v>0.3609295570079884</v>
      </c>
      <c r="J224" s="25">
        <f>26710/52540</f>
        <v>0.50837457175485345</v>
      </c>
      <c r="L224" s="25">
        <f t="shared" ref="L224:L231" si="26">I224-H224</f>
        <v>0.25949957673185431</v>
      </c>
      <c r="M224" s="25">
        <f t="shared" ref="M224:M231" si="27">J224-H224</f>
        <v>0.40694459147871931</v>
      </c>
      <c r="O224" s="25">
        <v>0</v>
      </c>
    </row>
    <row r="225" spans="1:15" x14ac:dyDescent="0.25">
      <c r="A225" s="26" t="s">
        <v>25</v>
      </c>
      <c r="B225" s="26" t="s">
        <v>19</v>
      </c>
      <c r="C225" s="26">
        <v>2</v>
      </c>
      <c r="D225" s="26" t="s">
        <v>23</v>
      </c>
      <c r="E225" s="25" t="s">
        <v>29</v>
      </c>
      <c r="F225" s="25" t="str">
        <f t="shared" si="20"/>
        <v>M82_2_0,1</v>
      </c>
      <c r="G225" s="25">
        <v>3</v>
      </c>
      <c r="H225" s="25">
        <f>21520/60840</f>
        <v>0.35371466140696911</v>
      </c>
      <c r="I225" s="25">
        <f>39370/55080</f>
        <v>0.7147785039941903</v>
      </c>
      <c r="J225" s="25">
        <f>144100/52540</f>
        <v>2.7426722497145031</v>
      </c>
      <c r="L225" s="25">
        <f t="shared" si="26"/>
        <v>0.36106384258722118</v>
      </c>
      <c r="M225" s="25">
        <f t="shared" si="27"/>
        <v>2.3889575883075338</v>
      </c>
      <c r="O225" s="25">
        <v>0</v>
      </c>
    </row>
    <row r="226" spans="1:15" x14ac:dyDescent="0.25">
      <c r="A226" s="26" t="s">
        <v>25</v>
      </c>
      <c r="B226" s="26" t="s">
        <v>19</v>
      </c>
      <c r="C226" s="26">
        <v>2</v>
      </c>
      <c r="D226" s="26" t="s">
        <v>23</v>
      </c>
      <c r="E226" s="25" t="s">
        <v>29</v>
      </c>
      <c r="F226" s="25" t="str">
        <f t="shared" si="20"/>
        <v>M82_2_0,1</v>
      </c>
      <c r="G226" s="25">
        <v>4</v>
      </c>
      <c r="H226" s="25">
        <f>29470/60840</f>
        <v>0.48438527284681132</v>
      </c>
      <c r="I226" s="25">
        <f>73220/55080</f>
        <v>1.3293391430646333</v>
      </c>
      <c r="J226" s="25">
        <f>34220/52540</f>
        <v>0.65131328511610198</v>
      </c>
      <c r="K226" s="25">
        <f>45660/54880</f>
        <v>0.83199708454810495</v>
      </c>
      <c r="L226" s="25">
        <f t="shared" si="26"/>
        <v>0.84495387021782198</v>
      </c>
      <c r="M226" s="25">
        <f t="shared" si="27"/>
        <v>0.16692801226929066</v>
      </c>
      <c r="N226" s="25">
        <f>K226-H226</f>
        <v>0.34761181170129363</v>
      </c>
      <c r="O226" s="25">
        <v>0</v>
      </c>
    </row>
    <row r="227" spans="1:15" x14ac:dyDescent="0.25">
      <c r="A227" s="26" t="s">
        <v>25</v>
      </c>
      <c r="B227" s="26" t="s">
        <v>19</v>
      </c>
      <c r="C227" s="26">
        <v>2</v>
      </c>
      <c r="D227" s="26" t="s">
        <v>23</v>
      </c>
      <c r="E227" s="25" t="s">
        <v>29</v>
      </c>
      <c r="F227" s="25" t="str">
        <f t="shared" si="20"/>
        <v>M82_2_0,1</v>
      </c>
      <c r="G227" s="25">
        <v>4</v>
      </c>
      <c r="H227" s="25">
        <f>32710/60840</f>
        <v>0.53763971071663375</v>
      </c>
      <c r="I227" s="25">
        <f>58260/55080</f>
        <v>1.0577342047930283</v>
      </c>
      <c r="J227" s="25">
        <f>69040/52540</f>
        <v>1.3140464408070043</v>
      </c>
      <c r="L227" s="25">
        <f t="shared" si="26"/>
        <v>0.52009449407639452</v>
      </c>
      <c r="M227" s="25">
        <f t="shared" si="27"/>
        <v>0.77640673009037053</v>
      </c>
      <c r="O227" s="25">
        <v>0</v>
      </c>
    </row>
    <row r="228" spans="1:15" x14ac:dyDescent="0.25">
      <c r="A228" s="26" t="s">
        <v>25</v>
      </c>
      <c r="B228" s="26" t="s">
        <v>19</v>
      </c>
      <c r="C228" s="26">
        <v>2</v>
      </c>
      <c r="D228" s="26" t="s">
        <v>23</v>
      </c>
      <c r="E228" s="25" t="s">
        <v>29</v>
      </c>
      <c r="F228" s="25" t="str">
        <f t="shared" si="20"/>
        <v>M82_2_0,1</v>
      </c>
      <c r="G228" s="25">
        <v>4</v>
      </c>
      <c r="H228" s="25">
        <f>36280/60840</f>
        <v>0.59631821170282706</v>
      </c>
      <c r="I228" s="25">
        <f>94940/55080</f>
        <v>1.723674655047204</v>
      </c>
      <c r="J228" s="25">
        <f>124600/52540</f>
        <v>2.3715264560334983</v>
      </c>
      <c r="L228" s="25">
        <f t="shared" si="26"/>
        <v>1.127356443344377</v>
      </c>
      <c r="M228" s="25">
        <f t="shared" si="27"/>
        <v>1.7752082443306714</v>
      </c>
      <c r="O228" s="25">
        <v>0</v>
      </c>
    </row>
    <row r="229" spans="1:15" x14ac:dyDescent="0.25">
      <c r="A229" s="26" t="s">
        <v>18</v>
      </c>
      <c r="B229" s="26" t="s">
        <v>19</v>
      </c>
      <c r="C229" s="26">
        <v>2</v>
      </c>
      <c r="D229" s="26" t="s">
        <v>23</v>
      </c>
      <c r="E229" s="25" t="s">
        <v>29</v>
      </c>
      <c r="F229" s="25" t="str">
        <f t="shared" si="20"/>
        <v>M82_2_0,1</v>
      </c>
      <c r="G229" s="25">
        <v>3</v>
      </c>
      <c r="H229" s="25">
        <f>31370/86090</f>
        <v>0.36438610756185386</v>
      </c>
      <c r="I229" s="25">
        <f>51650/58730</f>
        <v>0.87944832283330499</v>
      </c>
      <c r="J229" s="25">
        <f>109100/57630</f>
        <v>1.8931112267916015</v>
      </c>
      <c r="L229" s="25">
        <f t="shared" si="26"/>
        <v>0.51506221527145113</v>
      </c>
      <c r="M229" s="25">
        <f t="shared" si="27"/>
        <v>1.5287251192297475</v>
      </c>
      <c r="O229" s="25">
        <v>0</v>
      </c>
    </row>
    <row r="230" spans="1:15" x14ac:dyDescent="0.25">
      <c r="A230" s="26" t="s">
        <v>18</v>
      </c>
      <c r="B230" s="26" t="s">
        <v>19</v>
      </c>
      <c r="C230" s="26">
        <v>2</v>
      </c>
      <c r="D230" s="26" t="s">
        <v>23</v>
      </c>
      <c r="E230" s="25" t="s">
        <v>29</v>
      </c>
      <c r="F230" s="25" t="str">
        <f t="shared" si="20"/>
        <v>M82_2_0,1</v>
      </c>
      <c r="G230" s="25">
        <v>3</v>
      </c>
      <c r="H230" s="25">
        <f>33880/86090</f>
        <v>0.39354164246718548</v>
      </c>
      <c r="I230" s="25">
        <f>58970/58730</f>
        <v>1.0040864975310744</v>
      </c>
      <c r="J230" s="25">
        <f>107000/57630</f>
        <v>1.8566718722887385</v>
      </c>
      <c r="L230" s="25">
        <f t="shared" si="26"/>
        <v>0.61054485506388889</v>
      </c>
      <c r="M230" s="25">
        <f t="shared" si="27"/>
        <v>1.4631302298215529</v>
      </c>
      <c r="O230" s="25">
        <v>0</v>
      </c>
    </row>
    <row r="231" spans="1:15" x14ac:dyDescent="0.25">
      <c r="A231" s="26" t="s">
        <v>18</v>
      </c>
      <c r="B231" s="26" t="s">
        <v>19</v>
      </c>
      <c r="C231" s="26">
        <v>2</v>
      </c>
      <c r="D231" s="26" t="s">
        <v>23</v>
      </c>
      <c r="E231" s="25" t="s">
        <v>29</v>
      </c>
      <c r="F231" s="25" t="str">
        <f t="shared" si="20"/>
        <v>M82_2_0,1</v>
      </c>
      <c r="G231" s="25">
        <v>3</v>
      </c>
      <c r="H231" s="25">
        <f>26870/58730</f>
        <v>0.45751745274987232</v>
      </c>
      <c r="I231" s="25">
        <f>98900/86090</f>
        <v>1.148797769775816</v>
      </c>
      <c r="L231" s="25">
        <f t="shared" si="26"/>
        <v>0.69128031702594372</v>
      </c>
      <c r="M231" s="25">
        <f t="shared" si="27"/>
        <v>-0.45751745274987232</v>
      </c>
      <c r="O231" s="25">
        <v>0</v>
      </c>
    </row>
    <row r="232" spans="1:15" x14ac:dyDescent="0.25">
      <c r="A232" s="26" t="s">
        <v>22</v>
      </c>
      <c r="B232" s="26" t="s">
        <v>19</v>
      </c>
      <c r="C232" s="26">
        <v>2</v>
      </c>
      <c r="D232" s="26" t="s">
        <v>23</v>
      </c>
      <c r="E232" s="25" t="s">
        <v>29</v>
      </c>
      <c r="F232" s="25" t="str">
        <f t="shared" si="20"/>
        <v>M82_2_0,1</v>
      </c>
      <c r="O232" s="25">
        <v>0</v>
      </c>
    </row>
    <row r="233" spans="1:15" x14ac:dyDescent="0.25">
      <c r="A233" s="26" t="s">
        <v>22</v>
      </c>
      <c r="B233" s="26" t="s">
        <v>19</v>
      </c>
      <c r="C233" s="26">
        <v>2</v>
      </c>
      <c r="D233" s="26" t="s">
        <v>23</v>
      </c>
      <c r="E233" s="25" t="s">
        <v>29</v>
      </c>
      <c r="F233" s="25" t="str">
        <f t="shared" si="20"/>
        <v>M82_2_0,1</v>
      </c>
      <c r="O233" s="25">
        <v>0</v>
      </c>
    </row>
    <row r="234" spans="1:15" x14ac:dyDescent="0.25">
      <c r="A234" s="26" t="s">
        <v>22</v>
      </c>
      <c r="B234" s="26" t="s">
        <v>19</v>
      </c>
      <c r="C234" s="26">
        <v>2</v>
      </c>
      <c r="D234" s="26" t="s">
        <v>23</v>
      </c>
      <c r="E234" s="25" t="s">
        <v>29</v>
      </c>
      <c r="F234" s="25" t="str">
        <f t="shared" si="20"/>
        <v>M82_2_0,1</v>
      </c>
      <c r="O234" s="25">
        <v>0</v>
      </c>
    </row>
    <row r="235" spans="1:15" x14ac:dyDescent="0.25">
      <c r="A235" s="26" t="s">
        <v>22</v>
      </c>
      <c r="B235" s="26" t="s">
        <v>19</v>
      </c>
      <c r="C235" s="26">
        <v>2</v>
      </c>
      <c r="D235" s="26" t="s">
        <v>23</v>
      </c>
      <c r="E235" s="25" t="s">
        <v>29</v>
      </c>
      <c r="F235" s="25" t="str">
        <f t="shared" si="20"/>
        <v>M82_2_0,1</v>
      </c>
      <c r="O235" s="25">
        <v>0</v>
      </c>
    </row>
    <row r="236" spans="1:15" x14ac:dyDescent="0.25">
      <c r="A236" s="26" t="s">
        <v>22</v>
      </c>
      <c r="B236" s="26" t="s">
        <v>19</v>
      </c>
      <c r="C236" s="26">
        <v>2</v>
      </c>
      <c r="D236" s="26" t="s">
        <v>23</v>
      </c>
      <c r="E236" s="25" t="s">
        <v>29</v>
      </c>
      <c r="F236" s="25" t="str">
        <f t="shared" si="20"/>
        <v>M82_2_0,1</v>
      </c>
      <c r="O236" s="25">
        <v>0</v>
      </c>
    </row>
    <row r="237" spans="1:15" x14ac:dyDescent="0.25">
      <c r="A237" s="26" t="s">
        <v>22</v>
      </c>
      <c r="B237" s="26" t="s">
        <v>19</v>
      </c>
      <c r="C237" s="26">
        <v>2</v>
      </c>
      <c r="D237" s="26" t="s">
        <v>23</v>
      </c>
      <c r="E237" s="25" t="s">
        <v>29</v>
      </c>
      <c r="F237" s="25" t="str">
        <f t="shared" si="20"/>
        <v>M82_2_0,1</v>
      </c>
      <c r="O237" s="25">
        <v>0</v>
      </c>
    </row>
    <row r="238" spans="1:15" x14ac:dyDescent="0.25">
      <c r="A238" s="26" t="s">
        <v>22</v>
      </c>
      <c r="B238" s="26" t="s">
        <v>19</v>
      </c>
      <c r="C238" s="26">
        <v>2</v>
      </c>
      <c r="D238" s="26" t="s">
        <v>23</v>
      </c>
      <c r="E238" s="25" t="s">
        <v>29</v>
      </c>
      <c r="F238" s="25" t="str">
        <f t="shared" si="20"/>
        <v>M82_2_0,1</v>
      </c>
      <c r="O238" s="25">
        <v>0</v>
      </c>
    </row>
    <row r="239" spans="1:15" x14ac:dyDescent="0.25">
      <c r="A239" s="26" t="s">
        <v>22</v>
      </c>
      <c r="B239" s="26" t="s">
        <v>19</v>
      </c>
      <c r="C239" s="26">
        <v>2</v>
      </c>
      <c r="D239" s="26" t="s">
        <v>23</v>
      </c>
      <c r="E239" s="25" t="s">
        <v>29</v>
      </c>
      <c r="F239" s="25" t="str">
        <f t="shared" si="20"/>
        <v>M82_2_0,1</v>
      </c>
      <c r="O239" s="25">
        <v>0</v>
      </c>
    </row>
    <row r="240" spans="1:15" x14ac:dyDescent="0.25">
      <c r="A240" s="26" t="s">
        <v>22</v>
      </c>
      <c r="B240" s="26" t="s">
        <v>19</v>
      </c>
      <c r="C240" s="26">
        <v>2</v>
      </c>
      <c r="D240" s="26" t="s">
        <v>23</v>
      </c>
      <c r="E240" s="25" t="s">
        <v>29</v>
      </c>
      <c r="F240" s="25" t="str">
        <f t="shared" si="20"/>
        <v>M82_2_0,1</v>
      </c>
      <c r="O240" s="25">
        <v>0</v>
      </c>
    </row>
    <row r="241" spans="1:20" x14ac:dyDescent="0.25">
      <c r="A241" s="26" t="s">
        <v>22</v>
      </c>
      <c r="B241" s="26" t="s">
        <v>19</v>
      </c>
      <c r="C241" s="26">
        <v>2</v>
      </c>
      <c r="D241" s="26" t="s">
        <v>23</v>
      </c>
      <c r="E241" s="25" t="s">
        <v>29</v>
      </c>
      <c r="F241" s="25" t="str">
        <f t="shared" si="20"/>
        <v>M82_2_0,1</v>
      </c>
      <c r="O241" s="25">
        <v>0</v>
      </c>
    </row>
    <row r="242" spans="1:20" x14ac:dyDescent="0.25">
      <c r="A242" s="26" t="s">
        <v>22</v>
      </c>
      <c r="B242" s="26" t="s">
        <v>19</v>
      </c>
      <c r="C242" s="26">
        <v>2</v>
      </c>
      <c r="D242" s="26" t="s">
        <v>23</v>
      </c>
      <c r="E242" s="25" t="s">
        <v>29</v>
      </c>
      <c r="F242" s="25" t="str">
        <f t="shared" si="20"/>
        <v>M82_2_0,1</v>
      </c>
      <c r="O242" s="25">
        <v>0</v>
      </c>
    </row>
    <row r="243" spans="1:20" x14ac:dyDescent="0.25">
      <c r="A243" s="26" t="s">
        <v>22</v>
      </c>
      <c r="B243" s="26" t="s">
        <v>19</v>
      </c>
      <c r="C243" s="26">
        <v>2</v>
      </c>
      <c r="D243" s="26" t="s">
        <v>23</v>
      </c>
      <c r="E243" s="25" t="s">
        <v>29</v>
      </c>
      <c r="F243" s="25" t="str">
        <f t="shared" si="20"/>
        <v>M82_2_0,1</v>
      </c>
      <c r="O243" s="25">
        <v>0</v>
      </c>
    </row>
    <row r="244" spans="1:20" ht="15.75" thickBot="1" x14ac:dyDescent="0.3">
      <c r="A244" s="26" t="s">
        <v>22</v>
      </c>
      <c r="B244" s="26" t="s">
        <v>19</v>
      </c>
      <c r="C244" s="26">
        <v>2</v>
      </c>
      <c r="D244" s="26" t="s">
        <v>23</v>
      </c>
      <c r="E244" s="25" t="s">
        <v>29</v>
      </c>
      <c r="F244" s="25" t="str">
        <f t="shared" si="20"/>
        <v>M82_2_0,1</v>
      </c>
      <c r="O244" s="25">
        <v>0</v>
      </c>
    </row>
    <row r="245" spans="1:20" s="32" customFormat="1" x14ac:dyDescent="0.25">
      <c r="A245" s="35" t="s">
        <v>22</v>
      </c>
      <c r="B245" s="34" t="s">
        <v>19</v>
      </c>
      <c r="C245" s="34">
        <v>2</v>
      </c>
      <c r="D245" s="34" t="s">
        <v>26</v>
      </c>
      <c r="E245" s="33" t="s">
        <v>30</v>
      </c>
      <c r="F245" s="33" t="str">
        <f t="shared" si="20"/>
        <v>M82_2_0,5</v>
      </c>
      <c r="G245" s="33"/>
      <c r="H245" s="33"/>
      <c r="I245" s="33"/>
      <c r="J245" s="33"/>
      <c r="K245" s="33"/>
      <c r="L245" s="33"/>
      <c r="M245" s="33"/>
      <c r="N245" s="33"/>
      <c r="O245" s="33">
        <v>1</v>
      </c>
      <c r="P245" s="33"/>
      <c r="Q245" s="33"/>
      <c r="R245" s="33"/>
      <c r="S245" s="33">
        <v>1</v>
      </c>
      <c r="T245" s="33">
        <v>17</v>
      </c>
    </row>
    <row r="246" spans="1:20" x14ac:dyDescent="0.25">
      <c r="A246" s="31" t="s">
        <v>18</v>
      </c>
      <c r="B246" s="26" t="s">
        <v>19</v>
      </c>
      <c r="C246" s="26">
        <v>2</v>
      </c>
      <c r="D246" s="26" t="s">
        <v>26</v>
      </c>
      <c r="E246" s="25" t="s">
        <v>30</v>
      </c>
      <c r="F246" s="25" t="str">
        <f t="shared" si="20"/>
        <v>M82_2_0,5</v>
      </c>
      <c r="G246" s="25">
        <v>6</v>
      </c>
      <c r="H246" s="25">
        <f>44420/54310</f>
        <v>0.81789725649051737</v>
      </c>
      <c r="I246" s="25">
        <f>49700/58730</f>
        <v>0.8462455303933254</v>
      </c>
      <c r="J246" s="25">
        <f>85570/86090</f>
        <v>0.99395980950168428</v>
      </c>
      <c r="L246" s="25">
        <f>I246-H246</f>
        <v>2.834827390280803E-2</v>
      </c>
      <c r="M246" s="25">
        <f>J246-H246</f>
        <v>0.17606255301116691</v>
      </c>
      <c r="O246" s="25">
        <v>1</v>
      </c>
      <c r="S246" s="25">
        <v>1</v>
      </c>
      <c r="T246" s="25">
        <v>17</v>
      </c>
    </row>
    <row r="247" spans="1:20" x14ac:dyDescent="0.25">
      <c r="A247" s="31" t="s">
        <v>22</v>
      </c>
      <c r="B247" s="26" t="s">
        <v>19</v>
      </c>
      <c r="C247" s="26">
        <v>2</v>
      </c>
      <c r="D247" s="26" t="s">
        <v>26</v>
      </c>
      <c r="E247" s="25" t="s">
        <v>30</v>
      </c>
      <c r="F247" s="25" t="str">
        <f t="shared" si="20"/>
        <v>M82_2_0,5</v>
      </c>
      <c r="O247" s="25">
        <v>1</v>
      </c>
      <c r="S247" s="25">
        <v>1</v>
      </c>
      <c r="T247" s="25">
        <v>15</v>
      </c>
    </row>
    <row r="248" spans="1:20" x14ac:dyDescent="0.25">
      <c r="A248" s="31" t="s">
        <v>22</v>
      </c>
      <c r="B248" s="26" t="s">
        <v>19</v>
      </c>
      <c r="C248" s="26">
        <v>2</v>
      </c>
      <c r="D248" s="26" t="s">
        <v>26</v>
      </c>
      <c r="E248" s="25" t="s">
        <v>30</v>
      </c>
      <c r="F248" s="25" t="str">
        <f t="shared" si="20"/>
        <v>M82_2_0,5</v>
      </c>
      <c r="O248" s="25">
        <v>1</v>
      </c>
      <c r="S248" s="25">
        <v>1</v>
      </c>
      <c r="T248" s="25">
        <v>15</v>
      </c>
    </row>
    <row r="249" spans="1:20" x14ac:dyDescent="0.25">
      <c r="A249" s="31" t="s">
        <v>22</v>
      </c>
      <c r="B249" s="26" t="s">
        <v>19</v>
      </c>
      <c r="C249" s="26">
        <v>2</v>
      </c>
      <c r="D249" s="26" t="s">
        <v>26</v>
      </c>
      <c r="E249" s="25" t="s">
        <v>30</v>
      </c>
      <c r="F249" s="25" t="str">
        <f t="shared" si="20"/>
        <v>M82_2_0,5</v>
      </c>
      <c r="O249" s="25">
        <v>1</v>
      </c>
      <c r="S249" s="25">
        <v>1</v>
      </c>
      <c r="T249" s="25">
        <v>15</v>
      </c>
    </row>
    <row r="250" spans="1:20" x14ac:dyDescent="0.25">
      <c r="A250" s="31" t="s">
        <v>22</v>
      </c>
      <c r="B250" s="26" t="s">
        <v>19</v>
      </c>
      <c r="C250" s="26">
        <v>2</v>
      </c>
      <c r="D250" s="26" t="s">
        <v>26</v>
      </c>
      <c r="E250" s="25" t="s">
        <v>30</v>
      </c>
      <c r="F250" s="25" t="str">
        <f t="shared" si="20"/>
        <v>M82_2_0,5</v>
      </c>
      <c r="O250" s="25">
        <v>1</v>
      </c>
      <c r="S250" s="25">
        <v>1</v>
      </c>
      <c r="T250" s="25">
        <v>14</v>
      </c>
    </row>
    <row r="251" spans="1:20" x14ac:dyDescent="0.25">
      <c r="A251" s="31" t="s">
        <v>22</v>
      </c>
      <c r="B251" s="26" t="s">
        <v>19</v>
      </c>
      <c r="C251" s="26">
        <v>2</v>
      </c>
      <c r="D251" s="26" t="s">
        <v>26</v>
      </c>
      <c r="E251" s="25" t="s">
        <v>30</v>
      </c>
      <c r="F251" s="25" t="str">
        <f t="shared" si="20"/>
        <v>M82_2_0,5</v>
      </c>
      <c r="O251" s="25">
        <v>1</v>
      </c>
      <c r="S251" s="25">
        <v>1</v>
      </c>
      <c r="T251" s="25">
        <v>14</v>
      </c>
    </row>
    <row r="252" spans="1:20" x14ac:dyDescent="0.25">
      <c r="A252" s="31" t="s">
        <v>22</v>
      </c>
      <c r="B252" s="26" t="s">
        <v>19</v>
      </c>
      <c r="C252" s="26">
        <v>2</v>
      </c>
      <c r="D252" s="26" t="s">
        <v>26</v>
      </c>
      <c r="E252" s="25" t="s">
        <v>30</v>
      </c>
      <c r="F252" s="25" t="str">
        <f t="shared" si="20"/>
        <v>M82_2_0,5</v>
      </c>
      <c r="O252" s="25">
        <v>1</v>
      </c>
      <c r="S252" s="25">
        <v>1</v>
      </c>
      <c r="T252" s="25">
        <v>14</v>
      </c>
    </row>
    <row r="253" spans="1:20" x14ac:dyDescent="0.25">
      <c r="A253" s="31" t="s">
        <v>18</v>
      </c>
      <c r="B253" s="26" t="s">
        <v>19</v>
      </c>
      <c r="C253" s="26">
        <v>2</v>
      </c>
      <c r="D253" s="26" t="s">
        <v>26</v>
      </c>
      <c r="E253" s="25" t="s">
        <v>30</v>
      </c>
      <c r="F253" s="25" t="str">
        <f t="shared" si="20"/>
        <v>M82_2_0,5</v>
      </c>
      <c r="G253" s="25">
        <v>6</v>
      </c>
      <c r="H253" s="25">
        <f>70150/86090</f>
        <v>0.81484492972470668</v>
      </c>
      <c r="I253" s="25">
        <f>52550/54310</f>
        <v>0.96759344503774625</v>
      </c>
      <c r="J253" s="25">
        <f>76460/58730</f>
        <v>1.3018900051081219</v>
      </c>
      <c r="L253" s="25">
        <f>I253-H253</f>
        <v>0.15274851531303957</v>
      </c>
      <c r="M253" s="25">
        <f>J253-H253</f>
        <v>0.48704507538341524</v>
      </c>
      <c r="O253" s="25">
        <v>1</v>
      </c>
      <c r="S253" s="25">
        <v>1</v>
      </c>
      <c r="T253" s="25">
        <v>14</v>
      </c>
    </row>
    <row r="254" spans="1:20" x14ac:dyDescent="0.25">
      <c r="A254" s="31" t="s">
        <v>22</v>
      </c>
      <c r="B254" s="26" t="s">
        <v>19</v>
      </c>
      <c r="C254" s="26">
        <v>2</v>
      </c>
      <c r="D254" s="26" t="s">
        <v>26</v>
      </c>
      <c r="E254" s="25" t="s">
        <v>30</v>
      </c>
      <c r="F254" s="25" t="str">
        <f t="shared" si="20"/>
        <v>M82_2_0,5</v>
      </c>
      <c r="O254" s="25">
        <v>1</v>
      </c>
      <c r="S254" s="25">
        <v>1</v>
      </c>
      <c r="T254" s="25">
        <v>13</v>
      </c>
    </row>
    <row r="255" spans="1:20" x14ac:dyDescent="0.25">
      <c r="A255" s="31" t="s">
        <v>22</v>
      </c>
      <c r="B255" s="26" t="s">
        <v>19</v>
      </c>
      <c r="C255" s="26">
        <v>2</v>
      </c>
      <c r="D255" s="26" t="s">
        <v>26</v>
      </c>
      <c r="E255" s="25" t="s">
        <v>30</v>
      </c>
      <c r="F255" s="25" t="str">
        <f t="shared" si="20"/>
        <v>M82_2_0,5</v>
      </c>
      <c r="O255" s="25">
        <v>1</v>
      </c>
      <c r="S255" s="25">
        <v>1</v>
      </c>
      <c r="T255" s="25">
        <v>13</v>
      </c>
    </row>
    <row r="256" spans="1:20" x14ac:dyDescent="0.25">
      <c r="A256" s="31" t="s">
        <v>22</v>
      </c>
      <c r="B256" s="26" t="s">
        <v>19</v>
      </c>
      <c r="C256" s="26">
        <v>2</v>
      </c>
      <c r="D256" s="26" t="s">
        <v>26</v>
      </c>
      <c r="E256" s="25" t="s">
        <v>30</v>
      </c>
      <c r="F256" s="25" t="str">
        <f t="shared" si="20"/>
        <v>M82_2_0,5</v>
      </c>
      <c r="O256" s="25">
        <v>1</v>
      </c>
      <c r="S256" s="25">
        <v>1</v>
      </c>
      <c r="T256" s="25">
        <v>12</v>
      </c>
    </row>
    <row r="257" spans="1:20" x14ac:dyDescent="0.25">
      <c r="A257" s="31" t="s">
        <v>18</v>
      </c>
      <c r="B257" s="26" t="s">
        <v>19</v>
      </c>
      <c r="C257" s="26">
        <v>2</v>
      </c>
      <c r="D257" s="26" t="s">
        <v>26</v>
      </c>
      <c r="E257" s="25" t="s">
        <v>30</v>
      </c>
      <c r="F257" s="25" t="str">
        <f t="shared" si="20"/>
        <v>M82_2_0,5</v>
      </c>
      <c r="G257" s="25">
        <v>4</v>
      </c>
      <c r="H257" s="25">
        <f>34210/58730</f>
        <v>0.58249616890856459</v>
      </c>
      <c r="I257" s="25">
        <f>65830/86090</f>
        <v>0.76466488558485302</v>
      </c>
      <c r="J257" s="25">
        <f>43980/54310</f>
        <v>0.80979561774995401</v>
      </c>
      <c r="L257" s="25">
        <f>I257-H257</f>
        <v>0.18216871667628842</v>
      </c>
      <c r="M257" s="25">
        <f>J257-H257</f>
        <v>0.22729944884138942</v>
      </c>
      <c r="O257" s="25">
        <v>1</v>
      </c>
      <c r="S257" s="25">
        <v>1</v>
      </c>
      <c r="T257" s="25">
        <v>12</v>
      </c>
    </row>
    <row r="258" spans="1:20" x14ac:dyDescent="0.25">
      <c r="A258" s="31" t="s">
        <v>22</v>
      </c>
      <c r="B258" s="26" t="s">
        <v>19</v>
      </c>
      <c r="C258" s="26">
        <v>2</v>
      </c>
      <c r="D258" s="26" t="s">
        <v>26</v>
      </c>
      <c r="E258" s="25" t="s">
        <v>30</v>
      </c>
      <c r="F258" s="25" t="str">
        <f t="shared" ref="F258:F321" si="28">CONCATENATE(B258,"_",E258)</f>
        <v>M82_2_0,5</v>
      </c>
      <c r="O258" s="25">
        <v>1</v>
      </c>
      <c r="S258" s="25">
        <v>1</v>
      </c>
      <c r="T258" s="25">
        <v>11</v>
      </c>
    </row>
    <row r="259" spans="1:20" x14ac:dyDescent="0.25">
      <c r="A259" s="31" t="s">
        <v>22</v>
      </c>
      <c r="B259" s="26" t="s">
        <v>19</v>
      </c>
      <c r="C259" s="26">
        <v>2</v>
      </c>
      <c r="D259" s="26" t="s">
        <v>26</v>
      </c>
      <c r="E259" s="25" t="s">
        <v>30</v>
      </c>
      <c r="F259" s="25" t="str">
        <f t="shared" si="28"/>
        <v>M82_2_0,5</v>
      </c>
      <c r="O259" s="25">
        <v>1</v>
      </c>
      <c r="S259" s="25">
        <v>1</v>
      </c>
      <c r="T259" s="25">
        <v>11</v>
      </c>
    </row>
    <row r="260" spans="1:20" x14ac:dyDescent="0.25">
      <c r="A260" s="31" t="s">
        <v>22</v>
      </c>
      <c r="B260" s="26" t="s">
        <v>19</v>
      </c>
      <c r="C260" s="26">
        <v>2</v>
      </c>
      <c r="D260" s="26" t="s">
        <v>26</v>
      </c>
      <c r="E260" s="25" t="s">
        <v>30</v>
      </c>
      <c r="F260" s="25" t="str">
        <f t="shared" si="28"/>
        <v>M82_2_0,5</v>
      </c>
      <c r="O260" s="25">
        <v>1</v>
      </c>
      <c r="S260" s="25">
        <v>1</v>
      </c>
      <c r="T260" s="25">
        <v>10</v>
      </c>
    </row>
    <row r="261" spans="1:20" x14ac:dyDescent="0.25">
      <c r="A261" s="31" t="s">
        <v>22</v>
      </c>
      <c r="B261" s="26" t="s">
        <v>19</v>
      </c>
      <c r="C261" s="26">
        <v>2</v>
      </c>
      <c r="D261" s="26" t="s">
        <v>26</v>
      </c>
      <c r="E261" s="25" t="s">
        <v>30</v>
      </c>
      <c r="F261" s="25" t="str">
        <f t="shared" si="28"/>
        <v>M82_2_0,5</v>
      </c>
      <c r="O261" s="25">
        <v>1</v>
      </c>
      <c r="S261" s="25">
        <v>1</v>
      </c>
      <c r="T261" s="25">
        <v>10</v>
      </c>
    </row>
    <row r="262" spans="1:20" x14ac:dyDescent="0.25">
      <c r="A262" s="31" t="s">
        <v>22</v>
      </c>
      <c r="B262" s="26" t="s">
        <v>19</v>
      </c>
      <c r="C262" s="26">
        <v>2</v>
      </c>
      <c r="D262" s="26" t="s">
        <v>26</v>
      </c>
      <c r="E262" s="25" t="s">
        <v>30</v>
      </c>
      <c r="F262" s="25" t="str">
        <f t="shared" si="28"/>
        <v>M82_2_0,5</v>
      </c>
      <c r="O262" s="25">
        <v>1</v>
      </c>
      <c r="S262" s="25">
        <v>1</v>
      </c>
      <c r="T262" s="25">
        <v>10</v>
      </c>
    </row>
    <row r="263" spans="1:20" x14ac:dyDescent="0.25">
      <c r="A263" s="31" t="s">
        <v>22</v>
      </c>
      <c r="B263" s="26" t="s">
        <v>19</v>
      </c>
      <c r="C263" s="26">
        <v>2</v>
      </c>
      <c r="D263" s="26" t="s">
        <v>26</v>
      </c>
      <c r="E263" s="25" t="s">
        <v>30</v>
      </c>
      <c r="F263" s="25" t="str">
        <f t="shared" si="28"/>
        <v>M82_2_0,5</v>
      </c>
      <c r="O263" s="25">
        <v>1</v>
      </c>
      <c r="S263" s="25">
        <v>1</v>
      </c>
      <c r="T263" s="25">
        <v>10</v>
      </c>
    </row>
    <row r="264" spans="1:20" x14ac:dyDescent="0.25">
      <c r="A264" s="31" t="s">
        <v>25</v>
      </c>
      <c r="B264" s="26" t="s">
        <v>19</v>
      </c>
      <c r="C264" s="26">
        <v>2</v>
      </c>
      <c r="D264" s="26" t="s">
        <v>26</v>
      </c>
      <c r="E264" s="25" t="s">
        <v>30</v>
      </c>
      <c r="F264" s="25" t="str">
        <f t="shared" si="28"/>
        <v>M82_2_0,5</v>
      </c>
      <c r="G264" s="25">
        <v>3</v>
      </c>
      <c r="H264" s="25">
        <f>19550/60840</f>
        <v>0.32133464825772518</v>
      </c>
      <c r="I264" s="25">
        <f>31050/55080</f>
        <v>0.56372549019607843</v>
      </c>
      <c r="J264" s="25">
        <f>40670/52540</f>
        <v>0.77407689379520361</v>
      </c>
      <c r="L264" s="25">
        <f>I264-H264</f>
        <v>0.24239084193835325</v>
      </c>
      <c r="M264" s="25">
        <f>J264-H264</f>
        <v>0.45274224553747844</v>
      </c>
      <c r="O264" s="25">
        <v>1</v>
      </c>
      <c r="S264" s="25">
        <v>1</v>
      </c>
      <c r="T264" s="25">
        <v>10</v>
      </c>
    </row>
    <row r="265" spans="1:20" x14ac:dyDescent="0.25">
      <c r="A265" s="31" t="s">
        <v>22</v>
      </c>
      <c r="B265" s="26" t="s">
        <v>19</v>
      </c>
      <c r="C265" s="26">
        <v>2</v>
      </c>
      <c r="D265" s="26" t="s">
        <v>26</v>
      </c>
      <c r="E265" s="25" t="s">
        <v>30</v>
      </c>
      <c r="F265" s="25" t="str">
        <f t="shared" si="28"/>
        <v>M82_2_0,5</v>
      </c>
      <c r="O265" s="25">
        <v>1</v>
      </c>
      <c r="S265" s="25">
        <v>1</v>
      </c>
      <c r="T265" s="25">
        <v>9</v>
      </c>
    </row>
    <row r="266" spans="1:20" x14ac:dyDescent="0.25">
      <c r="A266" s="31" t="s">
        <v>18</v>
      </c>
      <c r="B266" s="26" t="s">
        <v>19</v>
      </c>
      <c r="C266" s="26">
        <v>2</v>
      </c>
      <c r="D266" s="26" t="s">
        <v>26</v>
      </c>
      <c r="E266" s="25" t="s">
        <v>30</v>
      </c>
      <c r="F266" s="25" t="str">
        <f t="shared" si="28"/>
        <v>M82_2_0,5</v>
      </c>
      <c r="G266" s="25">
        <v>4</v>
      </c>
      <c r="H266" s="25">
        <f>30310/58730</f>
        <v>0.51609058402860553</v>
      </c>
      <c r="I266" s="25">
        <f>61770/86090</f>
        <v>0.71750493669415727</v>
      </c>
      <c r="J266" s="25">
        <f>48670/54310</f>
        <v>0.89615172159823242</v>
      </c>
      <c r="L266" s="25">
        <f>I266-H266</f>
        <v>0.20141435266555174</v>
      </c>
      <c r="M266" s="25">
        <f>J266-H266</f>
        <v>0.38006113756962689</v>
      </c>
      <c r="O266" s="25">
        <v>1</v>
      </c>
      <c r="S266" s="25">
        <v>1</v>
      </c>
      <c r="T266" s="25">
        <v>9</v>
      </c>
    </row>
    <row r="267" spans="1:20" x14ac:dyDescent="0.25">
      <c r="A267" s="31" t="s">
        <v>22</v>
      </c>
      <c r="B267" s="26" t="s">
        <v>19</v>
      </c>
      <c r="C267" s="26">
        <v>2</v>
      </c>
      <c r="D267" s="26" t="s">
        <v>26</v>
      </c>
      <c r="E267" s="25" t="s">
        <v>30</v>
      </c>
      <c r="F267" s="25" t="str">
        <f t="shared" si="28"/>
        <v>M82_2_0,5</v>
      </c>
      <c r="O267" s="25">
        <v>1</v>
      </c>
      <c r="S267" s="25">
        <v>1</v>
      </c>
      <c r="T267" s="25">
        <v>8</v>
      </c>
    </row>
    <row r="268" spans="1:20" x14ac:dyDescent="0.25">
      <c r="A268" s="31" t="s">
        <v>22</v>
      </c>
      <c r="B268" s="26" t="s">
        <v>19</v>
      </c>
      <c r="C268" s="26">
        <v>2</v>
      </c>
      <c r="D268" s="26" t="s">
        <v>26</v>
      </c>
      <c r="E268" s="25" t="s">
        <v>30</v>
      </c>
      <c r="F268" s="25" t="str">
        <f t="shared" si="28"/>
        <v>M82_2_0,5</v>
      </c>
      <c r="O268" s="25">
        <v>1</v>
      </c>
      <c r="S268" s="25">
        <v>1</v>
      </c>
      <c r="T268" s="25">
        <v>8</v>
      </c>
    </row>
    <row r="269" spans="1:20" x14ac:dyDescent="0.25">
      <c r="A269" s="31" t="s">
        <v>22</v>
      </c>
      <c r="B269" s="26" t="s">
        <v>19</v>
      </c>
      <c r="C269" s="26">
        <v>2</v>
      </c>
      <c r="D269" s="26" t="s">
        <v>26</v>
      </c>
      <c r="E269" s="25" t="s">
        <v>30</v>
      </c>
      <c r="F269" s="25" t="str">
        <f t="shared" si="28"/>
        <v>M82_2_0,5</v>
      </c>
      <c r="O269" s="25">
        <v>1</v>
      </c>
      <c r="S269" s="25">
        <v>1</v>
      </c>
      <c r="T269" s="25">
        <v>8</v>
      </c>
    </row>
    <row r="270" spans="1:20" x14ac:dyDescent="0.25">
      <c r="A270" s="31" t="s">
        <v>18</v>
      </c>
      <c r="B270" s="26" t="s">
        <v>19</v>
      </c>
      <c r="C270" s="26">
        <v>2</v>
      </c>
      <c r="D270" s="26" t="s">
        <v>26</v>
      </c>
      <c r="E270" s="25" t="s">
        <v>30</v>
      </c>
      <c r="F270" s="25" t="str">
        <f t="shared" si="28"/>
        <v>M82_2_0,5</v>
      </c>
      <c r="G270" s="25">
        <v>4</v>
      </c>
      <c r="H270" s="25">
        <f>28520/54310</f>
        <v>0.52513349291106615</v>
      </c>
      <c r="I270" s="25">
        <f>66830/86090</f>
        <v>0.77628063654315249</v>
      </c>
      <c r="J270" s="25">
        <f>59200/58730</f>
        <v>1.0080027243316874</v>
      </c>
      <c r="L270" s="25">
        <f>I270-H270</f>
        <v>0.25114714363208634</v>
      </c>
      <c r="M270" s="25">
        <f>J270-H270</f>
        <v>0.48286923142062121</v>
      </c>
      <c r="O270" s="25">
        <v>1</v>
      </c>
      <c r="S270" s="25">
        <v>1</v>
      </c>
      <c r="T270" s="25">
        <v>8</v>
      </c>
    </row>
    <row r="271" spans="1:20" x14ac:dyDescent="0.25">
      <c r="A271" s="31" t="s">
        <v>25</v>
      </c>
      <c r="B271" s="26" t="s">
        <v>19</v>
      </c>
      <c r="C271" s="26">
        <v>2</v>
      </c>
      <c r="D271" s="26" t="s">
        <v>26</v>
      </c>
      <c r="E271" s="25" t="s">
        <v>30</v>
      </c>
      <c r="F271" s="25" t="str">
        <f t="shared" si="28"/>
        <v>M82_2_0,5</v>
      </c>
      <c r="G271" s="25">
        <v>4</v>
      </c>
      <c r="H271" s="25">
        <f>31150/60840</f>
        <v>0.5119986850756082</v>
      </c>
      <c r="I271" s="25">
        <f>90490/55080</f>
        <v>1.642883079157589</v>
      </c>
      <c r="J271" s="25">
        <f>177200/52540</f>
        <v>3.3726684430909781</v>
      </c>
      <c r="K271" s="25">
        <f>247700/54880</f>
        <v>4.5134839650145775</v>
      </c>
      <c r="L271" s="25">
        <f>I271-H271</f>
        <v>1.1308843940819808</v>
      </c>
      <c r="M271" s="25">
        <f>J271-H271</f>
        <v>2.8606697580153702</v>
      </c>
      <c r="N271" s="25">
        <f>K271-H271</f>
        <v>4.0014852799389695</v>
      </c>
      <c r="O271" s="25">
        <v>1</v>
      </c>
      <c r="P271" s="25">
        <f>159100/52540</f>
        <v>3.028169014084507</v>
      </c>
      <c r="Q271" s="25">
        <f>244600/54880</f>
        <v>4.4569970845481048</v>
      </c>
      <c r="R271" s="25">
        <v>98.748486071861123</v>
      </c>
      <c r="S271" s="25">
        <v>1</v>
      </c>
      <c r="T271" s="25">
        <v>7</v>
      </c>
    </row>
    <row r="272" spans="1:20" x14ac:dyDescent="0.25">
      <c r="A272" s="31" t="s">
        <v>22</v>
      </c>
      <c r="B272" s="26" t="s">
        <v>19</v>
      </c>
      <c r="C272" s="26">
        <v>2</v>
      </c>
      <c r="D272" s="26" t="s">
        <v>26</v>
      </c>
      <c r="E272" s="25" t="s">
        <v>30</v>
      </c>
      <c r="F272" s="25" t="str">
        <f t="shared" si="28"/>
        <v>M82_2_0,5</v>
      </c>
      <c r="O272" s="25">
        <v>1</v>
      </c>
      <c r="S272" s="25">
        <v>1</v>
      </c>
      <c r="T272" s="25">
        <v>7</v>
      </c>
    </row>
    <row r="273" spans="1:20" x14ac:dyDescent="0.25">
      <c r="A273" s="31" t="s">
        <v>22</v>
      </c>
      <c r="B273" s="26" t="s">
        <v>19</v>
      </c>
      <c r="C273" s="26">
        <v>2</v>
      </c>
      <c r="D273" s="26" t="s">
        <v>26</v>
      </c>
      <c r="E273" s="25" t="s">
        <v>30</v>
      </c>
      <c r="F273" s="25" t="str">
        <f t="shared" si="28"/>
        <v>M82_2_0,5</v>
      </c>
      <c r="O273" s="25">
        <v>1</v>
      </c>
      <c r="S273" s="25">
        <v>1</v>
      </c>
      <c r="T273" s="25">
        <v>7</v>
      </c>
    </row>
    <row r="274" spans="1:20" x14ac:dyDescent="0.25">
      <c r="A274" s="31" t="s">
        <v>22</v>
      </c>
      <c r="B274" s="26" t="s">
        <v>19</v>
      </c>
      <c r="C274" s="26">
        <v>2</v>
      </c>
      <c r="D274" s="26" t="s">
        <v>26</v>
      </c>
      <c r="E274" s="25" t="s">
        <v>30</v>
      </c>
      <c r="F274" s="25" t="str">
        <f t="shared" si="28"/>
        <v>M82_2_0,5</v>
      </c>
      <c r="O274" s="25">
        <v>1</v>
      </c>
      <c r="S274" s="25">
        <v>1</v>
      </c>
      <c r="T274" s="25">
        <v>7</v>
      </c>
    </row>
    <row r="275" spans="1:20" x14ac:dyDescent="0.25">
      <c r="A275" s="31" t="s">
        <v>25</v>
      </c>
      <c r="B275" s="26" t="s">
        <v>19</v>
      </c>
      <c r="C275" s="26">
        <v>2</v>
      </c>
      <c r="D275" s="26" t="s">
        <v>26</v>
      </c>
      <c r="E275" s="25" t="s">
        <v>30</v>
      </c>
      <c r="F275" s="25" t="str">
        <f t="shared" si="28"/>
        <v>M82_2_0,5</v>
      </c>
      <c r="G275" s="25">
        <v>3</v>
      </c>
      <c r="H275" s="25">
        <f>20580/60840</f>
        <v>0.33826429980276135</v>
      </c>
      <c r="I275" s="25">
        <f>31200/55080</f>
        <v>0.56644880174291934</v>
      </c>
      <c r="J275" s="25">
        <f>39960/52540</f>
        <v>0.76056338028169013</v>
      </c>
      <c r="L275" s="25">
        <f>I275-H275</f>
        <v>0.22818450194015799</v>
      </c>
      <c r="M275" s="25">
        <f>J275-H275</f>
        <v>0.42229908047892878</v>
      </c>
      <c r="O275" s="25">
        <v>1</v>
      </c>
      <c r="S275" s="25">
        <v>1</v>
      </c>
      <c r="T275" s="25">
        <v>7</v>
      </c>
    </row>
    <row r="276" spans="1:20" x14ac:dyDescent="0.25">
      <c r="A276" s="31" t="s">
        <v>22</v>
      </c>
      <c r="B276" s="26" t="s">
        <v>19</v>
      </c>
      <c r="C276" s="26">
        <v>2</v>
      </c>
      <c r="D276" s="26" t="s">
        <v>26</v>
      </c>
      <c r="E276" s="25" t="s">
        <v>30</v>
      </c>
      <c r="F276" s="25" t="str">
        <f t="shared" si="28"/>
        <v>M82_2_0,5</v>
      </c>
      <c r="O276" s="25">
        <v>1</v>
      </c>
      <c r="S276" s="25">
        <v>1</v>
      </c>
      <c r="T276" s="25">
        <v>6</v>
      </c>
    </row>
    <row r="277" spans="1:20" x14ac:dyDescent="0.25">
      <c r="A277" s="31" t="s">
        <v>22</v>
      </c>
      <c r="B277" s="26" t="s">
        <v>19</v>
      </c>
      <c r="C277" s="26">
        <v>2</v>
      </c>
      <c r="D277" s="26" t="s">
        <v>26</v>
      </c>
      <c r="E277" s="25" t="s">
        <v>30</v>
      </c>
      <c r="F277" s="25" t="str">
        <f t="shared" si="28"/>
        <v>M82_2_0,5</v>
      </c>
      <c r="O277" s="25">
        <v>1</v>
      </c>
      <c r="S277" s="25">
        <v>1</v>
      </c>
      <c r="T277" s="25">
        <v>5</v>
      </c>
    </row>
    <row r="278" spans="1:20" x14ac:dyDescent="0.25">
      <c r="A278" s="31" t="s">
        <v>22</v>
      </c>
      <c r="B278" s="26" t="s">
        <v>19</v>
      </c>
      <c r="C278" s="26">
        <v>2</v>
      </c>
      <c r="D278" s="26" t="s">
        <v>26</v>
      </c>
      <c r="E278" s="25" t="s">
        <v>30</v>
      </c>
      <c r="F278" s="25" t="str">
        <f t="shared" si="28"/>
        <v>M82_2_0,5</v>
      </c>
      <c r="O278" s="25">
        <v>1</v>
      </c>
      <c r="S278" s="25">
        <v>1</v>
      </c>
      <c r="T278" s="25">
        <v>5</v>
      </c>
    </row>
    <row r="279" spans="1:20" x14ac:dyDescent="0.25">
      <c r="A279" s="31" t="s">
        <v>22</v>
      </c>
      <c r="B279" s="26" t="s">
        <v>19</v>
      </c>
      <c r="C279" s="26">
        <v>2</v>
      </c>
      <c r="D279" s="26" t="s">
        <v>26</v>
      </c>
      <c r="E279" s="25" t="s">
        <v>30</v>
      </c>
      <c r="F279" s="25" t="str">
        <f t="shared" si="28"/>
        <v>M82_2_0,5</v>
      </c>
      <c r="O279" s="25">
        <v>1</v>
      </c>
      <c r="S279" s="25">
        <v>1</v>
      </c>
      <c r="T279" s="25">
        <v>5</v>
      </c>
    </row>
    <row r="280" spans="1:20" x14ac:dyDescent="0.25">
      <c r="A280" s="31" t="s">
        <v>22</v>
      </c>
      <c r="B280" s="26" t="s">
        <v>19</v>
      </c>
      <c r="C280" s="26">
        <v>2</v>
      </c>
      <c r="D280" s="26" t="s">
        <v>26</v>
      </c>
      <c r="E280" s="25" t="s">
        <v>30</v>
      </c>
      <c r="F280" s="25" t="str">
        <f t="shared" si="28"/>
        <v>M82_2_0,5</v>
      </c>
      <c r="O280" s="25">
        <v>1</v>
      </c>
      <c r="S280" s="25">
        <v>1</v>
      </c>
      <c r="T280" s="25">
        <v>5</v>
      </c>
    </row>
    <row r="281" spans="1:20" x14ac:dyDescent="0.25">
      <c r="A281" s="31" t="s">
        <v>25</v>
      </c>
      <c r="B281" s="26" t="s">
        <v>19</v>
      </c>
      <c r="C281" s="26">
        <v>2</v>
      </c>
      <c r="D281" s="26" t="s">
        <v>26</v>
      </c>
      <c r="E281" s="25" t="s">
        <v>30</v>
      </c>
      <c r="F281" s="25" t="str">
        <f t="shared" si="28"/>
        <v>M82_2_0,5</v>
      </c>
      <c r="G281" s="25">
        <v>3</v>
      </c>
      <c r="H281" s="25">
        <f>22970/60840</f>
        <v>0.37754766600920447</v>
      </c>
      <c r="I281" s="25">
        <f>41380/55080</f>
        <v>0.75127087872185916</v>
      </c>
      <c r="J281" s="25">
        <f>37010/52540</f>
        <v>0.70441568328892268</v>
      </c>
      <c r="L281" s="25">
        <f>I281-H281</f>
        <v>0.37372321271265468</v>
      </c>
      <c r="M281" s="25">
        <f>J281-H281</f>
        <v>0.3268680172797182</v>
      </c>
      <c r="O281" s="25">
        <v>1</v>
      </c>
      <c r="S281" s="25">
        <v>1</v>
      </c>
      <c r="T281" s="25">
        <v>5</v>
      </c>
    </row>
    <row r="282" spans="1:20" x14ac:dyDescent="0.25">
      <c r="A282" s="31" t="s">
        <v>18</v>
      </c>
      <c r="B282" s="26" t="s">
        <v>19</v>
      </c>
      <c r="C282" s="26">
        <v>2</v>
      </c>
      <c r="D282" s="26" t="s">
        <v>26</v>
      </c>
      <c r="E282" s="25" t="s">
        <v>30</v>
      </c>
      <c r="F282" s="25" t="str">
        <f t="shared" si="28"/>
        <v>M82_2_0,5</v>
      </c>
      <c r="G282" s="25">
        <v>5</v>
      </c>
      <c r="H282" s="25">
        <f>39180/54310</f>
        <v>0.72141410421653474</v>
      </c>
      <c r="I282" s="25">
        <f>70330/86090</f>
        <v>0.81693576489720066</v>
      </c>
      <c r="J282" s="25">
        <f>50230/58730</f>
        <v>0.85526987910778141</v>
      </c>
      <c r="L282" s="25">
        <f>I282-H282</f>
        <v>9.5521660680665921E-2</v>
      </c>
      <c r="M282" s="25">
        <f>J282-H282</f>
        <v>0.13385577489124667</v>
      </c>
      <c r="O282" s="25">
        <v>1</v>
      </c>
      <c r="S282" s="25">
        <v>1</v>
      </c>
      <c r="T282" s="25">
        <v>5</v>
      </c>
    </row>
    <row r="283" spans="1:20" x14ac:dyDescent="0.25">
      <c r="A283" s="31" t="s">
        <v>25</v>
      </c>
      <c r="B283" s="26" t="s">
        <v>19</v>
      </c>
      <c r="C283" s="26">
        <v>2</v>
      </c>
      <c r="D283" s="26" t="s">
        <v>26</v>
      </c>
      <c r="E283" s="25" t="s">
        <v>30</v>
      </c>
      <c r="F283" s="25" t="str">
        <f t="shared" si="28"/>
        <v>M82_2_0,5</v>
      </c>
      <c r="G283" s="25">
        <v>5</v>
      </c>
      <c r="H283" s="25">
        <f>44810/60840</f>
        <v>0.73652202498356345</v>
      </c>
      <c r="I283" s="25">
        <f>97790/55080</f>
        <v>1.7754175744371823</v>
      </c>
      <c r="J283" s="25">
        <f>169100/52540</f>
        <v>3.2185001903311763</v>
      </c>
      <c r="K283" s="25">
        <f>182400/54880</f>
        <v>3.323615160349854</v>
      </c>
      <c r="L283" s="25">
        <f>I283-H283</f>
        <v>1.0388955494536187</v>
      </c>
      <c r="M283" s="25">
        <f>J283-H283</f>
        <v>2.4819781653476127</v>
      </c>
      <c r="N283" s="25">
        <f>K283-H283</f>
        <v>2.5870931353662905</v>
      </c>
      <c r="O283" s="25">
        <v>1</v>
      </c>
      <c r="P283" s="25">
        <f>154000/52540</f>
        <v>2.9311001141987059</v>
      </c>
      <c r="Q283" s="25">
        <f>162400/54880</f>
        <v>2.9591836734693877</v>
      </c>
      <c r="R283" s="25">
        <v>89.035087719298247</v>
      </c>
      <c r="S283" s="25">
        <v>1</v>
      </c>
      <c r="T283" s="25">
        <v>4</v>
      </c>
    </row>
    <row r="284" spans="1:20" x14ac:dyDescent="0.25">
      <c r="A284" s="31" t="s">
        <v>22</v>
      </c>
      <c r="B284" s="26" t="s">
        <v>19</v>
      </c>
      <c r="C284" s="26">
        <v>2</v>
      </c>
      <c r="D284" s="26" t="s">
        <v>26</v>
      </c>
      <c r="E284" s="25" t="s">
        <v>30</v>
      </c>
      <c r="F284" s="25" t="str">
        <f t="shared" si="28"/>
        <v>M82_2_0,5</v>
      </c>
      <c r="O284" s="25">
        <v>1</v>
      </c>
      <c r="S284" s="25">
        <v>1</v>
      </c>
      <c r="T284" s="25">
        <v>4</v>
      </c>
    </row>
    <row r="285" spans="1:20" x14ac:dyDescent="0.25">
      <c r="A285" s="31" t="s">
        <v>22</v>
      </c>
      <c r="B285" s="26" t="s">
        <v>19</v>
      </c>
      <c r="C285" s="26">
        <v>2</v>
      </c>
      <c r="D285" s="26" t="s">
        <v>26</v>
      </c>
      <c r="E285" s="25" t="s">
        <v>30</v>
      </c>
      <c r="F285" s="25" t="str">
        <f t="shared" si="28"/>
        <v>M82_2_0,5</v>
      </c>
      <c r="O285" s="25">
        <v>1</v>
      </c>
      <c r="S285" s="25">
        <v>1</v>
      </c>
      <c r="T285" s="25">
        <v>4</v>
      </c>
    </row>
    <row r="286" spans="1:20" x14ac:dyDescent="0.25">
      <c r="A286" s="31" t="s">
        <v>22</v>
      </c>
      <c r="B286" s="26" t="s">
        <v>19</v>
      </c>
      <c r="C286" s="26">
        <v>2</v>
      </c>
      <c r="D286" s="26" t="s">
        <v>26</v>
      </c>
      <c r="E286" s="25" t="s">
        <v>30</v>
      </c>
      <c r="F286" s="25" t="str">
        <f t="shared" si="28"/>
        <v>M82_2_0,5</v>
      </c>
      <c r="O286" s="25">
        <v>1</v>
      </c>
      <c r="S286" s="25">
        <v>1</v>
      </c>
      <c r="T286" s="25">
        <v>3</v>
      </c>
    </row>
    <row r="287" spans="1:20" x14ac:dyDescent="0.25">
      <c r="A287" s="31" t="s">
        <v>18</v>
      </c>
      <c r="B287" s="26" t="s">
        <v>19</v>
      </c>
      <c r="C287" s="26">
        <v>2</v>
      </c>
      <c r="D287" s="26" t="s">
        <v>26</v>
      </c>
      <c r="E287" s="25" t="s">
        <v>30</v>
      </c>
      <c r="F287" s="25" t="str">
        <f t="shared" si="28"/>
        <v>M82_2_0,5</v>
      </c>
      <c r="G287" s="25">
        <v>4</v>
      </c>
      <c r="H287" s="25">
        <f>34120/58730</f>
        <v>0.58096373233441168</v>
      </c>
      <c r="I287" s="25">
        <f>64340/86090</f>
        <v>0.74735741665698685</v>
      </c>
      <c r="J287" s="25">
        <f>48630/54310</f>
        <v>0.8954152089854539</v>
      </c>
      <c r="L287" s="25">
        <f t="shared" ref="L287:L305" si="29">I287-H287</f>
        <v>0.16639368432257517</v>
      </c>
      <c r="M287" s="25">
        <f t="shared" ref="M287:M305" si="30">J287-H287</f>
        <v>0.31445147665104223</v>
      </c>
      <c r="O287" s="25">
        <v>1</v>
      </c>
      <c r="S287" s="25">
        <v>1</v>
      </c>
      <c r="T287" s="25">
        <v>1</v>
      </c>
    </row>
    <row r="288" spans="1:20" x14ac:dyDescent="0.25">
      <c r="A288" s="31" t="s">
        <v>18</v>
      </c>
      <c r="B288" s="26" t="s">
        <v>19</v>
      </c>
      <c r="C288" s="26">
        <v>2</v>
      </c>
      <c r="D288" s="26" t="s">
        <v>26</v>
      </c>
      <c r="E288" s="25" t="s">
        <v>30</v>
      </c>
      <c r="F288" s="25" t="str">
        <f t="shared" si="28"/>
        <v>M82_2_0,5</v>
      </c>
      <c r="G288" s="25">
        <v>5</v>
      </c>
      <c r="H288" s="25">
        <f>39660/58730</f>
        <v>0.67529371701004592</v>
      </c>
      <c r="I288" s="25">
        <f>64240/86090</f>
        <v>0.74619584156115693</v>
      </c>
      <c r="J288" s="25">
        <f>54770/54310</f>
        <v>1.0084698950469526</v>
      </c>
      <c r="L288" s="25">
        <f t="shared" si="29"/>
        <v>7.0902124551111001E-2</v>
      </c>
      <c r="M288" s="25">
        <f t="shared" si="30"/>
        <v>0.33317617803690669</v>
      </c>
      <c r="O288" s="25">
        <v>1</v>
      </c>
      <c r="S288" s="25">
        <v>1</v>
      </c>
      <c r="T288" s="25">
        <v>1</v>
      </c>
    </row>
    <row r="289" spans="1:19" x14ac:dyDescent="0.25">
      <c r="A289" s="31" t="s">
        <v>25</v>
      </c>
      <c r="B289" s="26" t="s">
        <v>19</v>
      </c>
      <c r="C289" s="26">
        <v>2</v>
      </c>
      <c r="D289" s="26" t="s">
        <v>26</v>
      </c>
      <c r="E289" s="25" t="s">
        <v>30</v>
      </c>
      <c r="F289" s="25" t="str">
        <f t="shared" si="28"/>
        <v>M82_2_0,5</v>
      </c>
      <c r="G289" s="25">
        <v>4</v>
      </c>
      <c r="H289" s="25">
        <f>31560/60840</f>
        <v>0.51873767258382641</v>
      </c>
      <c r="I289" s="25">
        <f>53590/55080</f>
        <v>0.97294843863471314</v>
      </c>
      <c r="J289" s="25">
        <f>113200/52540</f>
        <v>2.1545489151122954</v>
      </c>
      <c r="K289" s="25">
        <f>128700/54880</f>
        <v>2.3451166180758016</v>
      </c>
      <c r="L289" s="25">
        <f t="shared" si="29"/>
        <v>0.45421076605088673</v>
      </c>
      <c r="M289" s="25">
        <f t="shared" si="30"/>
        <v>1.635811242528469</v>
      </c>
      <c r="N289" s="25">
        <f t="shared" ref="N289:N294" si="31">K289-H289</f>
        <v>1.8263789454919752</v>
      </c>
      <c r="O289" s="25">
        <v>1</v>
      </c>
      <c r="P289" s="25">
        <f>81300/52540</f>
        <v>1.5473924628854205</v>
      </c>
      <c r="Q289" s="25">
        <f>99740/54880</f>
        <v>1.8174198250728864</v>
      </c>
      <c r="R289" s="25">
        <v>77.498057498057506</v>
      </c>
      <c r="S289" s="25">
        <v>0</v>
      </c>
    </row>
    <row r="290" spans="1:19" x14ac:dyDescent="0.25">
      <c r="A290" s="31" t="s">
        <v>25</v>
      </c>
      <c r="B290" s="26" t="s">
        <v>19</v>
      </c>
      <c r="C290" s="26">
        <v>2</v>
      </c>
      <c r="D290" s="26" t="s">
        <v>26</v>
      </c>
      <c r="E290" s="25" t="s">
        <v>30</v>
      </c>
      <c r="F290" s="25" t="str">
        <f t="shared" si="28"/>
        <v>M82_2_0,5</v>
      </c>
      <c r="G290" s="25">
        <v>5</v>
      </c>
      <c r="H290" s="25">
        <f>39200/60840</f>
        <v>0.64431295200525973</v>
      </c>
      <c r="I290" s="25">
        <f>68170/55080</f>
        <v>1.2376543209876543</v>
      </c>
      <c r="J290" s="25">
        <f>111000/52540</f>
        <v>2.112676056338028</v>
      </c>
      <c r="K290" s="25">
        <f>127900/54880</f>
        <v>2.3305393586005829</v>
      </c>
      <c r="L290" s="25">
        <f t="shared" si="29"/>
        <v>0.59334136898239453</v>
      </c>
      <c r="M290" s="25">
        <f t="shared" si="30"/>
        <v>1.4683631043327683</v>
      </c>
      <c r="N290" s="25">
        <f t="shared" si="31"/>
        <v>1.6862264065953232</v>
      </c>
      <c r="O290" s="25">
        <v>1</v>
      </c>
      <c r="P290" s="25">
        <f>81340/52540</f>
        <v>1.5481537875904072</v>
      </c>
      <c r="Q290" s="25">
        <f>64130/54880</f>
        <v>1.1685495626822158</v>
      </c>
      <c r="R290" s="25">
        <v>50.140734949179055</v>
      </c>
      <c r="S290" s="25">
        <v>0</v>
      </c>
    </row>
    <row r="291" spans="1:19" x14ac:dyDescent="0.25">
      <c r="A291" s="31" t="s">
        <v>25</v>
      </c>
      <c r="B291" s="26" t="s">
        <v>19</v>
      </c>
      <c r="C291" s="26">
        <v>2</v>
      </c>
      <c r="D291" s="26" t="s">
        <v>26</v>
      </c>
      <c r="E291" s="25" t="s">
        <v>30</v>
      </c>
      <c r="F291" s="25" t="str">
        <f t="shared" si="28"/>
        <v>M82_2_0,5</v>
      </c>
      <c r="G291" s="25">
        <v>5</v>
      </c>
      <c r="H291" s="25">
        <f>43850/60840</f>
        <v>0.72074293228139386</v>
      </c>
      <c r="I291" s="25">
        <f>92760/55080</f>
        <v>1.6840958605664489</v>
      </c>
      <c r="J291" s="25">
        <f>164700/52540</f>
        <v>3.134754472782642</v>
      </c>
      <c r="K291" s="25">
        <f>64920/54880</f>
        <v>1.1829446064139941</v>
      </c>
      <c r="L291" s="25">
        <f t="shared" si="29"/>
        <v>0.96335292828505503</v>
      </c>
      <c r="M291" s="25">
        <f t="shared" si="30"/>
        <v>2.4140115405012481</v>
      </c>
      <c r="N291" s="25">
        <f t="shared" si="31"/>
        <v>0.46220167413260027</v>
      </c>
      <c r="O291" s="25">
        <v>1</v>
      </c>
      <c r="P291" s="25">
        <f>116500/52540</f>
        <v>2.217358203273696</v>
      </c>
      <c r="Q291" s="25">
        <f>24330/54880</f>
        <v>0.44333090379008744</v>
      </c>
      <c r="R291" s="25">
        <v>37.476894639556377</v>
      </c>
      <c r="S291" s="25">
        <v>0</v>
      </c>
    </row>
    <row r="292" spans="1:19" x14ac:dyDescent="0.25">
      <c r="A292" s="31" t="s">
        <v>25</v>
      </c>
      <c r="B292" s="26" t="s">
        <v>19</v>
      </c>
      <c r="C292" s="26">
        <v>2</v>
      </c>
      <c r="D292" s="26" t="s">
        <v>26</v>
      </c>
      <c r="E292" s="25" t="s">
        <v>30</v>
      </c>
      <c r="F292" s="25" t="str">
        <f t="shared" si="28"/>
        <v>M82_2_0,5</v>
      </c>
      <c r="G292" s="25">
        <v>6</v>
      </c>
      <c r="H292" s="25">
        <f>49860/60840</f>
        <v>0.81952662721893488</v>
      </c>
      <c r="I292" s="25">
        <f>99320/55080</f>
        <v>1.80319535221496</v>
      </c>
      <c r="J292" s="25">
        <f>140800/52540</f>
        <v>2.6798629615531024</v>
      </c>
      <c r="K292" s="25">
        <f>194200/54880</f>
        <v>3.5386297376093294</v>
      </c>
      <c r="L292" s="25">
        <f t="shared" si="29"/>
        <v>0.98366872499602509</v>
      </c>
      <c r="M292" s="25">
        <f t="shared" si="30"/>
        <v>1.8603363343341677</v>
      </c>
      <c r="N292" s="25">
        <f t="shared" si="31"/>
        <v>2.7191031103903947</v>
      </c>
      <c r="O292" s="25">
        <v>1</v>
      </c>
      <c r="Q292" s="25">
        <f>48240/54880</f>
        <v>0.87900874635568516</v>
      </c>
      <c r="R292" s="25">
        <v>24.840370751802265</v>
      </c>
      <c r="S292" s="25">
        <v>0</v>
      </c>
    </row>
    <row r="293" spans="1:19" x14ac:dyDescent="0.25">
      <c r="A293" s="31" t="s">
        <v>25</v>
      </c>
      <c r="B293" s="26" t="s">
        <v>19</v>
      </c>
      <c r="C293" s="26">
        <v>2</v>
      </c>
      <c r="D293" s="26" t="s">
        <v>26</v>
      </c>
      <c r="E293" s="25" t="s">
        <v>30</v>
      </c>
      <c r="F293" s="25" t="str">
        <f t="shared" si="28"/>
        <v>M82_2_0,5</v>
      </c>
      <c r="G293" s="25">
        <v>6</v>
      </c>
      <c r="H293" s="25">
        <f>55870/60840</f>
        <v>0.91831032215647601</v>
      </c>
      <c r="I293" s="25">
        <f>97460/55080</f>
        <v>1.7694262890341321</v>
      </c>
      <c r="J293" s="25">
        <f>186100/52540</f>
        <v>3.5420631899505137</v>
      </c>
      <c r="K293" s="25">
        <f>184200/54880</f>
        <v>3.3564139941690962</v>
      </c>
      <c r="L293" s="25">
        <f t="shared" si="29"/>
        <v>0.85111596687765612</v>
      </c>
      <c r="M293" s="25">
        <f t="shared" si="30"/>
        <v>2.6237528677940376</v>
      </c>
      <c r="N293" s="25">
        <f t="shared" si="31"/>
        <v>2.4381036720126201</v>
      </c>
      <c r="O293" s="25">
        <v>1</v>
      </c>
      <c r="P293" s="25">
        <f>30970/52540</f>
        <v>0.58945565283593448</v>
      </c>
      <c r="Q293" s="25">
        <f>91800/54880</f>
        <v>1.6727405247813412</v>
      </c>
      <c r="R293" s="25">
        <v>49.837133550488602</v>
      </c>
      <c r="S293" s="25">
        <v>0</v>
      </c>
    </row>
    <row r="294" spans="1:19" x14ac:dyDescent="0.25">
      <c r="A294" s="31" t="s">
        <v>25</v>
      </c>
      <c r="B294" s="26" t="s">
        <v>19</v>
      </c>
      <c r="C294" s="26">
        <v>2</v>
      </c>
      <c r="D294" s="26" t="s">
        <v>26</v>
      </c>
      <c r="E294" s="25" t="s">
        <v>30</v>
      </c>
      <c r="F294" s="25" t="str">
        <f t="shared" si="28"/>
        <v>M82_2_0,5</v>
      </c>
      <c r="G294" s="25">
        <v>3</v>
      </c>
      <c r="H294" s="25">
        <f>20080/60840</f>
        <v>0.33004602235371466</v>
      </c>
      <c r="I294" s="25">
        <f>36690/55080</f>
        <v>0.66612200435729851</v>
      </c>
      <c r="J294" s="25">
        <f>44230/52540</f>
        <v>0.84183479253901794</v>
      </c>
      <c r="K294" s="25">
        <f>50140/54880</f>
        <v>0.91362973760932942</v>
      </c>
      <c r="L294" s="25">
        <f t="shared" si="29"/>
        <v>0.33607598200358385</v>
      </c>
      <c r="M294" s="25">
        <f t="shared" si="30"/>
        <v>0.51178877018530322</v>
      </c>
      <c r="N294" s="25">
        <f t="shared" si="31"/>
        <v>0.5835837152556147</v>
      </c>
      <c r="O294" s="25">
        <v>0</v>
      </c>
    </row>
    <row r="295" spans="1:19" x14ac:dyDescent="0.25">
      <c r="A295" s="31" t="s">
        <v>25</v>
      </c>
      <c r="B295" s="26" t="s">
        <v>19</v>
      </c>
      <c r="C295" s="26">
        <v>2</v>
      </c>
      <c r="D295" s="26" t="s">
        <v>26</v>
      </c>
      <c r="E295" s="25" t="s">
        <v>30</v>
      </c>
      <c r="F295" s="25" t="str">
        <f t="shared" si="28"/>
        <v>M82_2_0,5</v>
      </c>
      <c r="G295" s="25">
        <v>3</v>
      </c>
      <c r="H295" s="25">
        <f>22010/60840</f>
        <v>0.36176857330703482</v>
      </c>
      <c r="I295" s="25">
        <f>41740/55080</f>
        <v>0.75780682643427744</v>
      </c>
      <c r="J295" s="25">
        <f>91100/52540</f>
        <v>1.7339170156071564</v>
      </c>
      <c r="L295" s="25">
        <f t="shared" si="29"/>
        <v>0.39603825312724261</v>
      </c>
      <c r="M295" s="25">
        <f t="shared" si="30"/>
        <v>1.3721484423001216</v>
      </c>
      <c r="O295" s="25">
        <v>0</v>
      </c>
    </row>
    <row r="296" spans="1:19" x14ac:dyDescent="0.25">
      <c r="A296" s="31" t="s">
        <v>25</v>
      </c>
      <c r="B296" s="26" t="s">
        <v>19</v>
      </c>
      <c r="C296" s="26">
        <v>2</v>
      </c>
      <c r="D296" s="26" t="s">
        <v>26</v>
      </c>
      <c r="E296" s="25" t="s">
        <v>30</v>
      </c>
      <c r="F296" s="25" t="str">
        <f t="shared" si="28"/>
        <v>M82_2_0,5</v>
      </c>
      <c r="G296" s="25">
        <v>4</v>
      </c>
      <c r="H296" s="25">
        <f>31560/60840</f>
        <v>0.51873767258382641</v>
      </c>
      <c r="I296" s="25">
        <f>78070/55080</f>
        <v>1.4173928830791576</v>
      </c>
      <c r="J296" s="25">
        <f>152100/52540</f>
        <v>2.8949371907118384</v>
      </c>
      <c r="L296" s="25">
        <f t="shared" si="29"/>
        <v>0.89865521049533115</v>
      </c>
      <c r="M296" s="25">
        <f t="shared" si="30"/>
        <v>2.3761995181280122</v>
      </c>
      <c r="O296" s="25">
        <v>0</v>
      </c>
    </row>
    <row r="297" spans="1:19" x14ac:dyDescent="0.25">
      <c r="A297" s="31" t="s">
        <v>25</v>
      </c>
      <c r="B297" s="26" t="s">
        <v>19</v>
      </c>
      <c r="C297" s="26">
        <v>2</v>
      </c>
      <c r="D297" s="26" t="s">
        <v>26</v>
      </c>
      <c r="E297" s="25" t="s">
        <v>30</v>
      </c>
      <c r="F297" s="25" t="str">
        <f t="shared" si="28"/>
        <v>M82_2_0,5</v>
      </c>
      <c r="G297" s="25">
        <v>4</v>
      </c>
      <c r="H297" s="25">
        <f>36090/60840</f>
        <v>0.59319526627218933</v>
      </c>
      <c r="I297" s="25">
        <f>54470/55080</f>
        <v>0.98892519970951343</v>
      </c>
      <c r="J297" s="25">
        <f>45820/52540</f>
        <v>0.87209744956223834</v>
      </c>
      <c r="L297" s="25">
        <f t="shared" si="29"/>
        <v>0.3957299334373241</v>
      </c>
      <c r="M297" s="25">
        <f t="shared" si="30"/>
        <v>0.27890218329004901</v>
      </c>
      <c r="O297" s="25">
        <v>0</v>
      </c>
    </row>
    <row r="298" spans="1:19" x14ac:dyDescent="0.25">
      <c r="A298" s="31" t="s">
        <v>25</v>
      </c>
      <c r="B298" s="26" t="s">
        <v>19</v>
      </c>
      <c r="C298" s="26">
        <v>2</v>
      </c>
      <c r="D298" s="26" t="s">
        <v>26</v>
      </c>
      <c r="E298" s="25" t="s">
        <v>30</v>
      </c>
      <c r="F298" s="25" t="str">
        <f t="shared" si="28"/>
        <v>M82_2_0,5</v>
      </c>
      <c r="G298" s="25">
        <v>6</v>
      </c>
      <c r="H298" s="25">
        <f>50590/60840</f>
        <v>0.83152531229454307</v>
      </c>
      <c r="I298" s="25">
        <f>111700/55080</f>
        <v>2.0279593318809006</v>
      </c>
      <c r="J298" s="25">
        <f>166100/52540</f>
        <v>3.1614008374571756</v>
      </c>
      <c r="K298" s="25">
        <f>173500/54880</f>
        <v>3.1614431486880465</v>
      </c>
      <c r="L298" s="25">
        <f t="shared" si="29"/>
        <v>1.1964340195863574</v>
      </c>
      <c r="M298" s="25">
        <f t="shared" si="30"/>
        <v>2.3298755251626324</v>
      </c>
      <c r="N298" s="25">
        <f>K298-H298</f>
        <v>2.3299178363935034</v>
      </c>
      <c r="O298" s="25">
        <v>0</v>
      </c>
    </row>
    <row r="299" spans="1:19" x14ac:dyDescent="0.25">
      <c r="A299" s="31" t="s">
        <v>18</v>
      </c>
      <c r="B299" s="26" t="s">
        <v>19</v>
      </c>
      <c r="C299" s="26">
        <v>2</v>
      </c>
      <c r="D299" s="26" t="s">
        <v>26</v>
      </c>
      <c r="E299" s="25" t="s">
        <v>30</v>
      </c>
      <c r="F299" s="25" t="str">
        <f t="shared" si="28"/>
        <v>M82_2_0,5</v>
      </c>
      <c r="G299" s="25">
        <v>2</v>
      </c>
      <c r="H299" s="25">
        <f>14760/58730</f>
        <v>0.25131959816107613</v>
      </c>
      <c r="I299" s="25">
        <f>26170/54310</f>
        <v>0.4818633769103296</v>
      </c>
      <c r="J299" s="25">
        <f>86570/86090</f>
        <v>1.0055755604599836</v>
      </c>
      <c r="L299" s="25">
        <f t="shared" si="29"/>
        <v>0.23054377874925347</v>
      </c>
      <c r="M299" s="25">
        <f t="shared" si="30"/>
        <v>0.75425596229890757</v>
      </c>
      <c r="O299" s="25">
        <v>0</v>
      </c>
    </row>
    <row r="300" spans="1:19" x14ac:dyDescent="0.25">
      <c r="A300" s="31" t="s">
        <v>18</v>
      </c>
      <c r="B300" s="26" t="s">
        <v>19</v>
      </c>
      <c r="C300" s="26">
        <v>2</v>
      </c>
      <c r="D300" s="26" t="s">
        <v>26</v>
      </c>
      <c r="E300" s="25" t="s">
        <v>30</v>
      </c>
      <c r="F300" s="25" t="str">
        <f t="shared" si="28"/>
        <v>M82_2_0,5</v>
      </c>
      <c r="G300" s="25">
        <v>2</v>
      </c>
      <c r="H300" s="25">
        <f>18150/58730</f>
        <v>0.30904137578750213</v>
      </c>
      <c r="I300" s="25">
        <f>52490/86090</f>
        <v>0.60971076780113831</v>
      </c>
      <c r="J300" s="25">
        <f>76130/54310</f>
        <v>1.4017676302706683</v>
      </c>
      <c r="L300" s="25">
        <f t="shared" si="29"/>
        <v>0.30066939201363618</v>
      </c>
      <c r="M300" s="25">
        <f t="shared" si="30"/>
        <v>1.0927262544831662</v>
      </c>
      <c r="O300" s="25">
        <v>0</v>
      </c>
    </row>
    <row r="301" spans="1:19" x14ac:dyDescent="0.25">
      <c r="A301" s="31" t="s">
        <v>18</v>
      </c>
      <c r="B301" s="26" t="s">
        <v>19</v>
      </c>
      <c r="C301" s="26">
        <v>2</v>
      </c>
      <c r="D301" s="26" t="s">
        <v>26</v>
      </c>
      <c r="E301" s="25" t="s">
        <v>30</v>
      </c>
      <c r="F301" s="25" t="str">
        <f t="shared" si="28"/>
        <v>M82_2_0,5</v>
      </c>
      <c r="G301" s="25">
        <v>3</v>
      </c>
      <c r="H301" s="25">
        <f>25200/58730</f>
        <v>0.42908224076281287</v>
      </c>
      <c r="I301" s="25">
        <f>84260/86090</f>
        <v>0.97874317574631198</v>
      </c>
      <c r="J301" s="25">
        <f>60920/54310</f>
        <v>1.121708709261646</v>
      </c>
      <c r="L301" s="25">
        <f t="shared" si="29"/>
        <v>0.54966093498349911</v>
      </c>
      <c r="M301" s="25">
        <f t="shared" si="30"/>
        <v>0.69262646849883314</v>
      </c>
      <c r="O301" s="25">
        <v>0</v>
      </c>
    </row>
    <row r="302" spans="1:19" x14ac:dyDescent="0.25">
      <c r="A302" s="31" t="s">
        <v>18</v>
      </c>
      <c r="B302" s="26" t="s">
        <v>19</v>
      </c>
      <c r="C302" s="26">
        <v>2</v>
      </c>
      <c r="D302" s="26" t="s">
        <v>26</v>
      </c>
      <c r="E302" s="25" t="s">
        <v>30</v>
      </c>
      <c r="F302" s="25" t="str">
        <f t="shared" si="28"/>
        <v>M82_2_0,5</v>
      </c>
      <c r="G302" s="25">
        <v>4</v>
      </c>
      <c r="H302" s="25">
        <f>39930/86090</f>
        <v>0.46381693576489719</v>
      </c>
      <c r="I302" s="25">
        <f>41330/58730</f>
        <v>0.70372892899710537</v>
      </c>
      <c r="J302" s="25">
        <f>62900/54310</f>
        <v>1.1581660835941816</v>
      </c>
      <c r="L302" s="25">
        <f t="shared" si="29"/>
        <v>0.23991199323220819</v>
      </c>
      <c r="M302" s="25">
        <f t="shared" si="30"/>
        <v>0.69434914782928447</v>
      </c>
      <c r="O302" s="25">
        <v>0</v>
      </c>
    </row>
    <row r="303" spans="1:19" x14ac:dyDescent="0.25">
      <c r="A303" s="31" t="s">
        <v>18</v>
      </c>
      <c r="B303" s="26" t="s">
        <v>19</v>
      </c>
      <c r="C303" s="26">
        <v>2</v>
      </c>
      <c r="D303" s="26" t="s">
        <v>26</v>
      </c>
      <c r="E303" s="25" t="s">
        <v>30</v>
      </c>
      <c r="F303" s="25" t="str">
        <f t="shared" si="28"/>
        <v>M82_2_0,5</v>
      </c>
      <c r="G303" s="25">
        <v>4</v>
      </c>
      <c r="H303" s="25">
        <f>26520/54310</f>
        <v>0.4883078622721414</v>
      </c>
      <c r="I303" s="25">
        <f>59330/86090</f>
        <v>0.68916250435590665</v>
      </c>
      <c r="J303" s="25">
        <f>45320/58730</f>
        <v>0.77166695045121747</v>
      </c>
      <c r="L303" s="25">
        <f t="shared" si="29"/>
        <v>0.20085464208376524</v>
      </c>
      <c r="M303" s="25">
        <f t="shared" si="30"/>
        <v>0.28335908817907607</v>
      </c>
      <c r="O303" s="25">
        <v>0</v>
      </c>
    </row>
    <row r="304" spans="1:19" x14ac:dyDescent="0.25">
      <c r="A304" s="31" t="s">
        <v>18</v>
      </c>
      <c r="B304" s="26" t="s">
        <v>19</v>
      </c>
      <c r="C304" s="26">
        <v>2</v>
      </c>
      <c r="D304" s="26" t="s">
        <v>26</v>
      </c>
      <c r="E304" s="25" t="s">
        <v>30</v>
      </c>
      <c r="F304" s="25" t="str">
        <f t="shared" si="28"/>
        <v>M82_2_0,5</v>
      </c>
      <c r="G304" s="25">
        <v>6</v>
      </c>
      <c r="H304" s="25">
        <f>45730/58730</f>
        <v>0.77864805040013618</v>
      </c>
      <c r="I304" s="25">
        <f>70150/86090</f>
        <v>0.81484492972470668</v>
      </c>
      <c r="J304" s="25">
        <f>48900/54310</f>
        <v>0.90038666912170873</v>
      </c>
      <c r="L304" s="25">
        <f t="shared" si="29"/>
        <v>3.6196879324570497E-2</v>
      </c>
      <c r="M304" s="25">
        <f t="shared" si="30"/>
        <v>0.12173861872157254</v>
      </c>
      <c r="O304" s="25">
        <v>0</v>
      </c>
    </row>
    <row r="305" spans="1:20" x14ac:dyDescent="0.25">
      <c r="A305" s="31" t="s">
        <v>18</v>
      </c>
      <c r="B305" s="26" t="s">
        <v>19</v>
      </c>
      <c r="C305" s="26">
        <v>2</v>
      </c>
      <c r="D305" s="26" t="s">
        <v>26</v>
      </c>
      <c r="E305" s="25" t="s">
        <v>30</v>
      </c>
      <c r="F305" s="25" t="str">
        <f t="shared" si="28"/>
        <v>M82_2_0,5</v>
      </c>
      <c r="G305" s="25">
        <v>6</v>
      </c>
      <c r="H305" s="25">
        <f>71330/86090</f>
        <v>0.82855151585550002</v>
      </c>
      <c r="I305" s="25">
        <f>50300/54310</f>
        <v>0.92616461056895605</v>
      </c>
      <c r="J305" s="25">
        <f>58850/58730</f>
        <v>1.0020432487655373</v>
      </c>
      <c r="L305" s="25">
        <f t="shared" si="29"/>
        <v>9.7613094713456028E-2</v>
      </c>
      <c r="M305" s="25">
        <f t="shared" si="30"/>
        <v>0.17349173291003728</v>
      </c>
      <c r="O305" s="25">
        <v>0</v>
      </c>
    </row>
    <row r="306" spans="1:20" x14ac:dyDescent="0.25">
      <c r="A306" s="31" t="s">
        <v>22</v>
      </c>
      <c r="B306" s="26" t="s">
        <v>19</v>
      </c>
      <c r="C306" s="26">
        <v>2</v>
      </c>
      <c r="D306" s="26" t="s">
        <v>26</v>
      </c>
      <c r="E306" s="25" t="s">
        <v>30</v>
      </c>
      <c r="F306" s="25" t="str">
        <f t="shared" si="28"/>
        <v>M82_2_0,5</v>
      </c>
      <c r="O306" s="25">
        <v>0</v>
      </c>
    </row>
    <row r="307" spans="1:20" x14ac:dyDescent="0.25">
      <c r="A307" s="31" t="s">
        <v>22</v>
      </c>
      <c r="B307" s="26" t="s">
        <v>19</v>
      </c>
      <c r="C307" s="26">
        <v>2</v>
      </c>
      <c r="D307" s="26" t="s">
        <v>26</v>
      </c>
      <c r="E307" s="25" t="s">
        <v>30</v>
      </c>
      <c r="F307" s="25" t="str">
        <f t="shared" si="28"/>
        <v>M82_2_0,5</v>
      </c>
      <c r="O307" s="25">
        <v>0</v>
      </c>
    </row>
    <row r="308" spans="1:20" x14ac:dyDescent="0.25">
      <c r="A308" s="31" t="s">
        <v>22</v>
      </c>
      <c r="B308" s="26" t="s">
        <v>19</v>
      </c>
      <c r="C308" s="26">
        <v>2</v>
      </c>
      <c r="D308" s="26" t="s">
        <v>26</v>
      </c>
      <c r="E308" s="25" t="s">
        <v>30</v>
      </c>
      <c r="F308" s="25" t="str">
        <f t="shared" si="28"/>
        <v>M82_2_0,5</v>
      </c>
      <c r="O308" s="25">
        <v>0</v>
      </c>
    </row>
    <row r="309" spans="1:20" x14ac:dyDescent="0.25">
      <c r="A309" s="31" t="s">
        <v>22</v>
      </c>
      <c r="B309" s="26" t="s">
        <v>19</v>
      </c>
      <c r="C309" s="26">
        <v>2</v>
      </c>
      <c r="D309" s="26" t="s">
        <v>26</v>
      </c>
      <c r="E309" s="25" t="s">
        <v>30</v>
      </c>
      <c r="F309" s="25" t="str">
        <f t="shared" si="28"/>
        <v>M82_2_0,5</v>
      </c>
      <c r="O309" s="25">
        <v>0</v>
      </c>
    </row>
    <row r="310" spans="1:20" x14ac:dyDescent="0.25">
      <c r="A310" s="31" t="s">
        <v>22</v>
      </c>
      <c r="B310" s="26" t="s">
        <v>19</v>
      </c>
      <c r="C310" s="26">
        <v>2</v>
      </c>
      <c r="D310" s="26" t="s">
        <v>26</v>
      </c>
      <c r="E310" s="25" t="s">
        <v>30</v>
      </c>
      <c r="F310" s="25" t="str">
        <f t="shared" si="28"/>
        <v>M82_2_0,5</v>
      </c>
      <c r="O310" s="25">
        <v>0</v>
      </c>
    </row>
    <row r="311" spans="1:20" x14ac:dyDescent="0.25">
      <c r="A311" s="31" t="s">
        <v>22</v>
      </c>
      <c r="B311" s="26" t="s">
        <v>19</v>
      </c>
      <c r="C311" s="26">
        <v>2</v>
      </c>
      <c r="D311" s="26" t="s">
        <v>26</v>
      </c>
      <c r="E311" s="25" t="s">
        <v>30</v>
      </c>
      <c r="F311" s="25" t="str">
        <f t="shared" si="28"/>
        <v>M82_2_0,5</v>
      </c>
      <c r="O311" s="25">
        <v>0</v>
      </c>
    </row>
    <row r="312" spans="1:20" s="27" customFormat="1" ht="15.75" thickBot="1" x14ac:dyDescent="0.3">
      <c r="A312" s="30" t="s">
        <v>22</v>
      </c>
      <c r="B312" s="29" t="s">
        <v>19</v>
      </c>
      <c r="C312" s="29">
        <v>2</v>
      </c>
      <c r="D312" s="29" t="s">
        <v>26</v>
      </c>
      <c r="E312" s="28" t="s">
        <v>30</v>
      </c>
      <c r="F312" s="28" t="str">
        <f t="shared" si="28"/>
        <v>M82_2_0,5</v>
      </c>
      <c r="G312" s="28"/>
      <c r="H312" s="28"/>
      <c r="I312" s="28"/>
      <c r="J312" s="28"/>
      <c r="K312" s="28"/>
      <c r="L312" s="28"/>
      <c r="M312" s="28"/>
      <c r="N312" s="28"/>
      <c r="O312" s="28">
        <v>0</v>
      </c>
      <c r="P312" s="28"/>
      <c r="Q312" s="28"/>
      <c r="R312" s="28"/>
      <c r="S312" s="28"/>
      <c r="T312" s="28"/>
    </row>
    <row r="313" spans="1:20" s="32" customFormat="1" x14ac:dyDescent="0.25">
      <c r="A313" s="35" t="s">
        <v>22</v>
      </c>
      <c r="B313" s="34" t="s">
        <v>19</v>
      </c>
      <c r="C313" s="34">
        <v>3</v>
      </c>
      <c r="D313" s="34" t="s">
        <v>20</v>
      </c>
      <c r="E313" s="33" t="s">
        <v>31</v>
      </c>
      <c r="F313" s="33" t="str">
        <f t="shared" si="28"/>
        <v>M82_3_0</v>
      </c>
      <c r="G313" s="33"/>
      <c r="H313" s="33"/>
      <c r="I313" s="33"/>
      <c r="J313" s="33"/>
      <c r="K313" s="33"/>
      <c r="L313" s="33"/>
      <c r="M313" s="33"/>
      <c r="N313" s="33"/>
      <c r="O313" s="33">
        <v>1</v>
      </c>
      <c r="P313" s="33"/>
      <c r="Q313" s="33"/>
      <c r="R313" s="33"/>
      <c r="S313" s="33">
        <v>1</v>
      </c>
      <c r="T313" s="33">
        <v>5</v>
      </c>
    </row>
    <row r="314" spans="1:20" x14ac:dyDescent="0.25">
      <c r="A314" s="31" t="s">
        <v>22</v>
      </c>
      <c r="B314" s="26" t="s">
        <v>19</v>
      </c>
      <c r="C314" s="26">
        <v>3</v>
      </c>
      <c r="D314" s="26" t="s">
        <v>20</v>
      </c>
      <c r="E314" s="25" t="s">
        <v>31</v>
      </c>
      <c r="F314" s="25" t="str">
        <f t="shared" si="28"/>
        <v>M82_3_0</v>
      </c>
      <c r="O314" s="25">
        <v>1</v>
      </c>
      <c r="S314" s="25">
        <v>1</v>
      </c>
      <c r="T314" s="25">
        <v>4</v>
      </c>
    </row>
    <row r="315" spans="1:20" x14ac:dyDescent="0.25">
      <c r="A315" s="31" t="s">
        <v>22</v>
      </c>
      <c r="B315" s="26" t="s">
        <v>19</v>
      </c>
      <c r="C315" s="26">
        <v>3</v>
      </c>
      <c r="D315" s="26" t="s">
        <v>20</v>
      </c>
      <c r="E315" s="25" t="s">
        <v>31</v>
      </c>
      <c r="F315" s="25" t="str">
        <f t="shared" si="28"/>
        <v>M82_3_0</v>
      </c>
      <c r="O315" s="25">
        <v>1</v>
      </c>
      <c r="S315" s="25">
        <v>1</v>
      </c>
      <c r="T315" s="25">
        <v>3</v>
      </c>
    </row>
    <row r="316" spans="1:20" x14ac:dyDescent="0.25">
      <c r="A316" s="31" t="s">
        <v>22</v>
      </c>
      <c r="B316" s="26" t="s">
        <v>19</v>
      </c>
      <c r="C316" s="26">
        <v>3</v>
      </c>
      <c r="D316" s="26" t="s">
        <v>20</v>
      </c>
      <c r="E316" s="25" t="s">
        <v>31</v>
      </c>
      <c r="F316" s="25" t="str">
        <f t="shared" si="28"/>
        <v>M82_3_0</v>
      </c>
      <c r="O316" s="25">
        <v>1</v>
      </c>
      <c r="S316" s="25">
        <v>1</v>
      </c>
      <c r="T316" s="25">
        <v>2</v>
      </c>
    </row>
    <row r="317" spans="1:20" x14ac:dyDescent="0.25">
      <c r="A317" s="31" t="s">
        <v>22</v>
      </c>
      <c r="B317" s="26" t="s">
        <v>19</v>
      </c>
      <c r="C317" s="26">
        <v>3</v>
      </c>
      <c r="D317" s="26" t="s">
        <v>20</v>
      </c>
      <c r="E317" s="25" t="s">
        <v>31</v>
      </c>
      <c r="F317" s="25" t="str">
        <f t="shared" si="28"/>
        <v>M82_3_0</v>
      </c>
      <c r="O317" s="25">
        <v>1</v>
      </c>
      <c r="S317" s="25">
        <v>1</v>
      </c>
      <c r="T317" s="25">
        <v>1</v>
      </c>
    </row>
    <row r="318" spans="1:20" x14ac:dyDescent="0.25">
      <c r="A318" s="31" t="s">
        <v>18</v>
      </c>
      <c r="B318" s="26" t="s">
        <v>19</v>
      </c>
      <c r="C318" s="26">
        <v>3</v>
      </c>
      <c r="D318" s="26" t="s">
        <v>20</v>
      </c>
      <c r="E318" s="25" t="s">
        <v>31</v>
      </c>
      <c r="F318" s="25" t="str">
        <f t="shared" si="28"/>
        <v>M82_3_0</v>
      </c>
      <c r="G318" s="25">
        <v>2</v>
      </c>
      <c r="H318" s="25">
        <f>20050/86090</f>
        <v>0.23289580671390406</v>
      </c>
      <c r="I318" s="25">
        <f>26760/58730</f>
        <v>0.45564447471479652</v>
      </c>
      <c r="J318" s="25">
        <f>62020/57630</f>
        <v>1.0761756029845566</v>
      </c>
      <c r="K318" s="25">
        <f>158800/53440</f>
        <v>2.9715568862275448</v>
      </c>
      <c r="L318" s="25">
        <f t="shared" ref="L318:L326" si="32">I318-H318</f>
        <v>0.22274866800089246</v>
      </c>
      <c r="M318" s="25">
        <f t="shared" ref="M318:M326" si="33">J318-H318</f>
        <v>0.84327979627065253</v>
      </c>
      <c r="N318" s="25">
        <f t="shared" ref="N318:N326" si="34">K318-H318</f>
        <v>2.7386610795136406</v>
      </c>
      <c r="O318" s="25">
        <v>1</v>
      </c>
      <c r="P318" s="25">
        <f>89480/56230</f>
        <v>1.5913213587053174</v>
      </c>
      <c r="Q318" s="25">
        <f>134700/53440</f>
        <v>2.5205838323353293</v>
      </c>
      <c r="R318" s="25">
        <v>84.82367758186399</v>
      </c>
      <c r="S318" s="25">
        <v>0</v>
      </c>
    </row>
    <row r="319" spans="1:20" x14ac:dyDescent="0.25">
      <c r="A319" s="31" t="s">
        <v>18</v>
      </c>
      <c r="B319" s="26" t="s">
        <v>19</v>
      </c>
      <c r="C319" s="26">
        <v>3</v>
      </c>
      <c r="D319" s="26" t="s">
        <v>20</v>
      </c>
      <c r="E319" s="25" t="s">
        <v>31</v>
      </c>
      <c r="F319" s="25" t="str">
        <f t="shared" si="28"/>
        <v>M82_3_0</v>
      </c>
      <c r="G319" s="25">
        <v>4</v>
      </c>
      <c r="H319" s="25">
        <f>40670/86090</f>
        <v>0.4724125914740388</v>
      </c>
      <c r="I319" s="25">
        <f>33030/58730</f>
        <v>0.5624042227141155</v>
      </c>
      <c r="J319" s="25">
        <f>42080/57630</f>
        <v>0.73017525594308519</v>
      </c>
      <c r="K319" s="25">
        <f>52560/53440</f>
        <v>0.98353293413173648</v>
      </c>
      <c r="L319" s="25">
        <f t="shared" si="32"/>
        <v>8.9991631240076697E-2</v>
      </c>
      <c r="M319" s="25">
        <f t="shared" si="33"/>
        <v>0.25776266446904639</v>
      </c>
      <c r="N319" s="25">
        <f t="shared" si="34"/>
        <v>0.51112034265769768</v>
      </c>
      <c r="O319" s="25">
        <v>1</v>
      </c>
      <c r="P319" s="25">
        <f>18460/58730</f>
        <v>0.31431976843180659</v>
      </c>
      <c r="Q319" s="25">
        <f>27720/53440</f>
        <v>0.51871257485029942</v>
      </c>
      <c r="R319" s="25">
        <v>52.739726027397261</v>
      </c>
      <c r="S319" s="25">
        <v>0</v>
      </c>
    </row>
    <row r="320" spans="1:20" x14ac:dyDescent="0.25">
      <c r="A320" s="31" t="s">
        <v>18</v>
      </c>
      <c r="B320" s="26" t="s">
        <v>19</v>
      </c>
      <c r="C320" s="26">
        <v>3</v>
      </c>
      <c r="D320" s="26" t="s">
        <v>20</v>
      </c>
      <c r="E320" s="25" t="s">
        <v>31</v>
      </c>
      <c r="F320" s="25" t="str">
        <f t="shared" si="28"/>
        <v>M82_3_0</v>
      </c>
      <c r="G320" s="25">
        <v>4</v>
      </c>
      <c r="H320" s="25">
        <f>41030/86090</f>
        <v>0.47659426181902659</v>
      </c>
      <c r="I320" s="25">
        <f>79770/58730</f>
        <v>1.3582496168908564</v>
      </c>
      <c r="J320" s="25">
        <f>86130/57630</f>
        <v>1.4945340968245706</v>
      </c>
      <c r="K320" s="25">
        <f>173000/53440</f>
        <v>3.2372754491017965</v>
      </c>
      <c r="L320" s="25">
        <f t="shared" si="32"/>
        <v>0.88165535507182979</v>
      </c>
      <c r="M320" s="25">
        <f t="shared" si="33"/>
        <v>1.017939835005544</v>
      </c>
      <c r="N320" s="25">
        <f t="shared" si="34"/>
        <v>2.7606811872827701</v>
      </c>
      <c r="O320" s="25">
        <v>1</v>
      </c>
      <c r="P320" s="25">
        <f>73480/56230</f>
        <v>1.3067757424862174</v>
      </c>
      <c r="Q320" s="25">
        <f>148600/53440</f>
        <v>2.7806886227544911</v>
      </c>
      <c r="R320" s="25">
        <v>85.895953757225428</v>
      </c>
      <c r="S320" s="25">
        <v>0</v>
      </c>
    </row>
    <row r="321" spans="1:19" x14ac:dyDescent="0.25">
      <c r="A321" s="31" t="s">
        <v>18</v>
      </c>
      <c r="B321" s="26" t="s">
        <v>19</v>
      </c>
      <c r="C321" s="26">
        <v>3</v>
      </c>
      <c r="D321" s="26" t="s">
        <v>20</v>
      </c>
      <c r="E321" s="25" t="s">
        <v>31</v>
      </c>
      <c r="F321" s="25" t="str">
        <f t="shared" si="28"/>
        <v>M82_3_0</v>
      </c>
      <c r="G321" s="25">
        <v>4</v>
      </c>
      <c r="H321" s="25">
        <f>30280/58730</f>
        <v>0.51557977183722115</v>
      </c>
      <c r="I321" s="25">
        <f>48750/86090</f>
        <v>0.56626785921709843</v>
      </c>
      <c r="J321" s="25">
        <f>68960/57630</f>
        <v>1.1965989935797328</v>
      </c>
      <c r="K321" s="25">
        <f>66740/53440</f>
        <v>1.248877245508982</v>
      </c>
      <c r="L321" s="25">
        <f t="shared" si="32"/>
        <v>5.0688087379877289E-2</v>
      </c>
      <c r="M321" s="25">
        <f t="shared" si="33"/>
        <v>0.68101922174251162</v>
      </c>
      <c r="N321" s="25">
        <f t="shared" si="34"/>
        <v>0.7332974736717609</v>
      </c>
      <c r="O321" s="25">
        <v>1</v>
      </c>
      <c r="P321" s="25">
        <f>47480/56230</f>
        <v>0.84438911613017964</v>
      </c>
      <c r="Q321" s="25">
        <f>65400/53440</f>
        <v>1.2238023952095809</v>
      </c>
      <c r="R321" s="25">
        <v>97.992208570572373</v>
      </c>
      <c r="S321" s="25">
        <v>0</v>
      </c>
    </row>
    <row r="322" spans="1:19" x14ac:dyDescent="0.25">
      <c r="A322" s="31" t="s">
        <v>18</v>
      </c>
      <c r="B322" s="26" t="s">
        <v>19</v>
      </c>
      <c r="C322" s="26">
        <v>3</v>
      </c>
      <c r="D322" s="26" t="s">
        <v>20</v>
      </c>
      <c r="E322" s="25" t="s">
        <v>31</v>
      </c>
      <c r="F322" s="25" t="str">
        <f t="shared" ref="F322:F385" si="35">CONCATENATE(B322,"_",E322)</f>
        <v>M82_3_0</v>
      </c>
      <c r="G322" s="25">
        <v>4</v>
      </c>
      <c r="H322" s="25">
        <f>30480/58730</f>
        <v>0.51898518644644986</v>
      </c>
      <c r="I322" s="25">
        <f>48750/86090</f>
        <v>0.56626785921709843</v>
      </c>
      <c r="J322" s="25">
        <f>33970/57630</f>
        <v>0.58944993926774247</v>
      </c>
      <c r="K322" s="25">
        <f>31940/53440</f>
        <v>0.59767964071856283</v>
      </c>
      <c r="L322" s="25">
        <f t="shared" si="32"/>
        <v>4.7282672770648571E-2</v>
      </c>
      <c r="M322" s="25">
        <f t="shared" si="33"/>
        <v>7.0464752821292609E-2</v>
      </c>
      <c r="N322" s="25">
        <f t="shared" si="34"/>
        <v>7.8694454272112968E-2</v>
      </c>
      <c r="O322" s="25">
        <v>1</v>
      </c>
      <c r="P322" s="25">
        <f>19460/58730</f>
        <v>0.33134684147794996</v>
      </c>
      <c r="Q322" s="25">
        <f>23750/53440</f>
        <v>0.44442365269461076</v>
      </c>
      <c r="R322" s="25">
        <v>74.358171571696928</v>
      </c>
      <c r="S322" s="25">
        <v>0</v>
      </c>
    </row>
    <row r="323" spans="1:19" x14ac:dyDescent="0.25">
      <c r="A323" s="31" t="s">
        <v>18</v>
      </c>
      <c r="B323" s="26" t="s">
        <v>19</v>
      </c>
      <c r="C323" s="26">
        <v>3</v>
      </c>
      <c r="D323" s="26" t="s">
        <v>20</v>
      </c>
      <c r="E323" s="25" t="s">
        <v>31</v>
      </c>
      <c r="F323" s="25" t="str">
        <f t="shared" si="35"/>
        <v>M82_3_0</v>
      </c>
      <c r="G323" s="25">
        <v>4</v>
      </c>
      <c r="H323" s="25">
        <f>52430/86090</f>
        <v>0.60901382274364035</v>
      </c>
      <c r="I323" s="25">
        <f>62420/58730</f>
        <v>1.062829899540269</v>
      </c>
      <c r="J323" s="25">
        <f>88580/57630</f>
        <v>1.5370466770779108</v>
      </c>
      <c r="K323" s="25">
        <f>109100/53440</f>
        <v>2.0415419161676644</v>
      </c>
      <c r="L323" s="25">
        <f t="shared" si="32"/>
        <v>0.45381607679662861</v>
      </c>
      <c r="M323" s="25">
        <f t="shared" si="33"/>
        <v>0.92803285433427041</v>
      </c>
      <c r="N323" s="25">
        <f t="shared" si="34"/>
        <v>1.4325280934240241</v>
      </c>
      <c r="O323" s="25">
        <v>1</v>
      </c>
      <c r="P323" s="25">
        <f>37480/56230</f>
        <v>0.66654810599324199</v>
      </c>
      <c r="Q323" s="25">
        <f>106200/53440</f>
        <v>1.9872754491017963</v>
      </c>
      <c r="R323" s="25">
        <v>97.341888175985332</v>
      </c>
      <c r="S323" s="25">
        <v>0</v>
      </c>
    </row>
    <row r="324" spans="1:19" x14ac:dyDescent="0.25">
      <c r="A324" s="31" t="s">
        <v>18</v>
      </c>
      <c r="B324" s="26" t="s">
        <v>19</v>
      </c>
      <c r="C324" s="26">
        <v>3</v>
      </c>
      <c r="D324" s="26" t="s">
        <v>20</v>
      </c>
      <c r="E324" s="25" t="s">
        <v>31</v>
      </c>
      <c r="F324" s="25" t="str">
        <f t="shared" si="35"/>
        <v>M82_3_0</v>
      </c>
      <c r="G324" s="25">
        <v>5</v>
      </c>
      <c r="H324" s="25">
        <f>54450/86090</f>
        <v>0.63247763967940529</v>
      </c>
      <c r="I324" s="25">
        <f>52300/57630</f>
        <v>0.90751344785701893</v>
      </c>
      <c r="J324" s="25">
        <f>85880/58730</f>
        <v>1.4622850332027924</v>
      </c>
      <c r="K324" s="25">
        <f>159900/53440</f>
        <v>2.9921407185628741</v>
      </c>
      <c r="L324" s="25">
        <f t="shared" si="32"/>
        <v>0.27503580817761364</v>
      </c>
      <c r="M324" s="25">
        <f t="shared" si="33"/>
        <v>0.82980739352338706</v>
      </c>
      <c r="N324" s="25">
        <f t="shared" si="34"/>
        <v>2.3596630788834689</v>
      </c>
      <c r="O324" s="25">
        <v>1</v>
      </c>
      <c r="P324" s="25">
        <f>58480/56230</f>
        <v>1.0400142272808111</v>
      </c>
      <c r="Q324" s="25">
        <f>108600/53440</f>
        <v>2.0321856287425151</v>
      </c>
      <c r="R324" s="25">
        <v>67.917448405253282</v>
      </c>
      <c r="S324" s="25">
        <v>0</v>
      </c>
    </row>
    <row r="325" spans="1:19" x14ac:dyDescent="0.25">
      <c r="A325" s="31" t="s">
        <v>18</v>
      </c>
      <c r="B325" s="26" t="s">
        <v>19</v>
      </c>
      <c r="C325" s="26">
        <v>3</v>
      </c>
      <c r="D325" s="26" t="s">
        <v>20</v>
      </c>
      <c r="E325" s="25" t="s">
        <v>31</v>
      </c>
      <c r="F325" s="25" t="str">
        <f t="shared" si="35"/>
        <v>M82_3_0</v>
      </c>
      <c r="G325" s="25">
        <v>5</v>
      </c>
      <c r="H325" s="25">
        <f>59580/86090</f>
        <v>0.69206644209548152</v>
      </c>
      <c r="I325" s="25">
        <f>77690/58730</f>
        <v>1.3228333049548782</v>
      </c>
      <c r="J325" s="25">
        <f>76080/53440</f>
        <v>1.4236526946107784</v>
      </c>
      <c r="K325" s="25">
        <f>103400/57630</f>
        <v>1.7942044074266874</v>
      </c>
      <c r="L325" s="25">
        <f t="shared" si="32"/>
        <v>0.63076686285939665</v>
      </c>
      <c r="M325" s="25">
        <f t="shared" si="33"/>
        <v>0.73158625251529685</v>
      </c>
      <c r="N325" s="25">
        <f t="shared" si="34"/>
        <v>1.102137965331206</v>
      </c>
      <c r="O325" s="25">
        <v>1</v>
      </c>
      <c r="P325" s="25">
        <f>48480/56230</f>
        <v>0.8621732171438734</v>
      </c>
      <c r="Q325" s="25">
        <f>53930/53440</f>
        <v>1.0091691616766467</v>
      </c>
      <c r="R325" s="25">
        <v>56.246052985904406</v>
      </c>
      <c r="S325" s="25">
        <v>0</v>
      </c>
    </row>
    <row r="326" spans="1:19" x14ac:dyDescent="0.25">
      <c r="A326" s="31" t="s">
        <v>18</v>
      </c>
      <c r="B326" s="26" t="s">
        <v>19</v>
      </c>
      <c r="C326" s="26">
        <v>3</v>
      </c>
      <c r="D326" s="26" t="s">
        <v>20</v>
      </c>
      <c r="E326" s="25" t="s">
        <v>31</v>
      </c>
      <c r="F326" s="25" t="str">
        <f t="shared" si="35"/>
        <v>M82_3_0</v>
      </c>
      <c r="G326" s="25">
        <v>6</v>
      </c>
      <c r="H326" s="25">
        <f>47370/58730</f>
        <v>0.80657245019581136</v>
      </c>
      <c r="I326" s="25">
        <f>70750/86090</f>
        <v>0.82181438029968634</v>
      </c>
      <c r="J326" s="25">
        <f>68360/57630</f>
        <v>1.1861877494360575</v>
      </c>
      <c r="K326" s="25">
        <f>85090/53440</f>
        <v>1.5922529940119761</v>
      </c>
      <c r="L326" s="25">
        <f t="shared" si="32"/>
        <v>1.5241930103874979E-2</v>
      </c>
      <c r="M326" s="25">
        <f t="shared" si="33"/>
        <v>0.37961529924024617</v>
      </c>
      <c r="N326" s="25">
        <f t="shared" si="34"/>
        <v>0.7856805438161647</v>
      </c>
      <c r="O326" s="25">
        <v>1</v>
      </c>
      <c r="P326" s="25">
        <f>18800/58730</f>
        <v>0.32010897326749532</v>
      </c>
      <c r="Q326" s="25">
        <f>32640/53440</f>
        <v>0.6107784431137725</v>
      </c>
      <c r="R326" s="25">
        <v>38.359384181454928</v>
      </c>
      <c r="S326" s="25">
        <v>0</v>
      </c>
    </row>
    <row r="327" spans="1:19" x14ac:dyDescent="0.25">
      <c r="A327" s="31" t="s">
        <v>22</v>
      </c>
      <c r="B327" s="26" t="s">
        <v>19</v>
      </c>
      <c r="C327" s="26">
        <v>3</v>
      </c>
      <c r="D327" s="26" t="s">
        <v>20</v>
      </c>
      <c r="E327" s="25" t="s">
        <v>31</v>
      </c>
      <c r="F327" s="25" t="str">
        <f t="shared" si="35"/>
        <v>M82_3_0</v>
      </c>
      <c r="O327" s="25">
        <v>1</v>
      </c>
      <c r="S327" s="25">
        <v>0</v>
      </c>
    </row>
    <row r="328" spans="1:19" x14ac:dyDescent="0.25">
      <c r="A328" s="31" t="s">
        <v>22</v>
      </c>
      <c r="B328" s="26" t="s">
        <v>19</v>
      </c>
      <c r="C328" s="26">
        <v>3</v>
      </c>
      <c r="D328" s="26" t="s">
        <v>20</v>
      </c>
      <c r="E328" s="25" t="s">
        <v>31</v>
      </c>
      <c r="F328" s="25" t="str">
        <f t="shared" si="35"/>
        <v>M82_3_0</v>
      </c>
      <c r="O328" s="25">
        <v>1</v>
      </c>
      <c r="S328" s="25">
        <v>0</v>
      </c>
    </row>
    <row r="329" spans="1:19" x14ac:dyDescent="0.25">
      <c r="A329" s="31" t="s">
        <v>22</v>
      </c>
      <c r="B329" s="26" t="s">
        <v>19</v>
      </c>
      <c r="C329" s="26">
        <v>3</v>
      </c>
      <c r="D329" s="26" t="s">
        <v>20</v>
      </c>
      <c r="E329" s="25" t="s">
        <v>31</v>
      </c>
      <c r="F329" s="25" t="str">
        <f t="shared" si="35"/>
        <v>M82_3_0</v>
      </c>
      <c r="O329" s="25">
        <v>1</v>
      </c>
      <c r="S329" s="25">
        <v>0</v>
      </c>
    </row>
    <row r="330" spans="1:19" x14ac:dyDescent="0.25">
      <c r="A330" s="31" t="s">
        <v>22</v>
      </c>
      <c r="B330" s="26" t="s">
        <v>19</v>
      </c>
      <c r="C330" s="26">
        <v>3</v>
      </c>
      <c r="D330" s="26" t="s">
        <v>20</v>
      </c>
      <c r="E330" s="25" t="s">
        <v>31</v>
      </c>
      <c r="F330" s="25" t="str">
        <f t="shared" si="35"/>
        <v>M82_3_0</v>
      </c>
      <c r="O330" s="25">
        <v>1</v>
      </c>
      <c r="S330" s="25">
        <v>0</v>
      </c>
    </row>
    <row r="331" spans="1:19" x14ac:dyDescent="0.25">
      <c r="A331" s="31" t="s">
        <v>22</v>
      </c>
      <c r="B331" s="26" t="s">
        <v>19</v>
      </c>
      <c r="C331" s="26">
        <v>3</v>
      </c>
      <c r="D331" s="26" t="s">
        <v>20</v>
      </c>
      <c r="E331" s="25" t="s">
        <v>31</v>
      </c>
      <c r="F331" s="25" t="str">
        <f t="shared" si="35"/>
        <v>M82_3_0</v>
      </c>
      <c r="O331" s="25">
        <v>1</v>
      </c>
      <c r="S331" s="25">
        <v>0</v>
      </c>
    </row>
    <row r="332" spans="1:19" x14ac:dyDescent="0.25">
      <c r="A332" s="31" t="s">
        <v>18</v>
      </c>
      <c r="B332" s="26" t="s">
        <v>19</v>
      </c>
      <c r="C332" s="26">
        <v>3</v>
      </c>
      <c r="D332" s="26" t="s">
        <v>20</v>
      </c>
      <c r="E332" s="25" t="s">
        <v>31</v>
      </c>
      <c r="F332" s="25" t="str">
        <f t="shared" si="35"/>
        <v>M82_3_0</v>
      </c>
      <c r="G332" s="25">
        <v>3</v>
      </c>
      <c r="H332" s="25">
        <f>33590/86090</f>
        <v>0.39017307468927864</v>
      </c>
      <c r="I332" s="25">
        <f>48490/58730</f>
        <v>0.82564277200749192</v>
      </c>
      <c r="J332" s="25">
        <f>82130/57630</f>
        <v>1.4251258025334028</v>
      </c>
      <c r="L332" s="25">
        <f t="shared" ref="L332:L337" si="36">I332-H332</f>
        <v>0.43546969731821328</v>
      </c>
      <c r="M332" s="25">
        <f t="shared" ref="M332:M337" si="37">J332-H332</f>
        <v>1.0349527278441242</v>
      </c>
      <c r="O332" s="25">
        <v>0</v>
      </c>
    </row>
    <row r="333" spans="1:19" x14ac:dyDescent="0.25">
      <c r="A333" s="31" t="s">
        <v>18</v>
      </c>
      <c r="B333" s="26" t="s">
        <v>19</v>
      </c>
      <c r="C333" s="26">
        <v>3</v>
      </c>
      <c r="D333" s="26" t="s">
        <v>20</v>
      </c>
      <c r="E333" s="25" t="s">
        <v>31</v>
      </c>
      <c r="F333" s="25" t="str">
        <f t="shared" si="35"/>
        <v>M82_3_0</v>
      </c>
      <c r="G333" s="25">
        <v>4</v>
      </c>
      <c r="H333" s="25">
        <f>47240/86090</f>
        <v>0.54872807527006617</v>
      </c>
      <c r="I333" s="25">
        <f>44870/57630</f>
        <v>0.77858754121117468</v>
      </c>
      <c r="J333" s="25">
        <f>50910/58730</f>
        <v>0.86684828877915887</v>
      </c>
      <c r="K333" s="25">
        <f>111700/53440</f>
        <v>2.0901946107784433</v>
      </c>
      <c r="L333" s="25">
        <f t="shared" si="36"/>
        <v>0.22985946594110851</v>
      </c>
      <c r="M333" s="25">
        <f t="shared" si="37"/>
        <v>0.3181202135090927</v>
      </c>
      <c r="N333" s="25">
        <f>K333-H333</f>
        <v>1.541466535508377</v>
      </c>
      <c r="O333" s="25">
        <v>0</v>
      </c>
    </row>
    <row r="334" spans="1:19" x14ac:dyDescent="0.25">
      <c r="A334" s="31" t="s">
        <v>18</v>
      </c>
      <c r="B334" s="26" t="s">
        <v>19</v>
      </c>
      <c r="C334" s="26">
        <v>3</v>
      </c>
      <c r="D334" s="26" t="s">
        <v>20</v>
      </c>
      <c r="E334" s="25" t="s">
        <v>31</v>
      </c>
      <c r="F334" s="25" t="str">
        <f t="shared" si="35"/>
        <v>M82_3_0</v>
      </c>
      <c r="G334" s="25">
        <v>5</v>
      </c>
      <c r="H334" s="25">
        <f>36670/57630</f>
        <v>0.63630053791428076</v>
      </c>
      <c r="I334" s="25">
        <f>39720/53440</f>
        <v>0.74326347305389218</v>
      </c>
      <c r="J334" s="25">
        <f>52460/58730</f>
        <v>0.89324025200068113</v>
      </c>
      <c r="K334" s="25">
        <f>48720/53440</f>
        <v>0.91167664670658688</v>
      </c>
      <c r="L334" s="25">
        <f t="shared" si="36"/>
        <v>0.10696293513961141</v>
      </c>
      <c r="M334" s="25">
        <f t="shared" si="37"/>
        <v>0.25693971408640037</v>
      </c>
      <c r="N334" s="25">
        <f>K334-H334</f>
        <v>0.27537610879230612</v>
      </c>
      <c r="O334" s="25">
        <v>0</v>
      </c>
    </row>
    <row r="335" spans="1:19" x14ac:dyDescent="0.25">
      <c r="A335" s="31" t="s">
        <v>18</v>
      </c>
      <c r="B335" s="26" t="s">
        <v>19</v>
      </c>
      <c r="C335" s="26">
        <v>3</v>
      </c>
      <c r="D335" s="26" t="s">
        <v>20</v>
      </c>
      <c r="E335" s="25" t="s">
        <v>31</v>
      </c>
      <c r="F335" s="25" t="str">
        <f t="shared" si="35"/>
        <v>M82_3_0</v>
      </c>
      <c r="G335" s="25">
        <v>5</v>
      </c>
      <c r="H335" s="25">
        <f>34280/53440</f>
        <v>0.64146706586826352</v>
      </c>
      <c r="I335" s="25">
        <f>62700/86090</f>
        <v>0.72830758508537574</v>
      </c>
      <c r="J335" s="25">
        <f>45990/58730</f>
        <v>0.78307508939213344</v>
      </c>
      <c r="K335" s="25">
        <f>104200/57630</f>
        <v>1.808086066284921</v>
      </c>
      <c r="L335" s="25">
        <f t="shared" si="36"/>
        <v>8.6840519217112222E-2</v>
      </c>
      <c r="M335" s="25">
        <f t="shared" si="37"/>
        <v>0.14160802352386992</v>
      </c>
      <c r="N335" s="25">
        <f>K335-H335</f>
        <v>1.1666190004166574</v>
      </c>
      <c r="O335" s="25">
        <v>0</v>
      </c>
    </row>
    <row r="336" spans="1:19" x14ac:dyDescent="0.25">
      <c r="A336" s="31" t="s">
        <v>18</v>
      </c>
      <c r="B336" s="26" t="s">
        <v>19</v>
      </c>
      <c r="C336" s="26">
        <v>3</v>
      </c>
      <c r="D336" s="26" t="s">
        <v>20</v>
      </c>
      <c r="E336" s="25" t="s">
        <v>31</v>
      </c>
      <c r="F336" s="25" t="str">
        <f t="shared" si="35"/>
        <v>M82_3_0</v>
      </c>
      <c r="G336" s="25">
        <v>5</v>
      </c>
      <c r="H336" s="25">
        <f>55590/86090</f>
        <v>0.64571959577186666</v>
      </c>
      <c r="I336" s="25">
        <f>52860/58730</f>
        <v>0.90005108121913846</v>
      </c>
      <c r="J336" s="25">
        <f>63000/57630</f>
        <v>1.0931806350858928</v>
      </c>
      <c r="K336" s="25">
        <f>92380/53440</f>
        <v>1.7286676646706587</v>
      </c>
      <c r="L336" s="25">
        <f t="shared" si="36"/>
        <v>0.2543314854472718</v>
      </c>
      <c r="M336" s="25">
        <f t="shared" si="37"/>
        <v>0.44746103931402614</v>
      </c>
      <c r="N336" s="25">
        <f>K336-H336</f>
        <v>1.082948068898792</v>
      </c>
      <c r="O336" s="25">
        <v>0</v>
      </c>
    </row>
    <row r="337" spans="1:20" x14ac:dyDescent="0.25">
      <c r="A337" s="31" t="s">
        <v>18</v>
      </c>
      <c r="B337" s="26" t="s">
        <v>19</v>
      </c>
      <c r="C337" s="26">
        <v>3</v>
      </c>
      <c r="D337" s="26" t="s">
        <v>20</v>
      </c>
      <c r="E337" s="25" t="s">
        <v>31</v>
      </c>
      <c r="F337" s="25" t="str">
        <f t="shared" si="35"/>
        <v>M82_3_0</v>
      </c>
      <c r="G337" s="25">
        <v>5</v>
      </c>
      <c r="H337" s="25">
        <f>43060/58730</f>
        <v>0.73318576536693347</v>
      </c>
      <c r="I337" s="25">
        <f>63750/86090</f>
        <v>0.74050412359159024</v>
      </c>
      <c r="J337" s="25">
        <f>58380/57630</f>
        <v>1.0130140551795939</v>
      </c>
      <c r="K337" s="25">
        <f>96540/53440</f>
        <v>1.8065119760479043</v>
      </c>
      <c r="L337" s="25">
        <f t="shared" si="36"/>
        <v>7.3183582246567624E-3</v>
      </c>
      <c r="M337" s="25">
        <f t="shared" si="37"/>
        <v>0.27982828981266039</v>
      </c>
      <c r="N337" s="25">
        <f>K337-H337</f>
        <v>1.0733262106809707</v>
      </c>
      <c r="O337" s="25">
        <v>0</v>
      </c>
    </row>
    <row r="338" spans="1:20" x14ac:dyDescent="0.25">
      <c r="A338" s="31" t="s">
        <v>22</v>
      </c>
      <c r="B338" s="26" t="s">
        <v>19</v>
      </c>
      <c r="C338" s="26">
        <v>3</v>
      </c>
      <c r="D338" s="26" t="s">
        <v>20</v>
      </c>
      <c r="E338" s="25" t="s">
        <v>31</v>
      </c>
      <c r="F338" s="25" t="str">
        <f t="shared" si="35"/>
        <v>M82_3_0</v>
      </c>
      <c r="O338" s="25">
        <v>0</v>
      </c>
    </row>
    <row r="339" spans="1:20" x14ac:dyDescent="0.25">
      <c r="A339" s="31" t="s">
        <v>22</v>
      </c>
      <c r="B339" s="26" t="s">
        <v>19</v>
      </c>
      <c r="C339" s="26">
        <v>3</v>
      </c>
      <c r="D339" s="26" t="s">
        <v>20</v>
      </c>
      <c r="E339" s="25" t="s">
        <v>31</v>
      </c>
      <c r="F339" s="25" t="str">
        <f t="shared" si="35"/>
        <v>M82_3_0</v>
      </c>
      <c r="O339" s="25">
        <v>0</v>
      </c>
    </row>
    <row r="340" spans="1:20" x14ac:dyDescent="0.25">
      <c r="A340" s="31" t="s">
        <v>22</v>
      </c>
      <c r="B340" s="26" t="s">
        <v>19</v>
      </c>
      <c r="C340" s="26">
        <v>3</v>
      </c>
      <c r="D340" s="26" t="s">
        <v>20</v>
      </c>
      <c r="E340" s="25" t="s">
        <v>31</v>
      </c>
      <c r="F340" s="25" t="str">
        <f t="shared" si="35"/>
        <v>M82_3_0</v>
      </c>
      <c r="O340" s="25">
        <v>0</v>
      </c>
    </row>
    <row r="341" spans="1:20" x14ac:dyDescent="0.25">
      <c r="A341" s="31" t="s">
        <v>22</v>
      </c>
      <c r="B341" s="26" t="s">
        <v>19</v>
      </c>
      <c r="C341" s="26">
        <v>3</v>
      </c>
      <c r="D341" s="26" t="s">
        <v>20</v>
      </c>
      <c r="E341" s="25" t="s">
        <v>31</v>
      </c>
      <c r="F341" s="25" t="str">
        <f t="shared" si="35"/>
        <v>M82_3_0</v>
      </c>
      <c r="O341" s="25">
        <v>0</v>
      </c>
    </row>
    <row r="342" spans="1:20" x14ac:dyDescent="0.25">
      <c r="A342" s="31" t="s">
        <v>22</v>
      </c>
      <c r="B342" s="26" t="s">
        <v>19</v>
      </c>
      <c r="C342" s="26">
        <v>3</v>
      </c>
      <c r="D342" s="26" t="s">
        <v>20</v>
      </c>
      <c r="E342" s="25" t="s">
        <v>31</v>
      </c>
      <c r="F342" s="25" t="str">
        <f t="shared" si="35"/>
        <v>M82_3_0</v>
      </c>
      <c r="O342" s="25">
        <v>0</v>
      </c>
    </row>
    <row r="343" spans="1:20" x14ac:dyDescent="0.25">
      <c r="A343" s="31" t="s">
        <v>22</v>
      </c>
      <c r="B343" s="26" t="s">
        <v>19</v>
      </c>
      <c r="C343" s="26">
        <v>3</v>
      </c>
      <c r="D343" s="26" t="s">
        <v>20</v>
      </c>
      <c r="E343" s="25" t="s">
        <v>31</v>
      </c>
      <c r="F343" s="25" t="str">
        <f t="shared" si="35"/>
        <v>M82_3_0</v>
      </c>
      <c r="O343" s="25">
        <v>0</v>
      </c>
    </row>
    <row r="344" spans="1:20" s="27" customFormat="1" ht="15.75" thickBot="1" x14ac:dyDescent="0.3">
      <c r="A344" s="30" t="s">
        <v>22</v>
      </c>
      <c r="B344" s="29" t="s">
        <v>19</v>
      </c>
      <c r="C344" s="29">
        <v>3</v>
      </c>
      <c r="D344" s="29" t="s">
        <v>20</v>
      </c>
      <c r="E344" s="28" t="s">
        <v>31</v>
      </c>
      <c r="F344" s="28" t="str">
        <f t="shared" si="35"/>
        <v>M82_3_0</v>
      </c>
      <c r="G344" s="28"/>
      <c r="H344" s="28"/>
      <c r="I344" s="28"/>
      <c r="J344" s="28"/>
      <c r="K344" s="28"/>
      <c r="L344" s="28"/>
      <c r="M344" s="28"/>
      <c r="N344" s="28"/>
      <c r="O344" s="28">
        <v>0</v>
      </c>
      <c r="P344" s="28"/>
      <c r="Q344" s="28"/>
      <c r="R344" s="28"/>
      <c r="S344" s="28"/>
      <c r="T344" s="28"/>
    </row>
    <row r="345" spans="1:20" s="32" customFormat="1" x14ac:dyDescent="0.25">
      <c r="A345" s="35" t="s">
        <v>22</v>
      </c>
      <c r="B345" s="34" t="s">
        <v>19</v>
      </c>
      <c r="C345" s="34">
        <v>3</v>
      </c>
      <c r="D345" s="34" t="s">
        <v>23</v>
      </c>
      <c r="E345" s="33" t="s">
        <v>32</v>
      </c>
      <c r="F345" s="33" t="str">
        <f t="shared" si="35"/>
        <v>M82_3_0,1</v>
      </c>
      <c r="G345" s="33"/>
      <c r="H345" s="33"/>
      <c r="I345" s="33"/>
      <c r="J345" s="33"/>
      <c r="K345" s="33"/>
      <c r="L345" s="33"/>
      <c r="M345" s="33"/>
      <c r="N345" s="33"/>
      <c r="O345" s="33">
        <v>1</v>
      </c>
      <c r="P345" s="33"/>
      <c r="Q345" s="33"/>
      <c r="R345" s="33"/>
      <c r="S345" s="33">
        <v>1</v>
      </c>
      <c r="T345" s="33">
        <v>14</v>
      </c>
    </row>
    <row r="346" spans="1:20" x14ac:dyDescent="0.25">
      <c r="A346" s="31" t="s">
        <v>22</v>
      </c>
      <c r="B346" s="26" t="s">
        <v>19</v>
      </c>
      <c r="C346" s="26">
        <v>3</v>
      </c>
      <c r="D346" s="26" t="s">
        <v>23</v>
      </c>
      <c r="E346" s="25" t="s">
        <v>32</v>
      </c>
      <c r="F346" s="25" t="str">
        <f t="shared" si="35"/>
        <v>M82_3_0,1</v>
      </c>
      <c r="O346" s="25">
        <v>1</v>
      </c>
      <c r="S346" s="25">
        <v>1</v>
      </c>
      <c r="T346" s="25">
        <v>14</v>
      </c>
    </row>
    <row r="347" spans="1:20" x14ac:dyDescent="0.25">
      <c r="A347" s="31" t="s">
        <v>22</v>
      </c>
      <c r="B347" s="26" t="s">
        <v>19</v>
      </c>
      <c r="C347" s="26">
        <v>3</v>
      </c>
      <c r="D347" s="26" t="s">
        <v>23</v>
      </c>
      <c r="E347" s="25" t="s">
        <v>32</v>
      </c>
      <c r="F347" s="25" t="str">
        <f t="shared" si="35"/>
        <v>M82_3_0,1</v>
      </c>
      <c r="O347" s="25">
        <v>1</v>
      </c>
      <c r="S347" s="25">
        <v>1</v>
      </c>
      <c r="T347" s="25">
        <v>13</v>
      </c>
    </row>
    <row r="348" spans="1:20" x14ac:dyDescent="0.25">
      <c r="A348" s="31" t="s">
        <v>18</v>
      </c>
      <c r="B348" s="26" t="s">
        <v>19</v>
      </c>
      <c r="C348" s="26">
        <v>3</v>
      </c>
      <c r="D348" s="26" t="s">
        <v>23</v>
      </c>
      <c r="E348" s="25" t="s">
        <v>32</v>
      </c>
      <c r="F348" s="25" t="str">
        <f t="shared" si="35"/>
        <v>M82_3_0,1</v>
      </c>
      <c r="G348" s="25">
        <v>4</v>
      </c>
      <c r="H348" s="25">
        <f>42090/86090</f>
        <v>0.48890695783482402</v>
      </c>
      <c r="I348" s="25">
        <f>44770/58730</f>
        <v>0.76230206027583858</v>
      </c>
      <c r="J348" s="25">
        <f>59010/57630</f>
        <v>1.0239458615304529</v>
      </c>
      <c r="K348" s="25">
        <f>132900/53440</f>
        <v>2.4869011976047903</v>
      </c>
      <c r="L348" s="25">
        <f>I348-H348</f>
        <v>0.27339510244101456</v>
      </c>
      <c r="M348" s="25">
        <f>J348-H348</f>
        <v>0.5350389036956289</v>
      </c>
      <c r="N348" s="25">
        <f>K348-H348</f>
        <v>1.9979942397699664</v>
      </c>
      <c r="O348" s="25">
        <v>1</v>
      </c>
      <c r="P348" s="25">
        <f>36540/53440</f>
        <v>0.68375748502994016</v>
      </c>
      <c r="Q348" s="25">
        <f>55370/53440</f>
        <v>1.0361152694610778</v>
      </c>
      <c r="R348" s="25">
        <v>41.662904439428139</v>
      </c>
      <c r="S348" s="25">
        <v>1</v>
      </c>
      <c r="T348" s="25">
        <v>10</v>
      </c>
    </row>
    <row r="349" spans="1:20" x14ac:dyDescent="0.25">
      <c r="A349" s="31" t="s">
        <v>18</v>
      </c>
      <c r="B349" s="26" t="s">
        <v>19</v>
      </c>
      <c r="C349" s="26">
        <v>3</v>
      </c>
      <c r="D349" s="26" t="s">
        <v>23</v>
      </c>
      <c r="E349" s="25" t="s">
        <v>32</v>
      </c>
      <c r="F349" s="25" t="str">
        <f t="shared" si="35"/>
        <v>M82_3_0,1</v>
      </c>
      <c r="G349" s="25">
        <v>1</v>
      </c>
      <c r="H349" s="25">
        <f>8668/58730</f>
        <v>0.14759066916397071</v>
      </c>
      <c r="I349" s="25">
        <f>58110/86090</f>
        <v>0.67499128818678122</v>
      </c>
      <c r="J349" s="25">
        <f>148400/57630</f>
        <v>2.5750477182023253</v>
      </c>
      <c r="K349" s="25">
        <f>180000/53440</f>
        <v>3.3682634730538923</v>
      </c>
      <c r="L349" s="25">
        <f>I349-H349</f>
        <v>0.52740061902281055</v>
      </c>
      <c r="M349" s="25">
        <f>J349-H349</f>
        <v>2.4274570490383547</v>
      </c>
      <c r="N349" s="25">
        <f>K349-H349</f>
        <v>3.2206728038899217</v>
      </c>
      <c r="O349" s="25">
        <v>1</v>
      </c>
      <c r="P349" s="25">
        <f>58160/57630</f>
        <v>1.0091965989935798</v>
      </c>
      <c r="Q349" s="25">
        <f>104900/53440</f>
        <v>1.9629491017964071</v>
      </c>
      <c r="R349" s="25">
        <v>58.277777777777771</v>
      </c>
      <c r="S349" s="25">
        <v>1</v>
      </c>
      <c r="T349" s="25">
        <v>9</v>
      </c>
    </row>
    <row r="350" spans="1:20" x14ac:dyDescent="0.25">
      <c r="A350" s="31" t="s">
        <v>18</v>
      </c>
      <c r="B350" s="26" t="s">
        <v>19</v>
      </c>
      <c r="C350" s="26">
        <v>3</v>
      </c>
      <c r="D350" s="26" t="s">
        <v>23</v>
      </c>
      <c r="E350" s="25" t="s">
        <v>32</v>
      </c>
      <c r="F350" s="25" t="str">
        <f t="shared" si="35"/>
        <v>M82_3_0,1</v>
      </c>
      <c r="G350" s="25">
        <v>3</v>
      </c>
      <c r="H350" s="25">
        <f>18420/58730</f>
        <v>0.31363868550996082</v>
      </c>
      <c r="I350" s="25">
        <f>50180/86090</f>
        <v>0.58287838308746664</v>
      </c>
      <c r="J350" s="25">
        <f>79610/57630</f>
        <v>1.3813985771299671</v>
      </c>
      <c r="K350" s="25">
        <f>124400/53440</f>
        <v>2.3278443113772456</v>
      </c>
      <c r="L350" s="25">
        <f>I350-H350</f>
        <v>0.26923969757750582</v>
      </c>
      <c r="M350" s="25">
        <f>J350-H350</f>
        <v>1.0677598916200062</v>
      </c>
      <c r="N350" s="25">
        <f>K350-H350</f>
        <v>2.0142056258672847</v>
      </c>
      <c r="O350" s="25">
        <v>1</v>
      </c>
      <c r="P350" s="25">
        <f>27540/53440</f>
        <v>0.51534431137724546</v>
      </c>
      <c r="Q350" s="25">
        <f>82680/53440</f>
        <v>1.5471556886227544</v>
      </c>
      <c r="R350" s="25">
        <v>66.463022508038577</v>
      </c>
      <c r="S350" s="25">
        <v>1</v>
      </c>
      <c r="T350" s="25">
        <v>7</v>
      </c>
    </row>
    <row r="351" spans="1:20" x14ac:dyDescent="0.25">
      <c r="A351" s="31" t="s">
        <v>18</v>
      </c>
      <c r="B351" s="26" t="s">
        <v>19</v>
      </c>
      <c r="C351" s="26">
        <v>3</v>
      </c>
      <c r="D351" s="26" t="s">
        <v>23</v>
      </c>
      <c r="E351" s="25" t="s">
        <v>32</v>
      </c>
      <c r="F351" s="25" t="str">
        <f t="shared" si="35"/>
        <v>M82_3_0,1</v>
      </c>
      <c r="G351" s="25">
        <v>5</v>
      </c>
      <c r="H351" s="25">
        <f>38320/53440</f>
        <v>0.71706586826347307</v>
      </c>
      <c r="I351" s="25">
        <f>50240/58730</f>
        <v>0.85544014983824279</v>
      </c>
      <c r="J351" s="25">
        <f>49970/57630</f>
        <v>0.86708311643241365</v>
      </c>
      <c r="K351" s="25">
        <f>77300/86090</f>
        <v>0.89789754907654784</v>
      </c>
      <c r="L351" s="25">
        <f>I351-H351</f>
        <v>0.13837428157476972</v>
      </c>
      <c r="M351" s="25">
        <f>J351-H351</f>
        <v>0.15001724816894058</v>
      </c>
      <c r="N351" s="25">
        <f>K351-H351</f>
        <v>0.18083168081307477</v>
      </c>
      <c r="O351" s="25">
        <v>1</v>
      </c>
      <c r="P351" s="25">
        <f>30500/57630</f>
        <v>0.5292382439701544</v>
      </c>
      <c r="Q351" s="25">
        <f>42500/53440</f>
        <v>0.79528443113772451</v>
      </c>
      <c r="R351" s="25">
        <v>88.571845636024193</v>
      </c>
      <c r="S351" s="25">
        <v>1</v>
      </c>
      <c r="T351" s="25">
        <v>7</v>
      </c>
    </row>
    <row r="352" spans="1:20" x14ac:dyDescent="0.25">
      <c r="A352" s="31" t="s">
        <v>22</v>
      </c>
      <c r="B352" s="26" t="s">
        <v>19</v>
      </c>
      <c r="C352" s="26">
        <v>3</v>
      </c>
      <c r="D352" s="26" t="s">
        <v>23</v>
      </c>
      <c r="E352" s="25" t="s">
        <v>32</v>
      </c>
      <c r="F352" s="25" t="str">
        <f t="shared" si="35"/>
        <v>M82_3_0,1</v>
      </c>
      <c r="O352" s="25">
        <v>1</v>
      </c>
      <c r="S352" s="25">
        <v>1</v>
      </c>
      <c r="T352" s="25">
        <v>7</v>
      </c>
    </row>
    <row r="353" spans="1:20" x14ac:dyDescent="0.25">
      <c r="A353" s="31" t="s">
        <v>22</v>
      </c>
      <c r="B353" s="26" t="s">
        <v>19</v>
      </c>
      <c r="C353" s="26">
        <v>3</v>
      </c>
      <c r="D353" s="26" t="s">
        <v>23</v>
      </c>
      <c r="E353" s="25" t="s">
        <v>32</v>
      </c>
      <c r="F353" s="25" t="str">
        <f t="shared" si="35"/>
        <v>M82_3_0,1</v>
      </c>
      <c r="O353" s="25">
        <v>1</v>
      </c>
      <c r="S353" s="25">
        <v>1</v>
      </c>
      <c r="T353" s="25">
        <v>6</v>
      </c>
    </row>
    <row r="354" spans="1:20" x14ac:dyDescent="0.25">
      <c r="A354" s="31" t="s">
        <v>18</v>
      </c>
      <c r="B354" s="26" t="s">
        <v>19</v>
      </c>
      <c r="C354" s="26">
        <v>3</v>
      </c>
      <c r="D354" s="26" t="s">
        <v>23</v>
      </c>
      <c r="E354" s="25" t="s">
        <v>32</v>
      </c>
      <c r="F354" s="25" t="str">
        <f t="shared" si="35"/>
        <v>M82_3_0,1</v>
      </c>
      <c r="G354" s="25">
        <v>3</v>
      </c>
      <c r="H354" s="25">
        <f>20080/58730</f>
        <v>0.34190362676655883</v>
      </c>
      <c r="I354" s="25">
        <f>51850/86090</f>
        <v>0.60227668718782668</v>
      </c>
      <c r="J354" s="25">
        <f>45770/57630</f>
        <v>0.79420440742668752</v>
      </c>
      <c r="K354" s="25">
        <f>51000/53440</f>
        <v>0.9543413173652695</v>
      </c>
      <c r="L354" s="25">
        <f>I354-H354</f>
        <v>0.26037306042126784</v>
      </c>
      <c r="M354" s="25">
        <f>J354-H354</f>
        <v>0.45230078066012869</v>
      </c>
      <c r="N354" s="25">
        <f>K354-H354</f>
        <v>0.61243769059871067</v>
      </c>
      <c r="O354" s="25">
        <v>1</v>
      </c>
      <c r="P354" s="25">
        <f>18500/57630</f>
        <v>0.32101336109665107</v>
      </c>
      <c r="Q354" s="25">
        <f>39100/53440</f>
        <v>0.73166167664670656</v>
      </c>
      <c r="R354" s="25">
        <v>76.666666666666657</v>
      </c>
      <c r="S354" s="25">
        <v>1</v>
      </c>
      <c r="T354" s="25">
        <v>5</v>
      </c>
    </row>
    <row r="355" spans="1:20" x14ac:dyDescent="0.25">
      <c r="A355" s="31" t="s">
        <v>18</v>
      </c>
      <c r="B355" s="26" t="s">
        <v>19</v>
      </c>
      <c r="C355" s="26">
        <v>3</v>
      </c>
      <c r="D355" s="26" t="s">
        <v>23</v>
      </c>
      <c r="E355" s="25" t="s">
        <v>32</v>
      </c>
      <c r="F355" s="25" t="str">
        <f t="shared" si="35"/>
        <v>M82_3_0,1</v>
      </c>
      <c r="G355" s="25">
        <v>3</v>
      </c>
      <c r="H355" s="25">
        <f>24870/58730</f>
        <v>0.42346330665758558</v>
      </c>
      <c r="I355" s="25">
        <f>61090/86090</f>
        <v>0.70960622604251367</v>
      </c>
      <c r="J355" s="25">
        <f>71820/57630</f>
        <v>1.2462259239979177</v>
      </c>
      <c r="K355" s="25">
        <f>97100/53440</f>
        <v>1.8169910179640718</v>
      </c>
      <c r="L355" s="25">
        <f>I355-H355</f>
        <v>0.28614291938492808</v>
      </c>
      <c r="M355" s="25">
        <f>J355-H355</f>
        <v>0.82276261734033207</v>
      </c>
      <c r="N355" s="25">
        <f>K355-H355</f>
        <v>1.3935277113064863</v>
      </c>
      <c r="O355" s="25">
        <v>1</v>
      </c>
      <c r="P355" s="25">
        <f>20080/57630</f>
        <v>0.34842963734166232</v>
      </c>
      <c r="Q355" s="25">
        <f>34860/53440</f>
        <v>0.65232035928143717</v>
      </c>
      <c r="R355" s="25">
        <v>35.901132852729148</v>
      </c>
      <c r="S355" s="25">
        <v>1</v>
      </c>
      <c r="T355" s="25">
        <v>4</v>
      </c>
    </row>
    <row r="356" spans="1:20" x14ac:dyDescent="0.25">
      <c r="A356" s="31" t="s">
        <v>18</v>
      </c>
      <c r="B356" s="26" t="s">
        <v>19</v>
      </c>
      <c r="C356" s="26">
        <v>3</v>
      </c>
      <c r="D356" s="26" t="s">
        <v>23</v>
      </c>
      <c r="E356" s="25" t="s">
        <v>32</v>
      </c>
      <c r="F356" s="25" t="str">
        <f t="shared" si="35"/>
        <v>M82_3_0,1</v>
      </c>
      <c r="G356" s="25">
        <v>5</v>
      </c>
      <c r="H356" s="25">
        <f>41720/58730</f>
        <v>0.71036948748510131</v>
      </c>
      <c r="I356" s="25">
        <f>112400/86090</f>
        <v>1.3056104077128587</v>
      </c>
      <c r="J356" s="25">
        <f>406/57630</f>
        <v>7.044941870553531E-3</v>
      </c>
      <c r="L356" s="25">
        <f>I356-H356</f>
        <v>0.59524092022775743</v>
      </c>
      <c r="O356" s="25">
        <v>1</v>
      </c>
      <c r="S356" s="25">
        <v>1</v>
      </c>
      <c r="T356" s="25">
        <v>4</v>
      </c>
    </row>
    <row r="357" spans="1:20" x14ac:dyDescent="0.25">
      <c r="A357" s="31" t="s">
        <v>18</v>
      </c>
      <c r="B357" s="26" t="s">
        <v>19</v>
      </c>
      <c r="C357" s="26">
        <v>3</v>
      </c>
      <c r="D357" s="26" t="s">
        <v>23</v>
      </c>
      <c r="E357" s="25" t="s">
        <v>32</v>
      </c>
      <c r="F357" s="25" t="str">
        <f t="shared" si="35"/>
        <v>M82_3_0,1</v>
      </c>
      <c r="G357" s="25">
        <v>5</v>
      </c>
      <c r="H357" s="25">
        <f>37790/58730</f>
        <v>0.64345309041375787</v>
      </c>
      <c r="I357" s="25">
        <f>74290/86090</f>
        <v>0.86293413869206648</v>
      </c>
      <c r="J357" s="25">
        <f>84990/53440</f>
        <v>1.5903817365269461</v>
      </c>
      <c r="K357" s="25">
        <f>192600/57630</f>
        <v>3.3420093701197291</v>
      </c>
      <c r="L357" s="25">
        <f>I357-H357</f>
        <v>0.21948104827830861</v>
      </c>
      <c r="M357" s="25">
        <f>J357-H357</f>
        <v>0.94692864611318828</v>
      </c>
      <c r="N357" s="25">
        <f>K357-H357</f>
        <v>2.6985562797059712</v>
      </c>
      <c r="O357" s="25">
        <v>1</v>
      </c>
      <c r="P357" s="25">
        <f>37530/57630</f>
        <v>0.65122332118688186</v>
      </c>
      <c r="Q357" s="25">
        <f>84220/53440</f>
        <v>1.5759730538922156</v>
      </c>
      <c r="R357" s="25">
        <v>47.156452282351189</v>
      </c>
      <c r="S357" s="25">
        <v>1</v>
      </c>
      <c r="T357" s="25">
        <v>3</v>
      </c>
    </row>
    <row r="358" spans="1:20" x14ac:dyDescent="0.25">
      <c r="A358" s="31" t="s">
        <v>22</v>
      </c>
      <c r="B358" s="26" t="s">
        <v>19</v>
      </c>
      <c r="C358" s="26">
        <v>3</v>
      </c>
      <c r="D358" s="26" t="s">
        <v>23</v>
      </c>
      <c r="E358" s="25" t="s">
        <v>32</v>
      </c>
      <c r="F358" s="25" t="str">
        <f t="shared" si="35"/>
        <v>M82_3_0,1</v>
      </c>
      <c r="O358" s="25">
        <v>1</v>
      </c>
      <c r="S358" s="25">
        <v>0</v>
      </c>
      <c r="T358" s="25">
        <v>13</v>
      </c>
    </row>
    <row r="359" spans="1:20" x14ac:dyDescent="0.25">
      <c r="A359" s="31" t="s">
        <v>22</v>
      </c>
      <c r="B359" s="26" t="s">
        <v>19</v>
      </c>
      <c r="C359" s="26">
        <v>3</v>
      </c>
      <c r="D359" s="26" t="s">
        <v>23</v>
      </c>
      <c r="E359" s="25" t="s">
        <v>32</v>
      </c>
      <c r="F359" s="25" t="str">
        <f t="shared" si="35"/>
        <v>M82_3_0,1</v>
      </c>
      <c r="O359" s="25">
        <v>1</v>
      </c>
      <c r="S359" s="25">
        <v>0</v>
      </c>
      <c r="T359" s="25">
        <v>6</v>
      </c>
    </row>
    <row r="360" spans="1:20" x14ac:dyDescent="0.25">
      <c r="A360" s="31" t="s">
        <v>18</v>
      </c>
      <c r="B360" s="26" t="s">
        <v>19</v>
      </c>
      <c r="C360" s="26">
        <v>3</v>
      </c>
      <c r="D360" s="26" t="s">
        <v>23</v>
      </c>
      <c r="E360" s="25" t="s">
        <v>32</v>
      </c>
      <c r="F360" s="25" t="str">
        <f t="shared" si="35"/>
        <v>M82_3_0,1</v>
      </c>
      <c r="G360" s="25">
        <v>2</v>
      </c>
      <c r="H360" s="25">
        <f>14790/86090</f>
        <v>0.17179695667324893</v>
      </c>
      <c r="I360" s="25">
        <f>39040/58730</f>
        <v>0.66473693172143711</v>
      </c>
      <c r="J360" s="25">
        <f>70020/57630</f>
        <v>1.2149921915668922</v>
      </c>
      <c r="K360" s="25">
        <f>84070/53440</f>
        <v>1.5731661676646707</v>
      </c>
      <c r="L360" s="25">
        <f t="shared" ref="L360:L366" si="38">I360-H360</f>
        <v>0.49293997504818821</v>
      </c>
      <c r="M360" s="25">
        <f>J360-H360</f>
        <v>1.0431952348936433</v>
      </c>
      <c r="N360" s="25">
        <f>K360-H360</f>
        <v>1.4013692109914218</v>
      </c>
      <c r="O360" s="25">
        <v>1</v>
      </c>
      <c r="P360" s="25">
        <f>33500/57630</f>
        <v>0.5812944646885303</v>
      </c>
      <c r="Q360" s="25">
        <f>65890/53440</f>
        <v>1.2329715568862276</v>
      </c>
      <c r="R360" s="25">
        <v>78.375163554181043</v>
      </c>
      <c r="S360" s="25">
        <v>0</v>
      </c>
    </row>
    <row r="361" spans="1:20" x14ac:dyDescent="0.25">
      <c r="A361" s="31" t="s">
        <v>18</v>
      </c>
      <c r="B361" s="26" t="s">
        <v>19</v>
      </c>
      <c r="C361" s="26">
        <v>3</v>
      </c>
      <c r="D361" s="26" t="s">
        <v>23</v>
      </c>
      <c r="E361" s="25" t="s">
        <v>32</v>
      </c>
      <c r="F361" s="25" t="str">
        <f t="shared" si="35"/>
        <v>M82_3_0,1</v>
      </c>
      <c r="G361" s="25">
        <v>2</v>
      </c>
      <c r="H361" s="25">
        <f>25040/86090</f>
        <v>0.2908584039958183</v>
      </c>
      <c r="I361" s="25">
        <f>85950/58730</f>
        <v>1.4634769283160225</v>
      </c>
      <c r="J361" s="25">
        <f>89650/57630</f>
        <v>1.5556133958007983</v>
      </c>
      <c r="K361" s="25">
        <f>122800/53440</f>
        <v>2.2979041916167664</v>
      </c>
      <c r="L361" s="25">
        <f t="shared" si="38"/>
        <v>1.1726185243202041</v>
      </c>
      <c r="M361" s="25">
        <f>J361-H361</f>
        <v>1.2647549918049799</v>
      </c>
      <c r="N361" s="25">
        <f>K361-H361</f>
        <v>2.0070457876209482</v>
      </c>
      <c r="O361" s="25">
        <v>1</v>
      </c>
      <c r="P361" s="25">
        <f>22500/57630</f>
        <v>0.39042165538781887</v>
      </c>
      <c r="Q361" s="25">
        <f>43220/53440</f>
        <v>0.80875748502994016</v>
      </c>
      <c r="R361" s="25">
        <v>35.195439739413679</v>
      </c>
      <c r="S361" s="25">
        <v>0</v>
      </c>
    </row>
    <row r="362" spans="1:20" x14ac:dyDescent="0.25">
      <c r="A362" s="31" t="s">
        <v>18</v>
      </c>
      <c r="B362" s="26" t="s">
        <v>19</v>
      </c>
      <c r="C362" s="26">
        <v>3</v>
      </c>
      <c r="D362" s="26" t="s">
        <v>23</v>
      </c>
      <c r="E362" s="25" t="s">
        <v>32</v>
      </c>
      <c r="F362" s="25" t="str">
        <f t="shared" si="35"/>
        <v>M82_3_0,1</v>
      </c>
      <c r="G362" s="25">
        <v>5</v>
      </c>
      <c r="H362" s="25">
        <f>40170/58730</f>
        <v>0.68397752426357905</v>
      </c>
      <c r="I362" s="25">
        <f>67900/86090</f>
        <v>0.78870949006853297</v>
      </c>
      <c r="J362" s="25">
        <f>71720/57630</f>
        <v>1.2444907166406385</v>
      </c>
      <c r="K362" s="25">
        <f>74540/53440</f>
        <v>1.3948353293413174</v>
      </c>
      <c r="L362" s="25">
        <f t="shared" si="38"/>
        <v>0.10473196580495392</v>
      </c>
      <c r="M362" s="25">
        <f>J362-H362</f>
        <v>0.56051319237705943</v>
      </c>
      <c r="N362" s="25">
        <f>K362-H362</f>
        <v>0.71085780507773833</v>
      </c>
      <c r="O362" s="25">
        <v>1</v>
      </c>
      <c r="P362" s="25">
        <f>54500/57630</f>
        <v>0.94568800971716116</v>
      </c>
      <c r="Q362" s="25">
        <f>73300/53440</f>
        <v>1.3716317365269461</v>
      </c>
      <c r="R362" s="25">
        <v>98.336463643681242</v>
      </c>
      <c r="S362" s="25">
        <v>0</v>
      </c>
    </row>
    <row r="363" spans="1:20" x14ac:dyDescent="0.25">
      <c r="A363" s="31" t="s">
        <v>18</v>
      </c>
      <c r="B363" s="26" t="s">
        <v>19</v>
      </c>
      <c r="C363" s="26">
        <v>3</v>
      </c>
      <c r="D363" s="26" t="s">
        <v>23</v>
      </c>
      <c r="E363" s="25" t="s">
        <v>32</v>
      </c>
      <c r="F363" s="25" t="str">
        <f t="shared" si="35"/>
        <v>M82_3_0,1</v>
      </c>
      <c r="G363" s="25">
        <v>5</v>
      </c>
      <c r="H363" s="25">
        <f>36590/58730</f>
        <v>0.62302060275838589</v>
      </c>
      <c r="I363" s="25">
        <f>65690/86090</f>
        <v>0.76303868045069112</v>
      </c>
      <c r="J363" s="25">
        <f>384/57630</f>
        <v>6.6631962519521082E-3</v>
      </c>
      <c r="L363" s="25">
        <f t="shared" si="38"/>
        <v>0.14001807769230523</v>
      </c>
      <c r="O363" s="25">
        <v>0</v>
      </c>
    </row>
    <row r="364" spans="1:20" x14ac:dyDescent="0.25">
      <c r="A364" s="31" t="s">
        <v>18</v>
      </c>
      <c r="B364" s="26" t="s">
        <v>19</v>
      </c>
      <c r="C364" s="26">
        <v>3</v>
      </c>
      <c r="D364" s="26" t="s">
        <v>23</v>
      </c>
      <c r="E364" s="25" t="s">
        <v>32</v>
      </c>
      <c r="F364" s="25" t="str">
        <f t="shared" si="35"/>
        <v>M82_3_0,1</v>
      </c>
      <c r="G364" s="25">
        <v>5</v>
      </c>
      <c r="H364" s="25">
        <f>39600/58730</f>
        <v>0.67427209262727739</v>
      </c>
      <c r="I364" s="25">
        <f>75740/86090</f>
        <v>0.87977697758160067</v>
      </c>
      <c r="L364" s="25">
        <f t="shared" si="38"/>
        <v>0.20550488495432329</v>
      </c>
      <c r="O364" s="25">
        <v>0</v>
      </c>
    </row>
    <row r="365" spans="1:20" x14ac:dyDescent="0.25">
      <c r="A365" s="31" t="s">
        <v>18</v>
      </c>
      <c r="B365" s="26" t="s">
        <v>19</v>
      </c>
      <c r="C365" s="26">
        <v>3</v>
      </c>
      <c r="D365" s="26" t="s">
        <v>23</v>
      </c>
      <c r="E365" s="25" t="s">
        <v>32</v>
      </c>
      <c r="F365" s="25" t="str">
        <f t="shared" si="35"/>
        <v>M82_3_0,1</v>
      </c>
      <c r="G365" s="25">
        <v>6</v>
      </c>
      <c r="H365" s="25">
        <f>47740/58730</f>
        <v>0.81287246722288442</v>
      </c>
      <c r="I365" s="25">
        <f>43470/86090</f>
        <v>0.50493669415727727</v>
      </c>
      <c r="J365" s="25">
        <f>25100/57630</f>
        <v>0.43553704667707793</v>
      </c>
      <c r="K365" s="25">
        <f>19000/53440</f>
        <v>0.35553892215568861</v>
      </c>
      <c r="L365" s="25">
        <f t="shared" si="38"/>
        <v>-0.30793577306560715</v>
      </c>
      <c r="O365" s="25">
        <v>0</v>
      </c>
    </row>
    <row r="366" spans="1:20" s="27" customFormat="1" ht="15.75" thickBot="1" x14ac:dyDescent="0.3">
      <c r="A366" s="30" t="s">
        <v>18</v>
      </c>
      <c r="B366" s="29" t="s">
        <v>19</v>
      </c>
      <c r="C366" s="29">
        <v>3</v>
      </c>
      <c r="D366" s="29" t="s">
        <v>23</v>
      </c>
      <c r="E366" s="28" t="s">
        <v>32</v>
      </c>
      <c r="F366" s="28" t="str">
        <f t="shared" si="35"/>
        <v>M82_3_0,1</v>
      </c>
      <c r="G366" s="28">
        <v>6</v>
      </c>
      <c r="H366" s="28">
        <f>49190/58730</f>
        <v>0.83756172313979227</v>
      </c>
      <c r="I366" s="28">
        <f>51380/86090</f>
        <v>0.59681728423742597</v>
      </c>
      <c r="J366" s="28">
        <f>31510/53440</f>
        <v>0.58963323353293418</v>
      </c>
      <c r="K366" s="28">
        <f>23960/57630</f>
        <v>0.41575568280409508</v>
      </c>
      <c r="L366" s="28">
        <f t="shared" si="38"/>
        <v>-0.2407444389023663</v>
      </c>
      <c r="M366" s="28"/>
      <c r="N366" s="28"/>
      <c r="O366" s="28">
        <v>0</v>
      </c>
      <c r="P366" s="28"/>
      <c r="Q366" s="28"/>
      <c r="R366" s="28"/>
      <c r="S366" s="28"/>
      <c r="T366" s="28"/>
    </row>
    <row r="367" spans="1:20" s="32" customFormat="1" x14ac:dyDescent="0.25">
      <c r="A367" s="35" t="s">
        <v>22</v>
      </c>
      <c r="B367" s="34" t="s">
        <v>19</v>
      </c>
      <c r="C367" s="34">
        <v>3</v>
      </c>
      <c r="D367" s="34" t="s">
        <v>26</v>
      </c>
      <c r="E367" s="33" t="s">
        <v>33</v>
      </c>
      <c r="F367" s="33" t="str">
        <f t="shared" si="35"/>
        <v>M82_3_0,5</v>
      </c>
      <c r="G367" s="33"/>
      <c r="H367" s="33"/>
      <c r="I367" s="33"/>
      <c r="J367" s="33"/>
      <c r="K367" s="33"/>
      <c r="L367" s="33"/>
      <c r="M367" s="33"/>
      <c r="N367" s="33"/>
      <c r="O367" s="33">
        <v>1</v>
      </c>
      <c r="P367" s="33"/>
      <c r="Q367" s="33"/>
      <c r="R367" s="33"/>
      <c r="S367" s="33">
        <v>1</v>
      </c>
      <c r="T367" s="33">
        <v>14</v>
      </c>
    </row>
    <row r="368" spans="1:20" x14ac:dyDescent="0.25">
      <c r="A368" s="31" t="s">
        <v>18</v>
      </c>
      <c r="B368" s="26" t="s">
        <v>19</v>
      </c>
      <c r="C368" s="26">
        <v>3</v>
      </c>
      <c r="D368" s="26" t="s">
        <v>26</v>
      </c>
      <c r="E368" s="25" t="s">
        <v>33</v>
      </c>
      <c r="F368" s="25" t="str">
        <f t="shared" si="35"/>
        <v>M82_3_0,5</v>
      </c>
      <c r="G368" s="25">
        <v>4</v>
      </c>
      <c r="H368" s="25">
        <f>28470/58730</f>
        <v>0.48476076962370168</v>
      </c>
      <c r="I368" s="25">
        <f>56400/86090</f>
        <v>0.65512835404808922</v>
      </c>
      <c r="J368" s="25">
        <f>56230/57630</f>
        <v>0.97570709699809122</v>
      </c>
      <c r="K368" s="25">
        <f>68330/55550</f>
        <v>1.2300630063006301</v>
      </c>
      <c r="L368" s="25">
        <f>I368-H368</f>
        <v>0.17036758442438754</v>
      </c>
      <c r="M368" s="25">
        <f>J368-H368</f>
        <v>0.49094632737438954</v>
      </c>
      <c r="N368" s="25">
        <f>K368-H368</f>
        <v>0.74530223667692841</v>
      </c>
      <c r="O368" s="25">
        <v>1</v>
      </c>
      <c r="P368" s="25">
        <f>19971/57630</f>
        <v>0.34653826132222798</v>
      </c>
      <c r="Q368" s="25">
        <f>51580/53440</f>
        <v>0.96519461077844315</v>
      </c>
      <c r="R368" s="25">
        <v>78.467087119482684</v>
      </c>
      <c r="S368" s="25">
        <v>1</v>
      </c>
      <c r="T368" s="25">
        <v>13</v>
      </c>
    </row>
    <row r="369" spans="1:20" x14ac:dyDescent="0.25">
      <c r="A369" s="31" t="s">
        <v>22</v>
      </c>
      <c r="B369" s="26" t="s">
        <v>19</v>
      </c>
      <c r="C369" s="26">
        <v>3</v>
      </c>
      <c r="D369" s="26" t="s">
        <v>26</v>
      </c>
      <c r="E369" s="25" t="s">
        <v>33</v>
      </c>
      <c r="F369" s="25" t="str">
        <f t="shared" si="35"/>
        <v>M82_3_0,5</v>
      </c>
      <c r="O369" s="25">
        <v>1</v>
      </c>
      <c r="S369" s="25">
        <v>1</v>
      </c>
      <c r="T369" s="25">
        <v>11</v>
      </c>
    </row>
    <row r="370" spans="1:20" x14ac:dyDescent="0.25">
      <c r="A370" s="31" t="s">
        <v>22</v>
      </c>
      <c r="B370" s="26" t="s">
        <v>19</v>
      </c>
      <c r="C370" s="26">
        <v>3</v>
      </c>
      <c r="D370" s="26" t="s">
        <v>26</v>
      </c>
      <c r="E370" s="25" t="s">
        <v>33</v>
      </c>
      <c r="F370" s="25" t="str">
        <f t="shared" si="35"/>
        <v>M82_3_0,5</v>
      </c>
      <c r="O370" s="25">
        <v>1</v>
      </c>
      <c r="S370" s="25">
        <v>1</v>
      </c>
      <c r="T370" s="25">
        <v>9</v>
      </c>
    </row>
    <row r="371" spans="1:20" x14ac:dyDescent="0.25">
      <c r="A371" s="31" t="s">
        <v>22</v>
      </c>
      <c r="B371" s="26" t="s">
        <v>19</v>
      </c>
      <c r="C371" s="26">
        <v>3</v>
      </c>
      <c r="D371" s="26" t="s">
        <v>26</v>
      </c>
      <c r="E371" s="25" t="s">
        <v>33</v>
      </c>
      <c r="F371" s="25" t="str">
        <f t="shared" si="35"/>
        <v>M82_3_0,5</v>
      </c>
      <c r="O371" s="25">
        <v>1</v>
      </c>
      <c r="S371" s="25">
        <v>1</v>
      </c>
      <c r="T371" s="25">
        <v>8</v>
      </c>
    </row>
    <row r="372" spans="1:20" x14ac:dyDescent="0.25">
      <c r="A372" s="31" t="s">
        <v>22</v>
      </c>
      <c r="B372" s="26" t="s">
        <v>19</v>
      </c>
      <c r="C372" s="26">
        <v>3</v>
      </c>
      <c r="D372" s="26" t="s">
        <v>26</v>
      </c>
      <c r="E372" s="25" t="s">
        <v>33</v>
      </c>
      <c r="F372" s="25" t="str">
        <f t="shared" si="35"/>
        <v>M82_3_0,5</v>
      </c>
      <c r="O372" s="25">
        <v>1</v>
      </c>
      <c r="S372" s="25">
        <v>1</v>
      </c>
      <c r="T372" s="25">
        <v>7</v>
      </c>
    </row>
    <row r="373" spans="1:20" x14ac:dyDescent="0.25">
      <c r="A373" s="31" t="s">
        <v>18</v>
      </c>
      <c r="B373" s="26" t="s">
        <v>19</v>
      </c>
      <c r="C373" s="26">
        <v>3</v>
      </c>
      <c r="D373" s="26" t="s">
        <v>26</v>
      </c>
      <c r="E373" s="25" t="s">
        <v>33</v>
      </c>
      <c r="F373" s="25" t="str">
        <f t="shared" si="35"/>
        <v>M82_3_0,5</v>
      </c>
      <c r="G373" s="25">
        <v>3</v>
      </c>
      <c r="H373" s="25">
        <f>24230/58730</f>
        <v>0.41256597990805383</v>
      </c>
      <c r="I373" s="25">
        <f>68630/86090</f>
        <v>0.79718898826809148</v>
      </c>
      <c r="J373" s="25">
        <f>120200/56230</f>
        <v>2.1376489418459896</v>
      </c>
      <c r="K373" s="25">
        <f>156300/55550</f>
        <v>2.8136813681368138</v>
      </c>
      <c r="L373" s="25">
        <f t="shared" ref="L373:L384" si="39">I373-H373</f>
        <v>0.38462300836003765</v>
      </c>
      <c r="M373" s="25">
        <f t="shared" ref="M373:M384" si="40">J373-H373</f>
        <v>1.7250829619379358</v>
      </c>
      <c r="N373" s="25">
        <f>K373-H373</f>
        <v>2.4011153882287601</v>
      </c>
      <c r="O373" s="25">
        <v>1</v>
      </c>
      <c r="P373" s="25">
        <f>59231/57630</f>
        <v>1.02778066979004</v>
      </c>
      <c r="Q373" s="25">
        <f>129200/53440</f>
        <v>2.4176646706586826</v>
      </c>
      <c r="R373" s="25">
        <v>85.925318269411264</v>
      </c>
      <c r="S373" s="25">
        <v>1</v>
      </c>
      <c r="T373" s="25">
        <v>6</v>
      </c>
    </row>
    <row r="374" spans="1:20" x14ac:dyDescent="0.25">
      <c r="A374" s="31" t="s">
        <v>18</v>
      </c>
      <c r="B374" s="26" t="s">
        <v>19</v>
      </c>
      <c r="C374" s="26">
        <v>3</v>
      </c>
      <c r="D374" s="26" t="s">
        <v>26</v>
      </c>
      <c r="E374" s="25" t="s">
        <v>33</v>
      </c>
      <c r="F374" s="25" t="str">
        <f t="shared" si="35"/>
        <v>M82_3_0,5</v>
      </c>
      <c r="G374" s="25">
        <v>3</v>
      </c>
      <c r="H374" s="25">
        <f>23850/58730</f>
        <v>0.40609569215051933</v>
      </c>
      <c r="I374" s="25">
        <f>90980/86090</f>
        <v>1.0568010221860844</v>
      </c>
      <c r="J374" s="25">
        <f>83900/57630</f>
        <v>1.4558389727572445</v>
      </c>
      <c r="K374" s="25">
        <f>88090/55550</f>
        <v>1.5857785778577858</v>
      </c>
      <c r="L374" s="25">
        <f t="shared" si="39"/>
        <v>0.65070533003556508</v>
      </c>
      <c r="M374" s="25">
        <f t="shared" si="40"/>
        <v>1.0497432806067253</v>
      </c>
      <c r="N374" s="25">
        <f>K374-H374</f>
        <v>1.1796828857072663</v>
      </c>
      <c r="O374" s="25">
        <v>1</v>
      </c>
      <c r="P374" s="25">
        <f>50233/57630</f>
        <v>0.87164671178205799</v>
      </c>
      <c r="Q374" s="25">
        <f>73280/53440</f>
        <v>1.3712574850299402</v>
      </c>
      <c r="R374" s="25">
        <v>86.472191274166406</v>
      </c>
      <c r="S374" s="25">
        <v>1</v>
      </c>
      <c r="T374" s="25">
        <v>5</v>
      </c>
    </row>
    <row r="375" spans="1:20" x14ac:dyDescent="0.25">
      <c r="A375" s="31" t="s">
        <v>18</v>
      </c>
      <c r="B375" s="26" t="s">
        <v>19</v>
      </c>
      <c r="C375" s="26">
        <v>3</v>
      </c>
      <c r="D375" s="26" t="s">
        <v>26</v>
      </c>
      <c r="E375" s="25" t="s">
        <v>33</v>
      </c>
      <c r="F375" s="25" t="str">
        <f t="shared" si="35"/>
        <v>M82_3_0,5</v>
      </c>
      <c r="G375" s="25">
        <v>5</v>
      </c>
      <c r="H375" s="25">
        <f>39440/58730</f>
        <v>0.67154776093989443</v>
      </c>
      <c r="I375" s="25">
        <f>67600/86090</f>
        <v>0.78522476478104308</v>
      </c>
      <c r="J375" s="25">
        <f>47480/56230</f>
        <v>0.84438911613017964</v>
      </c>
      <c r="L375" s="25">
        <f t="shared" si="39"/>
        <v>0.11367700384114865</v>
      </c>
      <c r="M375" s="25">
        <f t="shared" si="40"/>
        <v>0.17284135519028521</v>
      </c>
      <c r="O375" s="25">
        <v>1</v>
      </c>
      <c r="S375" s="25">
        <v>1</v>
      </c>
      <c r="T375" s="25">
        <v>5</v>
      </c>
    </row>
    <row r="376" spans="1:20" x14ac:dyDescent="0.25">
      <c r="A376" s="31" t="s">
        <v>18</v>
      </c>
      <c r="B376" s="26" t="s">
        <v>19</v>
      </c>
      <c r="C376" s="26">
        <v>3</v>
      </c>
      <c r="D376" s="26" t="s">
        <v>26</v>
      </c>
      <c r="E376" s="25" t="s">
        <v>33</v>
      </c>
      <c r="F376" s="25" t="str">
        <f t="shared" si="35"/>
        <v>M82_3_0,5</v>
      </c>
      <c r="G376" s="25">
        <v>4</v>
      </c>
      <c r="H376" s="25">
        <f>31290/58730</f>
        <v>0.53277711561382601</v>
      </c>
      <c r="I376" s="25">
        <f>61690/86090</f>
        <v>0.71657567661749333</v>
      </c>
      <c r="J376" s="25">
        <f>56000/56230</f>
        <v>0.99590965676685039</v>
      </c>
      <c r="K376" s="25">
        <f>73810/55550</f>
        <v>1.3287128712871288</v>
      </c>
      <c r="L376" s="25">
        <f t="shared" si="39"/>
        <v>0.18379856100366732</v>
      </c>
      <c r="M376" s="25">
        <f t="shared" si="40"/>
        <v>0.46313254115302438</v>
      </c>
      <c r="N376" s="25">
        <f>K376-H376</f>
        <v>0.79593575567330277</v>
      </c>
      <c r="O376" s="25">
        <v>1</v>
      </c>
      <c r="P376" s="25">
        <f>19971/57630</f>
        <v>0.34653826132222798</v>
      </c>
      <c r="Q376" s="25">
        <f>50850/53440</f>
        <v>0.95153443113772451</v>
      </c>
      <c r="R376" s="25">
        <v>71.613247052839171</v>
      </c>
      <c r="S376" s="25">
        <v>1</v>
      </c>
      <c r="T376" s="25">
        <v>3</v>
      </c>
    </row>
    <row r="377" spans="1:20" x14ac:dyDescent="0.25">
      <c r="A377" s="31" t="s">
        <v>18</v>
      </c>
      <c r="B377" s="26" t="s">
        <v>19</v>
      </c>
      <c r="C377" s="26">
        <v>3</v>
      </c>
      <c r="D377" s="26" t="s">
        <v>26</v>
      </c>
      <c r="E377" s="25" t="s">
        <v>33</v>
      </c>
      <c r="F377" s="25" t="str">
        <f t="shared" si="35"/>
        <v>M82_3_0,5</v>
      </c>
      <c r="G377" s="25">
        <v>5</v>
      </c>
      <c r="H377" s="25">
        <f>40160/58730</f>
        <v>0.68380725353311766</v>
      </c>
      <c r="I377" s="25">
        <f>67960/86090</f>
        <v>0.78940643512603093</v>
      </c>
      <c r="J377" s="25">
        <f>75710/56230</f>
        <v>1.3464342877467543</v>
      </c>
      <c r="L377" s="25">
        <f t="shared" si="39"/>
        <v>0.10559918159291326</v>
      </c>
      <c r="M377" s="25">
        <f t="shared" si="40"/>
        <v>0.66262703421363667</v>
      </c>
      <c r="O377" s="25">
        <v>1</v>
      </c>
      <c r="S377" s="25">
        <v>1</v>
      </c>
      <c r="T377" s="25">
        <v>2</v>
      </c>
    </row>
    <row r="378" spans="1:20" x14ac:dyDescent="0.25">
      <c r="A378" s="31" t="s">
        <v>18</v>
      </c>
      <c r="B378" s="26" t="s">
        <v>19</v>
      </c>
      <c r="C378" s="26">
        <v>3</v>
      </c>
      <c r="D378" s="26" t="s">
        <v>26</v>
      </c>
      <c r="E378" s="25" t="s">
        <v>33</v>
      </c>
      <c r="F378" s="25" t="str">
        <f t="shared" si="35"/>
        <v>M82_3_0,5</v>
      </c>
      <c r="G378" s="25">
        <v>3</v>
      </c>
      <c r="H378" s="25">
        <f>19700/58730</f>
        <v>0.33543333900902433</v>
      </c>
      <c r="I378" s="25">
        <f>70930/86090</f>
        <v>0.82390521547218032</v>
      </c>
      <c r="J378" s="25">
        <f>117300/56230</f>
        <v>2.0860750489062778</v>
      </c>
      <c r="K378" s="25">
        <f>148800/55550</f>
        <v>2.6786678667866788</v>
      </c>
      <c r="L378" s="25">
        <f t="shared" si="39"/>
        <v>0.48847187646315599</v>
      </c>
      <c r="M378" s="25">
        <f t="shared" si="40"/>
        <v>1.7506417098972535</v>
      </c>
      <c r="N378" s="25">
        <f t="shared" ref="N378:N384" si="41">K378-H378</f>
        <v>2.3432345277776543</v>
      </c>
      <c r="O378" s="25">
        <v>1</v>
      </c>
      <c r="P378" s="25">
        <f>19910/57630</f>
        <v>0.34547978483428771</v>
      </c>
      <c r="Q378" s="25">
        <f>51030/53440</f>
        <v>0.95490269461077848</v>
      </c>
      <c r="R378" s="25">
        <v>35.64841712743867</v>
      </c>
      <c r="S378" s="25">
        <v>0</v>
      </c>
    </row>
    <row r="379" spans="1:20" x14ac:dyDescent="0.25">
      <c r="A379" s="31" t="s">
        <v>18</v>
      </c>
      <c r="B379" s="26" t="s">
        <v>19</v>
      </c>
      <c r="C379" s="26">
        <v>3</v>
      </c>
      <c r="D379" s="26" t="s">
        <v>26</v>
      </c>
      <c r="E379" s="25" t="s">
        <v>33</v>
      </c>
      <c r="F379" s="25" t="str">
        <f t="shared" si="35"/>
        <v>M82_3_0,5</v>
      </c>
      <c r="G379" s="25">
        <v>3</v>
      </c>
      <c r="H379" s="25">
        <f>21460/58730</f>
        <v>0.3654009875702367</v>
      </c>
      <c r="I379" s="25">
        <f>61930/86090</f>
        <v>0.71936345684748515</v>
      </c>
      <c r="J379" s="25">
        <f>62940/56230</f>
        <v>1.1193313178018851</v>
      </c>
      <c r="K379" s="25">
        <f>139800/55550</f>
        <v>2.5166516651665165</v>
      </c>
      <c r="L379" s="25">
        <f t="shared" si="39"/>
        <v>0.35396246927724845</v>
      </c>
      <c r="M379" s="25">
        <f t="shared" si="40"/>
        <v>0.75393033023164846</v>
      </c>
      <c r="N379" s="25">
        <f t="shared" si="41"/>
        <v>2.1512506775962796</v>
      </c>
      <c r="O379" s="25">
        <v>1</v>
      </c>
      <c r="P379" s="25">
        <f>13940/57630</f>
        <v>0.24188790560471976</v>
      </c>
      <c r="Q379" s="25">
        <f>30700/53440</f>
        <v>0.5744760479041916</v>
      </c>
      <c r="R379" s="25">
        <v>22.826998899197314</v>
      </c>
      <c r="S379" s="25">
        <v>0</v>
      </c>
    </row>
    <row r="380" spans="1:20" x14ac:dyDescent="0.25">
      <c r="A380" s="31" t="s">
        <v>18</v>
      </c>
      <c r="B380" s="26" t="s">
        <v>19</v>
      </c>
      <c r="C380" s="26">
        <v>3</v>
      </c>
      <c r="D380" s="26" t="s">
        <v>26</v>
      </c>
      <c r="E380" s="25" t="s">
        <v>33</v>
      </c>
      <c r="F380" s="25" t="str">
        <f t="shared" si="35"/>
        <v>M82_3_0,5</v>
      </c>
      <c r="G380" s="25">
        <v>3</v>
      </c>
      <c r="H380" s="25">
        <f>22440/58730</f>
        <v>0.38208751915545719</v>
      </c>
      <c r="I380" s="25">
        <f>66210/86090</f>
        <v>0.76907887094900684</v>
      </c>
      <c r="J380" s="25">
        <f>90190/56230</f>
        <v>1.60394807042504</v>
      </c>
      <c r="K380" s="25">
        <f>166800/55550</f>
        <v>3.0027002700270029</v>
      </c>
      <c r="L380" s="25">
        <f t="shared" si="39"/>
        <v>0.38699135179354965</v>
      </c>
      <c r="M380" s="25">
        <f t="shared" si="40"/>
        <v>1.2218605512695828</v>
      </c>
      <c r="N380" s="25">
        <f t="shared" si="41"/>
        <v>2.6206127508715458</v>
      </c>
      <c r="O380" s="25">
        <v>1</v>
      </c>
      <c r="P380" s="25">
        <f>40400/57630</f>
        <v>0.70102377234079472</v>
      </c>
      <c r="Q380" s="25">
        <f>78320/53440</f>
        <v>1.465568862275449</v>
      </c>
      <c r="R380" s="25">
        <v>48.808363488849629</v>
      </c>
      <c r="S380" s="25">
        <v>0</v>
      </c>
    </row>
    <row r="381" spans="1:20" x14ac:dyDescent="0.25">
      <c r="A381" s="31" t="s">
        <v>18</v>
      </c>
      <c r="B381" s="26" t="s">
        <v>19</v>
      </c>
      <c r="C381" s="26">
        <v>3</v>
      </c>
      <c r="D381" s="26" t="s">
        <v>26</v>
      </c>
      <c r="E381" s="25" t="s">
        <v>33</v>
      </c>
      <c r="F381" s="25" t="str">
        <f t="shared" si="35"/>
        <v>M82_3_0,5</v>
      </c>
      <c r="G381" s="25">
        <v>4</v>
      </c>
      <c r="H381" s="25">
        <f>29680/58730</f>
        <v>0.50536352800953521</v>
      </c>
      <c r="I381" s="25">
        <f>58780/86090</f>
        <v>0.68277384132884189</v>
      </c>
      <c r="J381" s="25">
        <f>94160/56230</f>
        <v>1.6745509514494041</v>
      </c>
      <c r="K381" s="25">
        <f>148700/55550</f>
        <v>2.6768676867686767</v>
      </c>
      <c r="L381" s="25">
        <f t="shared" si="39"/>
        <v>0.17741031331930668</v>
      </c>
      <c r="M381" s="25">
        <f t="shared" si="40"/>
        <v>1.1691874234398689</v>
      </c>
      <c r="N381" s="25">
        <f t="shared" si="41"/>
        <v>2.1715041587591415</v>
      </c>
      <c r="O381" s="25">
        <v>1</v>
      </c>
      <c r="P381" s="25">
        <f>11943/57630</f>
        <v>0.20723581467985425</v>
      </c>
      <c r="Q381" s="25">
        <f>40410/53440</f>
        <v>0.75617514970059885</v>
      </c>
      <c r="R381" s="25">
        <v>28.24850676924564</v>
      </c>
      <c r="S381" s="25">
        <v>0</v>
      </c>
    </row>
    <row r="382" spans="1:20" x14ac:dyDescent="0.25">
      <c r="A382" s="31" t="s">
        <v>18</v>
      </c>
      <c r="B382" s="26" t="s">
        <v>19</v>
      </c>
      <c r="C382" s="26">
        <v>3</v>
      </c>
      <c r="D382" s="26" t="s">
        <v>26</v>
      </c>
      <c r="E382" s="25" t="s">
        <v>33</v>
      </c>
      <c r="F382" s="25" t="str">
        <f t="shared" si="35"/>
        <v>M82_3_0,5</v>
      </c>
      <c r="G382" s="25">
        <v>4</v>
      </c>
      <c r="H382" s="25">
        <f>32740/58730</f>
        <v>0.55746637153073386</v>
      </c>
      <c r="I382" s="25">
        <f>54260/86090</f>
        <v>0.63027064699732838</v>
      </c>
      <c r="J382" s="25">
        <f>92150/56230</f>
        <v>1.6388049084118799</v>
      </c>
      <c r="K382" s="25">
        <f>103700/55550</f>
        <v>1.8667866786678669</v>
      </c>
      <c r="L382" s="25">
        <f t="shared" si="39"/>
        <v>7.2804275466594515E-2</v>
      </c>
      <c r="M382" s="25">
        <f t="shared" si="40"/>
        <v>1.0813385368811459</v>
      </c>
      <c r="N382" s="25">
        <f t="shared" si="41"/>
        <v>1.3093203071371331</v>
      </c>
      <c r="O382" s="25">
        <v>1</v>
      </c>
      <c r="P382" s="25">
        <f>68230/57630</f>
        <v>1.1839319798715946</v>
      </c>
      <c r="Q382" s="25">
        <f>94900/53440</f>
        <v>1.7758233532934131</v>
      </c>
      <c r="R382" s="25">
        <v>95.127277989825558</v>
      </c>
      <c r="S382" s="25">
        <v>0</v>
      </c>
    </row>
    <row r="383" spans="1:20" x14ac:dyDescent="0.25">
      <c r="A383" s="31" t="s">
        <v>18</v>
      </c>
      <c r="B383" s="26" t="s">
        <v>19</v>
      </c>
      <c r="C383" s="26">
        <v>3</v>
      </c>
      <c r="D383" s="26" t="s">
        <v>26</v>
      </c>
      <c r="E383" s="25" t="s">
        <v>33</v>
      </c>
      <c r="F383" s="25" t="str">
        <f t="shared" si="35"/>
        <v>M82_3_0,5</v>
      </c>
      <c r="G383" s="25">
        <v>4</v>
      </c>
      <c r="H383" s="25">
        <f>34600/58730</f>
        <v>0.58913672739656053</v>
      </c>
      <c r="I383" s="25">
        <f>55250/86090</f>
        <v>0.6417702404460448</v>
      </c>
      <c r="J383" s="25">
        <f>88510/56230</f>
        <v>1.5740707807220344</v>
      </c>
      <c r="K383" s="25">
        <f>121000/55550</f>
        <v>2.1782178217821784</v>
      </c>
      <c r="L383" s="25">
        <f t="shared" si="39"/>
        <v>5.2633513049484271E-2</v>
      </c>
      <c r="M383" s="25">
        <f t="shared" si="40"/>
        <v>0.9849340533254739</v>
      </c>
      <c r="N383" s="25">
        <f t="shared" si="41"/>
        <v>1.5890810943856177</v>
      </c>
      <c r="O383" s="25">
        <v>1</v>
      </c>
      <c r="P383" s="25">
        <f>12972/57630</f>
        <v>0.22509109838625715</v>
      </c>
      <c r="Q383" s="25">
        <f>25840/53440</f>
        <v>0.48353293413173654</v>
      </c>
      <c r="R383" s="25">
        <v>22.198557430593358</v>
      </c>
      <c r="S383" s="25">
        <v>0</v>
      </c>
    </row>
    <row r="384" spans="1:20" x14ac:dyDescent="0.25">
      <c r="A384" s="31" t="s">
        <v>18</v>
      </c>
      <c r="B384" s="26" t="s">
        <v>19</v>
      </c>
      <c r="C384" s="26">
        <v>3</v>
      </c>
      <c r="D384" s="26" t="s">
        <v>26</v>
      </c>
      <c r="E384" s="25" t="s">
        <v>33</v>
      </c>
      <c r="F384" s="25" t="str">
        <f t="shared" si="35"/>
        <v>M82_3_0,5</v>
      </c>
      <c r="G384" s="25">
        <v>4</v>
      </c>
      <c r="H384" s="25">
        <f>34810/58730</f>
        <v>0.59271241273625064</v>
      </c>
      <c r="I384" s="25">
        <f>72120/86090</f>
        <v>0.8377279591125566</v>
      </c>
      <c r="J384" s="25">
        <f>100700/56230</f>
        <v>1.7908589720789614</v>
      </c>
      <c r="K384" s="25">
        <f>138400/55550</f>
        <v>2.4914491449144913</v>
      </c>
      <c r="L384" s="25">
        <f t="shared" si="39"/>
        <v>0.24501554637630596</v>
      </c>
      <c r="M384" s="25">
        <f t="shared" si="40"/>
        <v>1.1981465593427107</v>
      </c>
      <c r="N384" s="25">
        <f t="shared" si="41"/>
        <v>1.8987367321782407</v>
      </c>
      <c r="O384" s="25">
        <v>1</v>
      </c>
      <c r="P384" s="25">
        <f>10940/57630</f>
        <v>0.18983168488634392</v>
      </c>
      <c r="Q384" s="25">
        <f>16660/53440</f>
        <v>0.31175149700598803</v>
      </c>
      <c r="R384" s="25">
        <v>12.512858134886299</v>
      </c>
      <c r="S384" s="25">
        <v>0</v>
      </c>
    </row>
    <row r="385" spans="1:20" x14ac:dyDescent="0.25">
      <c r="A385" s="31" t="s">
        <v>22</v>
      </c>
      <c r="B385" s="26" t="s">
        <v>19</v>
      </c>
      <c r="C385" s="26">
        <v>3</v>
      </c>
      <c r="D385" s="26" t="s">
        <v>26</v>
      </c>
      <c r="E385" s="25" t="s">
        <v>33</v>
      </c>
      <c r="F385" s="25" t="str">
        <f t="shared" si="35"/>
        <v>M82_3_0,5</v>
      </c>
      <c r="O385" s="25">
        <v>1</v>
      </c>
      <c r="S385" s="25">
        <v>0</v>
      </c>
    </row>
    <row r="386" spans="1:20" x14ac:dyDescent="0.25">
      <c r="A386" s="31" t="s">
        <v>22</v>
      </c>
      <c r="B386" s="26" t="s">
        <v>19</v>
      </c>
      <c r="C386" s="26">
        <v>3</v>
      </c>
      <c r="D386" s="26" t="s">
        <v>26</v>
      </c>
      <c r="E386" s="25" t="s">
        <v>33</v>
      </c>
      <c r="F386" s="25" t="str">
        <f t="shared" ref="F386:F449" si="42">CONCATENATE(B386,"_",E386)</f>
        <v>M82_3_0,5</v>
      </c>
      <c r="O386" s="25">
        <v>1</v>
      </c>
      <c r="S386" s="25">
        <v>0</v>
      </c>
    </row>
    <row r="387" spans="1:20" x14ac:dyDescent="0.25">
      <c r="A387" s="31" t="s">
        <v>22</v>
      </c>
      <c r="B387" s="26" t="s">
        <v>19</v>
      </c>
      <c r="C387" s="26">
        <v>3</v>
      </c>
      <c r="D387" s="26" t="s">
        <v>26</v>
      </c>
      <c r="E387" s="25" t="s">
        <v>33</v>
      </c>
      <c r="F387" s="25" t="str">
        <f t="shared" si="42"/>
        <v>M82_3_0,5</v>
      </c>
      <c r="O387" s="25">
        <v>1</v>
      </c>
      <c r="S387" s="25">
        <v>0</v>
      </c>
    </row>
    <row r="388" spans="1:20" x14ac:dyDescent="0.25">
      <c r="A388" s="31" t="s">
        <v>22</v>
      </c>
      <c r="B388" s="26" t="s">
        <v>19</v>
      </c>
      <c r="C388" s="26">
        <v>3</v>
      </c>
      <c r="D388" s="26" t="s">
        <v>26</v>
      </c>
      <c r="E388" s="25" t="s">
        <v>33</v>
      </c>
      <c r="F388" s="25" t="str">
        <f t="shared" si="42"/>
        <v>M82_3_0,5</v>
      </c>
      <c r="O388" s="25">
        <v>1</v>
      </c>
      <c r="S388" s="25">
        <v>0</v>
      </c>
    </row>
    <row r="389" spans="1:20" x14ac:dyDescent="0.25">
      <c r="A389" s="31" t="s">
        <v>22</v>
      </c>
      <c r="B389" s="26" t="s">
        <v>19</v>
      </c>
      <c r="C389" s="26">
        <v>3</v>
      </c>
      <c r="D389" s="26" t="s">
        <v>26</v>
      </c>
      <c r="E389" s="25" t="s">
        <v>33</v>
      </c>
      <c r="F389" s="25" t="str">
        <f t="shared" si="42"/>
        <v>M82_3_0,5</v>
      </c>
      <c r="O389" s="25">
        <v>1</v>
      </c>
      <c r="S389" s="25">
        <v>0</v>
      </c>
    </row>
    <row r="390" spans="1:20" x14ac:dyDescent="0.25">
      <c r="A390" s="31" t="s">
        <v>18</v>
      </c>
      <c r="B390" s="26" t="s">
        <v>19</v>
      </c>
      <c r="C390" s="26">
        <v>3</v>
      </c>
      <c r="D390" s="26" t="s">
        <v>26</v>
      </c>
      <c r="E390" s="25" t="s">
        <v>33</v>
      </c>
      <c r="F390" s="25" t="str">
        <f t="shared" si="42"/>
        <v>M82_3_0,5</v>
      </c>
      <c r="G390" s="25">
        <v>4</v>
      </c>
      <c r="H390" s="25">
        <f>34640/58730</f>
        <v>0.5898178103184063</v>
      </c>
      <c r="I390" s="25">
        <f>61460/86090</f>
        <v>0.71390405389708445</v>
      </c>
      <c r="J390" s="25">
        <f>91000/56230</f>
        <v>1.6183531922461321</v>
      </c>
      <c r="K390" s="25">
        <f>99600/55550</f>
        <v>1.7929792979297929</v>
      </c>
      <c r="L390" s="25">
        <f>I390-H390</f>
        <v>0.12408624357867815</v>
      </c>
      <c r="M390" s="25">
        <f>J390-H390</f>
        <v>1.0285353819277256</v>
      </c>
      <c r="N390" s="25">
        <f>K390-H390</f>
        <v>1.2031614876113865</v>
      </c>
      <c r="O390" s="25">
        <v>0</v>
      </c>
    </row>
    <row r="391" spans="1:20" s="27" customFormat="1" ht="15.75" thickBot="1" x14ac:dyDescent="0.3">
      <c r="A391" s="30" t="s">
        <v>18</v>
      </c>
      <c r="B391" s="29" t="s">
        <v>19</v>
      </c>
      <c r="C391" s="29">
        <v>3</v>
      </c>
      <c r="D391" s="29" t="s">
        <v>26</v>
      </c>
      <c r="E391" s="28" t="s">
        <v>33</v>
      </c>
      <c r="F391" s="28" t="str">
        <f t="shared" si="42"/>
        <v>M82_3_0,5</v>
      </c>
      <c r="G391" s="28">
        <v>6</v>
      </c>
      <c r="H391" s="28">
        <f>53560/58730</f>
        <v>0.91197003235143881</v>
      </c>
      <c r="I391" s="28">
        <f>67800/86090</f>
        <v>0.78754791497270293</v>
      </c>
      <c r="J391" s="28"/>
      <c r="K391" s="28"/>
      <c r="L391" s="28"/>
      <c r="M391" s="28"/>
      <c r="N391" s="28"/>
      <c r="O391" s="28">
        <v>0</v>
      </c>
      <c r="P391" s="28"/>
      <c r="Q391" s="28"/>
      <c r="R391" s="28"/>
      <c r="S391" s="28"/>
      <c r="T391" s="28"/>
    </row>
    <row r="392" spans="1:20" s="32" customFormat="1" x14ac:dyDescent="0.25">
      <c r="A392" s="35" t="s">
        <v>34</v>
      </c>
      <c r="B392" s="34" t="s">
        <v>35</v>
      </c>
      <c r="C392" s="34">
        <v>1</v>
      </c>
      <c r="D392" s="34" t="s">
        <v>20</v>
      </c>
      <c r="E392" s="33" t="s">
        <v>21</v>
      </c>
      <c r="F392" s="33" t="str">
        <f t="shared" si="42"/>
        <v>MT_1_0</v>
      </c>
      <c r="G392" s="33">
        <v>4</v>
      </c>
      <c r="H392" s="33">
        <f>29460/58730</f>
        <v>0.50161757193938361</v>
      </c>
      <c r="I392" s="33">
        <f>78640/86090</f>
        <v>0.91346265536066906</v>
      </c>
      <c r="J392" s="33">
        <f>51730/53440</f>
        <v>0.96800149700598803</v>
      </c>
      <c r="K392" s="33">
        <f>81110/57630</f>
        <v>1.407426687489155</v>
      </c>
      <c r="L392" s="33">
        <f t="shared" ref="L392:L423" si="43">I392-H392</f>
        <v>0.41184508342128545</v>
      </c>
      <c r="M392" s="33">
        <f t="shared" ref="M392:M403" si="44">J392-H392</f>
        <v>0.46638392506660442</v>
      </c>
      <c r="N392" s="33">
        <f t="shared" ref="N392:N403" si="45">K392-H392</f>
        <v>0.90580911554977139</v>
      </c>
      <c r="O392" s="33">
        <v>1</v>
      </c>
      <c r="P392" s="33"/>
      <c r="Q392" s="33"/>
      <c r="R392" s="33"/>
      <c r="S392" s="33">
        <v>1</v>
      </c>
      <c r="T392" s="33">
        <v>2</v>
      </c>
    </row>
    <row r="393" spans="1:20" x14ac:dyDescent="0.25">
      <c r="A393" s="31" t="s">
        <v>34</v>
      </c>
      <c r="B393" s="26" t="s">
        <v>35</v>
      </c>
      <c r="C393" s="26">
        <v>1</v>
      </c>
      <c r="D393" s="26" t="s">
        <v>20</v>
      </c>
      <c r="E393" s="25" t="s">
        <v>21</v>
      </c>
      <c r="F393" s="25" t="str">
        <f t="shared" si="42"/>
        <v>MT_1_0</v>
      </c>
      <c r="G393" s="25">
        <v>2</v>
      </c>
      <c r="H393" s="25">
        <f>19640/86090</f>
        <v>0.22813334882100128</v>
      </c>
      <c r="I393" s="25">
        <f>39130/58730</f>
        <v>0.66626936829559003</v>
      </c>
      <c r="J393" s="25">
        <f>45940/53440</f>
        <v>0.85965568862275454</v>
      </c>
      <c r="K393" s="25">
        <f>57160/57630</f>
        <v>0.99184452542078783</v>
      </c>
      <c r="L393" s="25">
        <f t="shared" si="43"/>
        <v>0.43813601947458874</v>
      </c>
      <c r="M393" s="25">
        <f t="shared" si="44"/>
        <v>0.63152233980175332</v>
      </c>
      <c r="N393" s="25">
        <f t="shared" si="45"/>
        <v>0.7637111765997866</v>
      </c>
      <c r="O393" s="25">
        <v>1</v>
      </c>
      <c r="P393" s="25">
        <f>25505/53440</f>
        <v>0.47726422155688625</v>
      </c>
      <c r="Q393" s="25">
        <f>47260/53440</f>
        <v>0.88435628742514971</v>
      </c>
      <c r="R393" s="25">
        <v>89.162793639453071</v>
      </c>
      <c r="S393" s="25">
        <v>0</v>
      </c>
    </row>
    <row r="394" spans="1:20" x14ac:dyDescent="0.25">
      <c r="A394" s="31" t="s">
        <v>34</v>
      </c>
      <c r="B394" s="26" t="s">
        <v>35</v>
      </c>
      <c r="C394" s="26">
        <v>1</v>
      </c>
      <c r="D394" s="26" t="s">
        <v>20</v>
      </c>
      <c r="E394" s="25" t="s">
        <v>21</v>
      </c>
      <c r="F394" s="25" t="str">
        <f t="shared" si="42"/>
        <v>MT_1_0</v>
      </c>
      <c r="G394" s="25">
        <v>5</v>
      </c>
      <c r="H394" s="25">
        <f>56580/86090</f>
        <v>0.65721918922058309</v>
      </c>
      <c r="I394" s="25">
        <f>42990/58730</f>
        <v>0.73199387025370344</v>
      </c>
      <c r="J394" s="25">
        <f>59600/57630</f>
        <v>1.0341835849384002</v>
      </c>
      <c r="K394" s="25">
        <f>60560/53440</f>
        <v>1.1332335329341316</v>
      </c>
      <c r="L394" s="25">
        <f t="shared" si="43"/>
        <v>7.4774681033120349E-2</v>
      </c>
      <c r="M394" s="25">
        <f t="shared" si="44"/>
        <v>0.37696439571781715</v>
      </c>
      <c r="N394" s="25">
        <f t="shared" si="45"/>
        <v>0.47601434371354856</v>
      </c>
      <c r="O394" s="25">
        <v>1</v>
      </c>
      <c r="P394" s="25">
        <f>20500/53440</f>
        <v>0.38360778443113774</v>
      </c>
      <c r="Q394" s="25">
        <f>39780/53440</f>
        <v>0.74438622754491013</v>
      </c>
      <c r="R394" s="25">
        <v>65.686922060766179</v>
      </c>
      <c r="S394" s="25">
        <v>0</v>
      </c>
    </row>
    <row r="395" spans="1:20" x14ac:dyDescent="0.25">
      <c r="A395" s="31" t="s">
        <v>34</v>
      </c>
      <c r="B395" s="26" t="s">
        <v>35</v>
      </c>
      <c r="C395" s="26">
        <v>1</v>
      </c>
      <c r="D395" s="26" t="s">
        <v>20</v>
      </c>
      <c r="E395" s="25" t="s">
        <v>21</v>
      </c>
      <c r="F395" s="25" t="str">
        <f t="shared" si="42"/>
        <v>MT_1_0</v>
      </c>
      <c r="G395" s="25">
        <v>3</v>
      </c>
      <c r="H395" s="25">
        <f>21370/58730</f>
        <v>0.36386855099608378</v>
      </c>
      <c r="I395" s="25">
        <f>63590/86090</f>
        <v>0.73864560343826224</v>
      </c>
      <c r="J395" s="25">
        <f>43500/57630</f>
        <v>0.75481520041644978</v>
      </c>
      <c r="K395" s="25">
        <f>41500/53440</f>
        <v>0.7765718562874252</v>
      </c>
      <c r="L395" s="25">
        <f t="shared" si="43"/>
        <v>0.37477705244217846</v>
      </c>
      <c r="M395" s="25">
        <f t="shared" si="44"/>
        <v>0.390946649420366</v>
      </c>
      <c r="N395" s="25">
        <f t="shared" si="45"/>
        <v>0.41270330529134142</v>
      </c>
      <c r="O395" s="25">
        <v>0</v>
      </c>
    </row>
    <row r="396" spans="1:20" x14ac:dyDescent="0.25">
      <c r="A396" s="31" t="s">
        <v>34</v>
      </c>
      <c r="B396" s="26" t="s">
        <v>35</v>
      </c>
      <c r="C396" s="26">
        <v>1</v>
      </c>
      <c r="D396" s="26" t="s">
        <v>20</v>
      </c>
      <c r="E396" s="25" t="s">
        <v>21</v>
      </c>
      <c r="F396" s="25" t="str">
        <f t="shared" si="42"/>
        <v>MT_1_0</v>
      </c>
      <c r="G396" s="25">
        <v>3</v>
      </c>
      <c r="H396" s="25">
        <f>21370/58730</f>
        <v>0.36386855099608378</v>
      </c>
      <c r="I396" s="25">
        <f>42510/86090</f>
        <v>0.49378557323730982</v>
      </c>
      <c r="J396" s="25">
        <f>105100/53440</f>
        <v>1.966691616766467</v>
      </c>
      <c r="K396" s="25">
        <f>116000/57630</f>
        <v>2.0128405344438662</v>
      </c>
      <c r="L396" s="25">
        <f t="shared" si="43"/>
        <v>0.12991702224122603</v>
      </c>
      <c r="M396" s="25">
        <f t="shared" si="44"/>
        <v>1.6028230657703832</v>
      </c>
      <c r="N396" s="25">
        <f t="shared" si="45"/>
        <v>1.6489719834477825</v>
      </c>
      <c r="O396" s="25">
        <v>0</v>
      </c>
    </row>
    <row r="397" spans="1:20" x14ac:dyDescent="0.25">
      <c r="A397" s="31" t="s">
        <v>34</v>
      </c>
      <c r="B397" s="26" t="s">
        <v>35</v>
      </c>
      <c r="C397" s="26">
        <v>1</v>
      </c>
      <c r="D397" s="26" t="s">
        <v>20</v>
      </c>
      <c r="E397" s="25" t="s">
        <v>21</v>
      </c>
      <c r="F397" s="25" t="str">
        <f t="shared" si="42"/>
        <v>MT_1_0</v>
      </c>
      <c r="G397" s="25">
        <v>3</v>
      </c>
      <c r="H397" s="25">
        <f>31500/86090</f>
        <v>0.36589615518643281</v>
      </c>
      <c r="I397" s="25">
        <f>30740/58730</f>
        <v>0.52341222543844712</v>
      </c>
      <c r="J397" s="25">
        <f>40130/53440</f>
        <v>0.75093562874251496</v>
      </c>
      <c r="K397" s="25">
        <f>69680/57630</f>
        <v>1.2090924865521431</v>
      </c>
      <c r="L397" s="25">
        <f t="shared" si="43"/>
        <v>0.15751607025201431</v>
      </c>
      <c r="M397" s="25">
        <f t="shared" si="44"/>
        <v>0.38503947355608215</v>
      </c>
      <c r="N397" s="25">
        <f t="shared" si="45"/>
        <v>0.84319633136571026</v>
      </c>
      <c r="O397" s="25">
        <v>0</v>
      </c>
    </row>
    <row r="398" spans="1:20" x14ac:dyDescent="0.25">
      <c r="A398" s="31" t="s">
        <v>34</v>
      </c>
      <c r="B398" s="26" t="s">
        <v>35</v>
      </c>
      <c r="C398" s="26">
        <v>1</v>
      </c>
      <c r="D398" s="26" t="s">
        <v>20</v>
      </c>
      <c r="E398" s="25" t="s">
        <v>21</v>
      </c>
      <c r="F398" s="25" t="str">
        <f t="shared" si="42"/>
        <v>MT_1_0</v>
      </c>
      <c r="G398" s="25">
        <v>3</v>
      </c>
      <c r="H398" s="25">
        <f>31500/86090</f>
        <v>0.36589615518643281</v>
      </c>
      <c r="I398" s="25">
        <f>46020/53440</f>
        <v>0.86115269461077848</v>
      </c>
      <c r="J398" s="25">
        <f>80250/86090</f>
        <v>0.93216401440353114</v>
      </c>
      <c r="K398" s="25">
        <f>93470/57630</f>
        <v>1.6218983168488634</v>
      </c>
      <c r="L398" s="25">
        <f t="shared" si="43"/>
        <v>0.49525653942434567</v>
      </c>
      <c r="M398" s="25">
        <f t="shared" si="44"/>
        <v>0.56626785921709832</v>
      </c>
      <c r="N398" s="25">
        <f t="shared" si="45"/>
        <v>1.2560021616624306</v>
      </c>
      <c r="O398" s="25">
        <v>0</v>
      </c>
    </row>
    <row r="399" spans="1:20" x14ac:dyDescent="0.25">
      <c r="A399" s="31" t="s">
        <v>34</v>
      </c>
      <c r="B399" s="26" t="s">
        <v>35</v>
      </c>
      <c r="C399" s="26">
        <v>1</v>
      </c>
      <c r="D399" s="26" t="s">
        <v>20</v>
      </c>
      <c r="E399" s="25" t="s">
        <v>21</v>
      </c>
      <c r="F399" s="25" t="str">
        <f t="shared" si="42"/>
        <v>MT_1_0</v>
      </c>
      <c r="G399" s="25">
        <v>3</v>
      </c>
      <c r="H399" s="25">
        <f>22180/58730</f>
        <v>0.37766048016345988</v>
      </c>
      <c r="I399" s="25">
        <f>56240/86090</f>
        <v>0.65326983389476134</v>
      </c>
      <c r="J399" s="25">
        <f>85360/57630</f>
        <v>1.4811730001735208</v>
      </c>
      <c r="K399" s="25">
        <f>63500/53440</f>
        <v>1.188248502994012</v>
      </c>
      <c r="L399" s="25">
        <f t="shared" si="43"/>
        <v>0.27560935373130147</v>
      </c>
      <c r="M399" s="25">
        <f t="shared" si="44"/>
        <v>1.1035125200100611</v>
      </c>
      <c r="N399" s="25">
        <f t="shared" si="45"/>
        <v>0.81058802283055209</v>
      </c>
      <c r="O399" s="25">
        <v>0</v>
      </c>
    </row>
    <row r="400" spans="1:20" x14ac:dyDescent="0.25">
      <c r="A400" s="31" t="s">
        <v>34</v>
      </c>
      <c r="B400" s="26" t="s">
        <v>35</v>
      </c>
      <c r="C400" s="26">
        <v>1</v>
      </c>
      <c r="D400" s="26" t="s">
        <v>20</v>
      </c>
      <c r="E400" s="25" t="s">
        <v>21</v>
      </c>
      <c r="F400" s="25" t="str">
        <f t="shared" si="42"/>
        <v>MT_1_0</v>
      </c>
      <c r="G400" s="25">
        <v>3</v>
      </c>
      <c r="H400" s="25">
        <f>23180/58730</f>
        <v>0.39468755320960325</v>
      </c>
      <c r="I400" s="25">
        <f>54880/86090</f>
        <v>0.63747241259147402</v>
      </c>
      <c r="J400" s="25">
        <f>55620/53440</f>
        <v>1.0407934131736527</v>
      </c>
      <c r="K400" s="25">
        <f>72000/57630</f>
        <v>1.2493492972410203</v>
      </c>
      <c r="L400" s="25">
        <f t="shared" si="43"/>
        <v>0.24278485938187078</v>
      </c>
      <c r="M400" s="25">
        <f t="shared" si="44"/>
        <v>0.64610585996404946</v>
      </c>
      <c r="N400" s="25">
        <f t="shared" si="45"/>
        <v>0.85466174403141704</v>
      </c>
      <c r="O400" s="25">
        <v>0</v>
      </c>
    </row>
    <row r="401" spans="1:20" x14ac:dyDescent="0.25">
      <c r="A401" s="31" t="s">
        <v>34</v>
      </c>
      <c r="B401" s="26" t="s">
        <v>35</v>
      </c>
      <c r="C401" s="26">
        <v>1</v>
      </c>
      <c r="D401" s="26" t="s">
        <v>20</v>
      </c>
      <c r="E401" s="25" t="s">
        <v>21</v>
      </c>
      <c r="F401" s="25" t="str">
        <f t="shared" si="42"/>
        <v>MT_1_0</v>
      </c>
      <c r="G401" s="25">
        <v>3</v>
      </c>
      <c r="H401" s="25">
        <f>24960/58730</f>
        <v>0.42499574323173844</v>
      </c>
      <c r="I401" s="25">
        <f>38750/86090</f>
        <v>0.45011034963410385</v>
      </c>
      <c r="J401" s="25">
        <f>71000/57630</f>
        <v>1.2319972236682284</v>
      </c>
      <c r="K401" s="25">
        <f>76380/53440</f>
        <v>1.4292664670658684</v>
      </c>
      <c r="L401" s="25">
        <f t="shared" si="43"/>
        <v>2.5114606402365403E-2</v>
      </c>
      <c r="M401" s="25">
        <f t="shared" si="44"/>
        <v>0.80700148043649</v>
      </c>
      <c r="N401" s="25">
        <f t="shared" si="45"/>
        <v>1.00427072383413</v>
      </c>
      <c r="O401" s="25">
        <v>0</v>
      </c>
    </row>
    <row r="402" spans="1:20" x14ac:dyDescent="0.25">
      <c r="A402" s="31" t="s">
        <v>34</v>
      </c>
      <c r="B402" s="26" t="s">
        <v>35</v>
      </c>
      <c r="C402" s="26">
        <v>1</v>
      </c>
      <c r="D402" s="26" t="s">
        <v>20</v>
      </c>
      <c r="E402" s="25" t="s">
        <v>21</v>
      </c>
      <c r="F402" s="25" t="str">
        <f t="shared" si="42"/>
        <v>MT_1_0</v>
      </c>
      <c r="G402" s="25">
        <v>4</v>
      </c>
      <c r="H402" s="25">
        <f>26850/57630</f>
        <v>0.4659031754294638</v>
      </c>
      <c r="I402" s="25">
        <f>33360/53440</f>
        <v>0.62425149700598803</v>
      </c>
      <c r="J402" s="25">
        <f>69810/86090</f>
        <v>0.81089557439888493</v>
      </c>
      <c r="K402" s="25">
        <f>53030/58730</f>
        <v>0.9029456836369828</v>
      </c>
      <c r="L402" s="25">
        <f t="shared" si="43"/>
        <v>0.15834832157652423</v>
      </c>
      <c r="M402" s="25">
        <f t="shared" si="44"/>
        <v>0.34499239896942113</v>
      </c>
      <c r="N402" s="25">
        <f t="shared" si="45"/>
        <v>0.437042508207519</v>
      </c>
      <c r="O402" s="25">
        <v>0</v>
      </c>
    </row>
    <row r="403" spans="1:20" x14ac:dyDescent="0.25">
      <c r="A403" s="31" t="s">
        <v>34</v>
      </c>
      <c r="B403" s="26" t="s">
        <v>35</v>
      </c>
      <c r="C403" s="26">
        <v>1</v>
      </c>
      <c r="D403" s="26" t="s">
        <v>20</v>
      </c>
      <c r="E403" s="25" t="s">
        <v>21</v>
      </c>
      <c r="F403" s="25" t="str">
        <f t="shared" si="42"/>
        <v>MT_1_0</v>
      </c>
      <c r="G403" s="25">
        <v>4</v>
      </c>
      <c r="H403" s="25">
        <f>42390/86090</f>
        <v>0.49239168312231385</v>
      </c>
      <c r="I403" s="25">
        <f>38120/58730</f>
        <v>0.64907202451898516</v>
      </c>
      <c r="J403" s="25">
        <f>35280/53440</f>
        <v>0.66017964071856283</v>
      </c>
      <c r="K403" s="25">
        <f>39530/57630</f>
        <v>0.68592746833246576</v>
      </c>
      <c r="L403" s="25">
        <f t="shared" si="43"/>
        <v>0.15668034139667131</v>
      </c>
      <c r="M403" s="25">
        <f t="shared" si="44"/>
        <v>0.16778795759624898</v>
      </c>
      <c r="N403" s="25">
        <f t="shared" si="45"/>
        <v>0.19353578521015191</v>
      </c>
      <c r="O403" s="25">
        <v>0</v>
      </c>
    </row>
    <row r="404" spans="1:20" x14ac:dyDescent="0.25">
      <c r="A404" s="31" t="s">
        <v>34</v>
      </c>
      <c r="B404" s="26" t="s">
        <v>35</v>
      </c>
      <c r="C404" s="26">
        <v>1</v>
      </c>
      <c r="D404" s="26" t="s">
        <v>20</v>
      </c>
      <c r="E404" s="25" t="s">
        <v>21</v>
      </c>
      <c r="F404" s="25" t="str">
        <f t="shared" si="42"/>
        <v>MT_1_0</v>
      </c>
      <c r="G404" s="25">
        <v>4</v>
      </c>
      <c r="H404" s="25">
        <f>30810/58730</f>
        <v>0.52460412055167716</v>
      </c>
      <c r="I404" s="25">
        <f>49410/86090</f>
        <v>0.57393425484957605</v>
      </c>
      <c r="L404" s="25">
        <f t="shared" si="43"/>
        <v>4.9330134297898898E-2</v>
      </c>
      <c r="O404" s="25">
        <v>0</v>
      </c>
    </row>
    <row r="405" spans="1:20" x14ac:dyDescent="0.25">
      <c r="A405" s="31" t="s">
        <v>34</v>
      </c>
      <c r="B405" s="26" t="s">
        <v>35</v>
      </c>
      <c r="C405" s="26">
        <v>1</v>
      </c>
      <c r="D405" s="26" t="s">
        <v>20</v>
      </c>
      <c r="E405" s="25" t="s">
        <v>21</v>
      </c>
      <c r="F405" s="25" t="str">
        <f t="shared" si="42"/>
        <v>MT_1_0</v>
      </c>
      <c r="G405" s="25">
        <v>4</v>
      </c>
      <c r="H405" s="25">
        <f>30810/58730</f>
        <v>0.52460412055167716</v>
      </c>
      <c r="I405" s="25">
        <f>90410/86090</f>
        <v>1.0501800441398537</v>
      </c>
      <c r="J405" s="25">
        <f>65420/57630</f>
        <v>1.1351726531320492</v>
      </c>
      <c r="K405" s="25">
        <f>62460/53440</f>
        <v>1.1687874251497006</v>
      </c>
      <c r="L405" s="25">
        <f t="shared" si="43"/>
        <v>0.52557592358817651</v>
      </c>
      <c r="M405" s="25">
        <f t="shared" ref="M405:M436" si="46">J405-H405</f>
        <v>0.61056853258037203</v>
      </c>
      <c r="N405" s="25">
        <f t="shared" ref="N405:N410" si="47">K405-H405</f>
        <v>0.64418330459802342</v>
      </c>
      <c r="O405" s="25">
        <v>0</v>
      </c>
    </row>
    <row r="406" spans="1:20" s="27" customFormat="1" ht="15.75" thickBot="1" x14ac:dyDescent="0.3">
      <c r="A406" s="30" t="s">
        <v>34</v>
      </c>
      <c r="B406" s="29" t="s">
        <v>35</v>
      </c>
      <c r="C406" s="29">
        <v>1</v>
      </c>
      <c r="D406" s="29" t="s">
        <v>20</v>
      </c>
      <c r="E406" s="28" t="s">
        <v>21</v>
      </c>
      <c r="F406" s="28" t="str">
        <f t="shared" si="42"/>
        <v>MT_1_0</v>
      </c>
      <c r="G406" s="28">
        <v>4</v>
      </c>
      <c r="H406" s="28">
        <f>34960/58730</f>
        <v>0.59526647369317209</v>
      </c>
      <c r="I406" s="28">
        <f>77420/53440</f>
        <v>1.4487275449101797</v>
      </c>
      <c r="J406" s="28">
        <f>95270/57630</f>
        <v>1.6531320492798889</v>
      </c>
      <c r="K406" s="28">
        <f>150700/86090</f>
        <v>1.7504936694157278</v>
      </c>
      <c r="L406" s="28">
        <f t="shared" si="43"/>
        <v>0.85346107121700765</v>
      </c>
      <c r="M406" s="28">
        <f t="shared" si="46"/>
        <v>1.0578655755867168</v>
      </c>
      <c r="N406" s="28">
        <f t="shared" si="47"/>
        <v>1.1552271957225557</v>
      </c>
      <c r="O406" s="28">
        <v>0</v>
      </c>
      <c r="P406" s="28"/>
      <c r="Q406" s="28"/>
      <c r="R406" s="28"/>
      <c r="S406" s="28"/>
      <c r="T406" s="28"/>
    </row>
    <row r="407" spans="1:20" s="32" customFormat="1" x14ac:dyDescent="0.25">
      <c r="A407" s="35" t="s">
        <v>34</v>
      </c>
      <c r="B407" s="34" t="s">
        <v>35</v>
      </c>
      <c r="C407" s="34">
        <v>1</v>
      </c>
      <c r="D407" s="34" t="s">
        <v>23</v>
      </c>
      <c r="E407" s="33" t="s">
        <v>24</v>
      </c>
      <c r="F407" s="33" t="str">
        <f t="shared" si="42"/>
        <v>MT_1_0,1</v>
      </c>
      <c r="G407" s="33">
        <v>4</v>
      </c>
      <c r="H407" s="33">
        <f>32030/58730</f>
        <v>0.54537714966797213</v>
      </c>
      <c r="I407" s="33">
        <f>109000/86090</f>
        <v>1.2661168544546404</v>
      </c>
      <c r="J407" s="33">
        <f>104700/57630</f>
        <v>1.816762103071317</v>
      </c>
      <c r="K407" s="33">
        <f>144100/53440</f>
        <v>2.6964820359281436</v>
      </c>
      <c r="L407" s="33">
        <f t="shared" si="43"/>
        <v>0.72073970478666827</v>
      </c>
      <c r="M407" s="33">
        <f t="shared" si="46"/>
        <v>1.271384953403345</v>
      </c>
      <c r="N407" s="33">
        <f t="shared" si="47"/>
        <v>2.1511048862601716</v>
      </c>
      <c r="O407" s="33">
        <v>1</v>
      </c>
      <c r="P407" s="33">
        <f>32040/57630</f>
        <v>0.55596043727225408</v>
      </c>
      <c r="Q407" s="33">
        <f>54800/53440</f>
        <v>1.0254491017964071</v>
      </c>
      <c r="R407" s="33">
        <v>38.029146426092993</v>
      </c>
      <c r="S407" s="33">
        <v>1</v>
      </c>
      <c r="T407" s="33">
        <v>6</v>
      </c>
    </row>
    <row r="408" spans="1:20" x14ac:dyDescent="0.25">
      <c r="A408" s="31" t="s">
        <v>36</v>
      </c>
      <c r="B408" s="26" t="s">
        <v>35</v>
      </c>
      <c r="C408" s="26">
        <v>1</v>
      </c>
      <c r="D408" s="26" t="s">
        <v>23</v>
      </c>
      <c r="E408" s="25" t="s">
        <v>24</v>
      </c>
      <c r="F408" s="25" t="str">
        <f t="shared" si="42"/>
        <v>MT_1_0,1</v>
      </c>
      <c r="G408" s="25">
        <v>1</v>
      </c>
      <c r="H408" s="25">
        <f>8006/68400</f>
        <v>0.117046783625731</v>
      </c>
      <c r="I408" s="25">
        <f>509.1/980</f>
        <v>0.51948979591836741</v>
      </c>
      <c r="J408" s="25">
        <f>44670/54000</f>
        <v>0.82722222222222219</v>
      </c>
      <c r="K408" s="25">
        <f>152300/56300</f>
        <v>2.705150976909414</v>
      </c>
      <c r="L408" s="25">
        <f t="shared" si="43"/>
        <v>0.4024430122926364</v>
      </c>
      <c r="M408" s="25">
        <f t="shared" si="46"/>
        <v>0.71017543859649124</v>
      </c>
      <c r="N408" s="25">
        <f t="shared" si="47"/>
        <v>2.5881041932836828</v>
      </c>
      <c r="O408" s="25">
        <v>1</v>
      </c>
      <c r="P408" s="25">
        <f>43580/54000</f>
        <v>0.807037037037037</v>
      </c>
      <c r="Q408" s="25">
        <f>128500/56300</f>
        <v>2.2824156305506218</v>
      </c>
      <c r="R408" s="25">
        <v>84.372948128693366</v>
      </c>
      <c r="S408" s="25">
        <v>1</v>
      </c>
      <c r="T408" s="25">
        <v>5</v>
      </c>
    </row>
    <row r="409" spans="1:20" x14ac:dyDescent="0.25">
      <c r="A409" s="31" t="s">
        <v>34</v>
      </c>
      <c r="B409" s="26" t="s">
        <v>35</v>
      </c>
      <c r="C409" s="26">
        <v>1</v>
      </c>
      <c r="D409" s="26" t="s">
        <v>23</v>
      </c>
      <c r="E409" s="25" t="s">
        <v>24</v>
      </c>
      <c r="F409" s="25" t="str">
        <f t="shared" si="42"/>
        <v>MT_1_0,1</v>
      </c>
      <c r="G409" s="25">
        <v>5</v>
      </c>
      <c r="H409" s="25">
        <f>40740/58730</f>
        <v>0.69368295589988083</v>
      </c>
      <c r="I409" s="25">
        <f>63250/86090</f>
        <v>0.7346962481124405</v>
      </c>
      <c r="J409" s="25">
        <f>83500/57630</f>
        <v>1.4488981433281276</v>
      </c>
      <c r="K409" s="25">
        <f>161900/53440</f>
        <v>3.029565868263473</v>
      </c>
      <c r="L409" s="25">
        <f t="shared" si="43"/>
        <v>4.1013292212559671E-2</v>
      </c>
      <c r="M409" s="25">
        <f t="shared" si="46"/>
        <v>0.75521518742824678</v>
      </c>
      <c r="N409" s="25">
        <f t="shared" si="47"/>
        <v>2.335882912363592</v>
      </c>
      <c r="O409" s="25">
        <v>1</v>
      </c>
      <c r="P409" s="25">
        <f>59230/57630</f>
        <v>1.0277633177164671</v>
      </c>
      <c r="Q409" s="25">
        <f>96820/53440</f>
        <v>1.811751497005988</v>
      </c>
      <c r="R409" s="25">
        <v>59.802347127856706</v>
      </c>
      <c r="S409" s="25">
        <v>1</v>
      </c>
      <c r="T409" s="25">
        <v>5</v>
      </c>
    </row>
    <row r="410" spans="1:20" x14ac:dyDescent="0.25">
      <c r="A410" s="31" t="s">
        <v>34</v>
      </c>
      <c r="B410" s="26" t="s">
        <v>35</v>
      </c>
      <c r="C410" s="26">
        <v>1</v>
      </c>
      <c r="D410" s="26" t="s">
        <v>23</v>
      </c>
      <c r="E410" s="25" t="s">
        <v>24</v>
      </c>
      <c r="F410" s="25" t="str">
        <f t="shared" si="42"/>
        <v>MT_1_0,1</v>
      </c>
      <c r="G410" s="25">
        <v>6</v>
      </c>
      <c r="H410" s="25">
        <f>47010/58730</f>
        <v>0.80044270389919969</v>
      </c>
      <c r="I410" s="25">
        <f>76110/86090</f>
        <v>0.88407480543617145</v>
      </c>
      <c r="J410" s="25">
        <f>75260/57630</f>
        <v>1.3059170570883221</v>
      </c>
      <c r="K410" s="25">
        <f>140800/53440</f>
        <v>2.6347305389221556</v>
      </c>
      <c r="L410" s="25">
        <f t="shared" si="43"/>
        <v>8.3632101536971759E-2</v>
      </c>
      <c r="M410" s="25">
        <f t="shared" si="46"/>
        <v>0.50547435318912237</v>
      </c>
      <c r="N410" s="25">
        <f t="shared" si="47"/>
        <v>1.8342878350229559</v>
      </c>
      <c r="O410" s="25">
        <v>1</v>
      </c>
      <c r="P410" s="25">
        <f>42480/56230</f>
        <v>0.75546861106171082</v>
      </c>
      <c r="Q410" s="25">
        <f>68590/53440</f>
        <v>1.2834955089820359</v>
      </c>
      <c r="R410" s="25">
        <v>48.71448863636364</v>
      </c>
      <c r="S410" s="25">
        <v>1</v>
      </c>
      <c r="T410" s="25">
        <v>5</v>
      </c>
    </row>
    <row r="411" spans="1:20" x14ac:dyDescent="0.25">
      <c r="A411" s="31" t="s">
        <v>36</v>
      </c>
      <c r="B411" s="26" t="s">
        <v>35</v>
      </c>
      <c r="C411" s="26">
        <v>1</v>
      </c>
      <c r="D411" s="26" t="s">
        <v>23</v>
      </c>
      <c r="E411" s="25" t="s">
        <v>24</v>
      </c>
      <c r="F411" s="25" t="str">
        <f t="shared" si="42"/>
        <v>MT_1_0,1</v>
      </c>
      <c r="G411" s="25">
        <v>2</v>
      </c>
      <c r="H411" s="25">
        <f>16900/68400</f>
        <v>0.24707602339181287</v>
      </c>
      <c r="I411" s="25">
        <f>447.3/980</f>
        <v>0.45642857142857146</v>
      </c>
      <c r="J411" s="25">
        <f>166700/54000</f>
        <v>3.087037037037037</v>
      </c>
      <c r="L411" s="25">
        <f t="shared" si="43"/>
        <v>0.2093525480367586</v>
      </c>
      <c r="M411" s="25">
        <f t="shared" si="46"/>
        <v>2.8399610136452242</v>
      </c>
      <c r="O411" s="25">
        <v>1</v>
      </c>
      <c r="P411" s="25">
        <f>45780/54000</f>
        <v>0.84777777777777774</v>
      </c>
      <c r="S411" s="25">
        <v>1</v>
      </c>
      <c r="T411" s="25">
        <v>3</v>
      </c>
    </row>
    <row r="412" spans="1:20" x14ac:dyDescent="0.25">
      <c r="A412" s="31" t="s">
        <v>34</v>
      </c>
      <c r="B412" s="26" t="s">
        <v>35</v>
      </c>
      <c r="C412" s="26">
        <v>1</v>
      </c>
      <c r="D412" s="26" t="s">
        <v>23</v>
      </c>
      <c r="E412" s="25" t="s">
        <v>24</v>
      </c>
      <c r="F412" s="25" t="str">
        <f t="shared" si="42"/>
        <v>MT_1_0,1</v>
      </c>
      <c r="G412" s="25">
        <v>6</v>
      </c>
      <c r="H412" s="25">
        <f>47370/58730</f>
        <v>0.80657245019581136</v>
      </c>
      <c r="I412" s="25">
        <f>69990/86090</f>
        <v>0.8129864095713788</v>
      </c>
      <c r="J412" s="25">
        <f>109700/57630</f>
        <v>1.9035224709352767</v>
      </c>
      <c r="K412" s="25">
        <f>150800/53440</f>
        <v>2.8218562874251498</v>
      </c>
      <c r="L412" s="25">
        <f t="shared" si="43"/>
        <v>6.4139593755674351E-3</v>
      </c>
      <c r="M412" s="25">
        <f t="shared" si="46"/>
        <v>1.0969500207394653</v>
      </c>
      <c r="N412" s="25">
        <f t="shared" ref="N412:N423" si="48">K412-H412</f>
        <v>2.0152838372293385</v>
      </c>
      <c r="O412" s="25">
        <v>1</v>
      </c>
      <c r="P412" s="25">
        <f>68280/57630</f>
        <v>1.1847995835502343</v>
      </c>
      <c r="Q412" s="25">
        <f>121400/53440</f>
        <v>2.2717065868263475</v>
      </c>
      <c r="R412" s="25">
        <v>80.50397877984085</v>
      </c>
      <c r="S412" s="25">
        <v>1</v>
      </c>
      <c r="T412" s="25">
        <v>3</v>
      </c>
    </row>
    <row r="413" spans="1:20" x14ac:dyDescent="0.25">
      <c r="A413" s="31" t="s">
        <v>36</v>
      </c>
      <c r="B413" s="26" t="s">
        <v>35</v>
      </c>
      <c r="C413" s="26">
        <v>1</v>
      </c>
      <c r="D413" s="26" t="s">
        <v>23</v>
      </c>
      <c r="E413" s="25" t="s">
        <v>24</v>
      </c>
      <c r="F413" s="25" t="str">
        <f t="shared" si="42"/>
        <v>MT_1_0,1</v>
      </c>
      <c r="G413" s="25">
        <v>5</v>
      </c>
      <c r="H413" s="25">
        <f>41870/68400</f>
        <v>0.61213450292397664</v>
      </c>
      <c r="I413" s="25">
        <f>1116/980</f>
        <v>1.1387755102040817</v>
      </c>
      <c r="J413" s="25">
        <f>166700/54000</f>
        <v>3.087037037037037</v>
      </c>
      <c r="K413" s="25">
        <f>179800/56300</f>
        <v>3.1936056838365898</v>
      </c>
      <c r="L413" s="25">
        <f t="shared" si="43"/>
        <v>0.5266410072801051</v>
      </c>
      <c r="M413" s="25">
        <f t="shared" si="46"/>
        <v>2.4749025341130606</v>
      </c>
      <c r="N413" s="25">
        <f t="shared" si="48"/>
        <v>2.5814711809126134</v>
      </c>
      <c r="O413" s="25">
        <v>1</v>
      </c>
      <c r="P413" s="25">
        <f>61166.6/54000</f>
        <v>1.1327148148148147</v>
      </c>
      <c r="Q413" s="25">
        <f>134700/56300</f>
        <v>2.3925399644760215</v>
      </c>
      <c r="R413" s="25">
        <v>74.916573971078975</v>
      </c>
      <c r="S413" s="25">
        <v>1</v>
      </c>
      <c r="T413" s="25">
        <v>1</v>
      </c>
    </row>
    <row r="414" spans="1:20" x14ac:dyDescent="0.25">
      <c r="A414" s="31" t="s">
        <v>36</v>
      </c>
      <c r="B414" s="26" t="s">
        <v>35</v>
      </c>
      <c r="C414" s="26">
        <v>1</v>
      </c>
      <c r="D414" s="26" t="s">
        <v>23</v>
      </c>
      <c r="E414" s="25" t="s">
        <v>24</v>
      </c>
      <c r="F414" s="25" t="str">
        <f t="shared" si="42"/>
        <v>MT_1_0,1</v>
      </c>
      <c r="G414" s="25">
        <v>2</v>
      </c>
      <c r="H414" s="25">
        <f>11990/68400</f>
        <v>0.17529239766081872</v>
      </c>
      <c r="I414" s="25">
        <f>641/980</f>
        <v>0.65408163265306118</v>
      </c>
      <c r="J414" s="25">
        <f>59950/54000</f>
        <v>1.1101851851851852</v>
      </c>
      <c r="K414" s="25">
        <f>89030/56300</f>
        <v>1.5813499111900533</v>
      </c>
      <c r="L414" s="25">
        <f t="shared" si="43"/>
        <v>0.47878923499224246</v>
      </c>
      <c r="M414" s="25">
        <f t="shared" si="46"/>
        <v>0.93489278752436644</v>
      </c>
      <c r="N414" s="25">
        <f t="shared" si="48"/>
        <v>1.4060575135292346</v>
      </c>
      <c r="O414" s="25">
        <v>1</v>
      </c>
      <c r="P414" s="25">
        <f>53520/54000</f>
        <v>0.99111111111111116</v>
      </c>
      <c r="Q414" s="25">
        <f>74200/56300</f>
        <v>1.3179396092362345</v>
      </c>
      <c r="R414" s="25">
        <v>83.342693474109851</v>
      </c>
      <c r="S414" s="25">
        <v>0</v>
      </c>
    </row>
    <row r="415" spans="1:20" x14ac:dyDescent="0.25">
      <c r="A415" s="31" t="s">
        <v>36</v>
      </c>
      <c r="B415" s="26" t="s">
        <v>35</v>
      </c>
      <c r="C415" s="26">
        <v>1</v>
      </c>
      <c r="D415" s="26" t="s">
        <v>23</v>
      </c>
      <c r="E415" s="25" t="s">
        <v>24</v>
      </c>
      <c r="F415" s="25" t="str">
        <f t="shared" si="42"/>
        <v>MT_1_0,1</v>
      </c>
      <c r="G415" s="25">
        <v>2</v>
      </c>
      <c r="H415" s="25">
        <f>12550/68400</f>
        <v>0.18347953216374269</v>
      </c>
      <c r="I415" s="25">
        <f>628.5/980</f>
        <v>0.64132653061224487</v>
      </c>
      <c r="J415" s="25">
        <f>80920/54000</f>
        <v>1.4985185185185186</v>
      </c>
      <c r="K415" s="25">
        <f>159200/56300</f>
        <v>2.8277087033747779</v>
      </c>
      <c r="L415" s="25">
        <f t="shared" si="43"/>
        <v>0.45784699844850218</v>
      </c>
      <c r="M415" s="25">
        <f t="shared" si="46"/>
        <v>1.315038986354776</v>
      </c>
      <c r="N415" s="25">
        <f t="shared" si="48"/>
        <v>2.6442291712110353</v>
      </c>
      <c r="O415" s="25">
        <v>1</v>
      </c>
      <c r="P415" s="25">
        <f>76050/54000</f>
        <v>1.4083333333333334</v>
      </c>
      <c r="Q415" s="25">
        <f>139300/56300</f>
        <v>2.4742451154529306</v>
      </c>
      <c r="R415" s="25">
        <v>87.5</v>
      </c>
      <c r="S415" s="25">
        <v>0</v>
      </c>
    </row>
    <row r="416" spans="1:20" x14ac:dyDescent="0.25">
      <c r="A416" s="31" t="s">
        <v>36</v>
      </c>
      <c r="B416" s="26" t="s">
        <v>35</v>
      </c>
      <c r="C416" s="26">
        <v>1</v>
      </c>
      <c r="D416" s="26" t="s">
        <v>23</v>
      </c>
      <c r="E416" s="25" t="s">
        <v>24</v>
      </c>
      <c r="F416" s="25" t="str">
        <f t="shared" si="42"/>
        <v>MT_1_0,1</v>
      </c>
      <c r="G416" s="25">
        <v>2</v>
      </c>
      <c r="H416" s="25">
        <f>15550/68400</f>
        <v>0.2273391812865497</v>
      </c>
      <c r="I416" s="25">
        <f>860.2/980</f>
        <v>0.87775510204081642</v>
      </c>
      <c r="J416" s="25">
        <f>108800/54000</f>
        <v>2.0148148148148146</v>
      </c>
      <c r="K416" s="25">
        <f>188700/56300</f>
        <v>3.3516873889875667</v>
      </c>
      <c r="L416" s="25">
        <f t="shared" si="43"/>
        <v>0.65041592075426669</v>
      </c>
      <c r="M416" s="25">
        <f t="shared" si="46"/>
        <v>1.7874756335282649</v>
      </c>
      <c r="N416" s="25">
        <f t="shared" si="48"/>
        <v>3.1243482077010172</v>
      </c>
      <c r="O416" s="25">
        <v>1</v>
      </c>
      <c r="P416" s="25">
        <f>98470/54000</f>
        <v>1.8235185185185185</v>
      </c>
      <c r="Q416" s="25">
        <f>172300/56300</f>
        <v>3.0603907637655419</v>
      </c>
      <c r="R416" s="25">
        <v>91.308956014838373</v>
      </c>
      <c r="S416" s="25">
        <v>0</v>
      </c>
    </row>
    <row r="417" spans="1:19" x14ac:dyDescent="0.25">
      <c r="A417" s="31" t="s">
        <v>36</v>
      </c>
      <c r="B417" s="26" t="s">
        <v>35</v>
      </c>
      <c r="C417" s="26">
        <v>1</v>
      </c>
      <c r="D417" s="26" t="s">
        <v>23</v>
      </c>
      <c r="E417" s="25" t="s">
        <v>24</v>
      </c>
      <c r="F417" s="25" t="str">
        <f t="shared" si="42"/>
        <v>MT_1_0,1</v>
      </c>
      <c r="G417" s="25">
        <v>2</v>
      </c>
      <c r="H417" s="25">
        <f>15720/68400</f>
        <v>0.22982456140350876</v>
      </c>
      <c r="I417" s="25">
        <f>534.2/980</f>
        <v>0.54510204081632663</v>
      </c>
      <c r="J417" s="25">
        <f>66210/54000</f>
        <v>1.2261111111111112</v>
      </c>
      <c r="K417" s="25">
        <f>159700/56300</f>
        <v>2.8365896980461813</v>
      </c>
      <c r="L417" s="25">
        <f t="shared" si="43"/>
        <v>0.31527747941281786</v>
      </c>
      <c r="M417" s="25">
        <f t="shared" si="46"/>
        <v>0.99628654970760233</v>
      </c>
      <c r="N417" s="25">
        <f t="shared" si="48"/>
        <v>2.6067651366426725</v>
      </c>
      <c r="O417" s="25">
        <v>1</v>
      </c>
      <c r="P417" s="25">
        <f>60870/54000</f>
        <v>1.1272222222222221</v>
      </c>
      <c r="Q417" s="25">
        <f>159100/56300</f>
        <v>2.8259325044404973</v>
      </c>
      <c r="R417" s="25">
        <v>99.62429555416405</v>
      </c>
      <c r="S417" s="25">
        <v>0</v>
      </c>
    </row>
    <row r="418" spans="1:19" x14ac:dyDescent="0.25">
      <c r="A418" s="31" t="s">
        <v>36</v>
      </c>
      <c r="B418" s="26" t="s">
        <v>35</v>
      </c>
      <c r="C418" s="26">
        <v>1</v>
      </c>
      <c r="D418" s="26" t="s">
        <v>23</v>
      </c>
      <c r="E418" s="25" t="s">
        <v>24</v>
      </c>
      <c r="F418" s="25" t="str">
        <f t="shared" si="42"/>
        <v>MT_1_0,1</v>
      </c>
      <c r="G418" s="25">
        <v>2</v>
      </c>
      <c r="H418" s="25">
        <f>17860/68400</f>
        <v>0.26111111111111113</v>
      </c>
      <c r="I418" s="25">
        <f>844/980</f>
        <v>0.86122448979591837</v>
      </c>
      <c r="J418" s="25">
        <f>104500/54000</f>
        <v>1.9351851851851851</v>
      </c>
      <c r="K418" s="25">
        <f>120400/56300</f>
        <v>2.1385435168738898</v>
      </c>
      <c r="L418" s="25">
        <f t="shared" si="43"/>
        <v>0.60011337868480719</v>
      </c>
      <c r="M418" s="25">
        <f t="shared" si="46"/>
        <v>1.674074074074074</v>
      </c>
      <c r="N418" s="25">
        <f t="shared" si="48"/>
        <v>1.8774324057627787</v>
      </c>
      <c r="O418" s="25">
        <v>1</v>
      </c>
      <c r="P418" s="25">
        <f>100900/54000</f>
        <v>1.8685185185185185</v>
      </c>
      <c r="Q418" s="25">
        <f>112100/56300</f>
        <v>1.9911190053285968</v>
      </c>
      <c r="R418" s="25">
        <v>93.106312292358808</v>
      </c>
      <c r="S418" s="25">
        <v>0</v>
      </c>
    </row>
    <row r="419" spans="1:19" x14ac:dyDescent="0.25">
      <c r="A419" s="31" t="s">
        <v>36</v>
      </c>
      <c r="B419" s="26" t="s">
        <v>35</v>
      </c>
      <c r="C419" s="26">
        <v>1</v>
      </c>
      <c r="D419" s="26" t="s">
        <v>23</v>
      </c>
      <c r="E419" s="25" t="s">
        <v>24</v>
      </c>
      <c r="F419" s="25" t="str">
        <f t="shared" si="42"/>
        <v>MT_1_0,1</v>
      </c>
      <c r="G419" s="25">
        <v>2</v>
      </c>
      <c r="H419" s="25">
        <f>18270/68400</f>
        <v>0.26710526315789473</v>
      </c>
      <c r="I419" s="25">
        <f>821.1/980</f>
        <v>0.83785714285714286</v>
      </c>
      <c r="J419" s="25">
        <f>76910/54000</f>
        <v>1.4242592592592593</v>
      </c>
      <c r="K419" s="25">
        <f>42910/56300</f>
        <v>0.76216696269982243</v>
      </c>
      <c r="L419" s="25">
        <f t="shared" si="43"/>
        <v>0.57075187969924812</v>
      </c>
      <c r="M419" s="25">
        <f t="shared" si="46"/>
        <v>1.1571539961013646</v>
      </c>
      <c r="N419" s="25">
        <f t="shared" si="48"/>
        <v>0.49506169954192769</v>
      </c>
      <c r="O419" s="25">
        <v>1</v>
      </c>
      <c r="P419" s="25">
        <f>22270/54000</f>
        <v>0.41240740740740739</v>
      </c>
      <c r="Q419" s="25">
        <f>41500/56300</f>
        <v>0.7371225577264654</v>
      </c>
      <c r="R419" s="25">
        <v>96.714052668375672</v>
      </c>
      <c r="S419" s="25">
        <v>0</v>
      </c>
    </row>
    <row r="420" spans="1:19" x14ac:dyDescent="0.25">
      <c r="A420" s="31" t="s">
        <v>36</v>
      </c>
      <c r="B420" s="26" t="s">
        <v>35</v>
      </c>
      <c r="C420" s="26">
        <v>1</v>
      </c>
      <c r="D420" s="26" t="s">
        <v>23</v>
      </c>
      <c r="E420" s="25" t="s">
        <v>24</v>
      </c>
      <c r="F420" s="25" t="str">
        <f t="shared" si="42"/>
        <v>MT_1_0,1</v>
      </c>
      <c r="G420" s="25">
        <v>3</v>
      </c>
      <c r="H420" s="25">
        <f>21570/68400</f>
        <v>0.31535087719298244</v>
      </c>
      <c r="I420" s="25">
        <f>895.3/980</f>
        <v>0.91357142857142848</v>
      </c>
      <c r="J420" s="25">
        <f>44100/54000</f>
        <v>0.81666666666666665</v>
      </c>
      <c r="K420" s="25">
        <f>35490/56300</f>
        <v>0.63037300177619893</v>
      </c>
      <c r="L420" s="25">
        <f t="shared" si="43"/>
        <v>0.59822055137844599</v>
      </c>
      <c r="M420" s="25">
        <f t="shared" si="46"/>
        <v>0.50131578947368416</v>
      </c>
      <c r="N420" s="25">
        <f t="shared" si="48"/>
        <v>0.31502212458321649</v>
      </c>
      <c r="O420" s="25">
        <v>1</v>
      </c>
      <c r="P420" s="25">
        <f>42740/54000</f>
        <v>0.79148148148148145</v>
      </c>
      <c r="Q420" s="25">
        <f>33310/56300</f>
        <v>0.59165186500888101</v>
      </c>
      <c r="R420" s="25">
        <v>93.857424626655401</v>
      </c>
      <c r="S420" s="25">
        <v>0</v>
      </c>
    </row>
    <row r="421" spans="1:19" x14ac:dyDescent="0.25">
      <c r="A421" s="31" t="s">
        <v>36</v>
      </c>
      <c r="B421" s="26" t="s">
        <v>35</v>
      </c>
      <c r="C421" s="26">
        <v>1</v>
      </c>
      <c r="D421" s="26" t="s">
        <v>23</v>
      </c>
      <c r="E421" s="25" t="s">
        <v>24</v>
      </c>
      <c r="F421" s="25" t="str">
        <f t="shared" si="42"/>
        <v>MT_1_0,1</v>
      </c>
      <c r="G421" s="25">
        <v>3</v>
      </c>
      <c r="H421" s="25">
        <f>24180/68400</f>
        <v>0.35350877192982455</v>
      </c>
      <c r="I421" s="25">
        <f>919.4/980</f>
        <v>0.93816326530612237</v>
      </c>
      <c r="J421" s="25">
        <f>72240/54000</f>
        <v>1.3377777777777777</v>
      </c>
      <c r="K421" s="25">
        <f>110600/56300</f>
        <v>1.9644760213143873</v>
      </c>
      <c r="L421" s="25">
        <f t="shared" si="43"/>
        <v>0.58465449337629782</v>
      </c>
      <c r="M421" s="25">
        <f t="shared" si="46"/>
        <v>0.98426900584795318</v>
      </c>
      <c r="N421" s="25">
        <f t="shared" si="48"/>
        <v>1.6109672493845628</v>
      </c>
      <c r="O421" s="25">
        <v>1</v>
      </c>
      <c r="P421" s="25">
        <f>67600/54000</f>
        <v>1.2518518518518518</v>
      </c>
      <c r="Q421" s="25">
        <f>119200/56300</f>
        <v>2.1172291296625221</v>
      </c>
      <c r="S421" s="25">
        <v>0</v>
      </c>
    </row>
    <row r="422" spans="1:19" x14ac:dyDescent="0.25">
      <c r="A422" s="31" t="s">
        <v>34</v>
      </c>
      <c r="B422" s="26" t="s">
        <v>35</v>
      </c>
      <c r="C422" s="26">
        <v>1</v>
      </c>
      <c r="D422" s="26" t="s">
        <v>23</v>
      </c>
      <c r="E422" s="25" t="s">
        <v>24</v>
      </c>
      <c r="F422" s="25" t="str">
        <f t="shared" si="42"/>
        <v>MT_1_0,1</v>
      </c>
      <c r="G422" s="25">
        <v>3</v>
      </c>
      <c r="H422" s="25">
        <f>21830/58730</f>
        <v>0.3717010045973097</v>
      </c>
      <c r="I422" s="25">
        <f>37850/86090</f>
        <v>0.43965617377163435</v>
      </c>
      <c r="J422" s="25">
        <f>92800/57630</f>
        <v>1.6102724275550928</v>
      </c>
      <c r="K422" s="25">
        <f>105100/53440</f>
        <v>1.966691616766467</v>
      </c>
      <c r="L422" s="25">
        <f t="shared" si="43"/>
        <v>6.7955169174324648E-2</v>
      </c>
      <c r="M422" s="25">
        <f t="shared" si="46"/>
        <v>1.2385714229577831</v>
      </c>
      <c r="N422" s="25">
        <f t="shared" si="48"/>
        <v>1.5949906121691573</v>
      </c>
      <c r="O422" s="25">
        <v>1</v>
      </c>
      <c r="P422" s="25">
        <f>17970/57630</f>
        <v>0.3118167621030713</v>
      </c>
      <c r="Q422" s="25">
        <f>41210/53440</f>
        <v>0.77114520958083832</v>
      </c>
      <c r="R422" s="25">
        <v>39.210275927687917</v>
      </c>
      <c r="S422" s="25">
        <v>0</v>
      </c>
    </row>
    <row r="423" spans="1:19" x14ac:dyDescent="0.25">
      <c r="A423" s="31" t="s">
        <v>36</v>
      </c>
      <c r="B423" s="26" t="s">
        <v>35</v>
      </c>
      <c r="C423" s="26">
        <v>1</v>
      </c>
      <c r="D423" s="26" t="s">
        <v>23</v>
      </c>
      <c r="E423" s="25" t="s">
        <v>24</v>
      </c>
      <c r="F423" s="25" t="str">
        <f t="shared" si="42"/>
        <v>MT_1_0,1</v>
      </c>
      <c r="G423" s="25">
        <v>3</v>
      </c>
      <c r="H423" s="25">
        <f>26890/68400</f>
        <v>0.39312865497076022</v>
      </c>
      <c r="I423" s="25">
        <f>795.6/980</f>
        <v>0.81183673469387763</v>
      </c>
      <c r="J423" s="25">
        <f>76130/54000</f>
        <v>1.4098148148148149</v>
      </c>
      <c r="K423" s="25">
        <f>182900/56300</f>
        <v>3.2486678507992894</v>
      </c>
      <c r="L423" s="25">
        <f t="shared" si="43"/>
        <v>0.41870807972311741</v>
      </c>
      <c r="M423" s="25">
        <f t="shared" si="46"/>
        <v>1.0166861598440546</v>
      </c>
      <c r="N423" s="25">
        <f t="shared" si="48"/>
        <v>2.8555391958285292</v>
      </c>
      <c r="O423" s="25">
        <v>1</v>
      </c>
      <c r="P423" s="25">
        <f>45160/54000</f>
        <v>0.83629629629629632</v>
      </c>
      <c r="Q423" s="25">
        <f>173000/56300</f>
        <v>3.0728241563055061</v>
      </c>
      <c r="R423" s="25">
        <v>94.587206123564798</v>
      </c>
      <c r="S423" s="25">
        <v>0</v>
      </c>
    </row>
    <row r="424" spans="1:19" x14ac:dyDescent="0.25">
      <c r="A424" s="31" t="s">
        <v>36</v>
      </c>
      <c r="B424" s="26" t="s">
        <v>35</v>
      </c>
      <c r="C424" s="26">
        <v>1</v>
      </c>
      <c r="D424" s="26" t="s">
        <v>23</v>
      </c>
      <c r="E424" s="25" t="s">
        <v>24</v>
      </c>
      <c r="F424" s="25" t="str">
        <f t="shared" si="42"/>
        <v>MT_1_0,1</v>
      </c>
      <c r="G424" s="25">
        <v>3</v>
      </c>
      <c r="H424" s="25">
        <f>27340/68400</f>
        <v>0.39970760233918129</v>
      </c>
      <c r="I424" s="25">
        <f>839.8/980</f>
        <v>0.85693877551020403</v>
      </c>
      <c r="J424" s="25">
        <f>69680/54000</f>
        <v>1.2903703703703704</v>
      </c>
      <c r="L424" s="25">
        <f t="shared" ref="L424:L455" si="49">I424-H424</f>
        <v>0.45723117317102274</v>
      </c>
      <c r="M424" s="25">
        <f t="shared" si="46"/>
        <v>0.89066276803118916</v>
      </c>
      <c r="O424" s="25">
        <v>1</v>
      </c>
      <c r="P424" s="25">
        <f>59040/54000</f>
        <v>1.0933333333333333</v>
      </c>
      <c r="S424" s="25">
        <v>0</v>
      </c>
    </row>
    <row r="425" spans="1:19" x14ac:dyDescent="0.25">
      <c r="A425" s="31" t="s">
        <v>36</v>
      </c>
      <c r="B425" s="26" t="s">
        <v>35</v>
      </c>
      <c r="C425" s="26">
        <v>1</v>
      </c>
      <c r="D425" s="26" t="s">
        <v>23</v>
      </c>
      <c r="E425" s="25" t="s">
        <v>24</v>
      </c>
      <c r="F425" s="25" t="str">
        <f t="shared" si="42"/>
        <v>MT_1_0,1</v>
      </c>
      <c r="G425" s="25">
        <v>3</v>
      </c>
      <c r="H425" s="25">
        <f>28390/68400</f>
        <v>0.41505847953216374</v>
      </c>
      <c r="I425" s="25">
        <f>970.2/980</f>
        <v>0.99</v>
      </c>
      <c r="J425" s="25">
        <f>93960/54000</f>
        <v>1.74</v>
      </c>
      <c r="K425" s="25">
        <f>157200/56300</f>
        <v>2.7921847246891653</v>
      </c>
      <c r="L425" s="25">
        <f t="shared" si="49"/>
        <v>0.57494152046783631</v>
      </c>
      <c r="M425" s="25">
        <f t="shared" si="46"/>
        <v>1.3249415204678363</v>
      </c>
      <c r="N425" s="25">
        <f>K425-H425</f>
        <v>2.3771262451570014</v>
      </c>
      <c r="O425" s="25">
        <v>1</v>
      </c>
      <c r="P425" s="25">
        <f>86060/54000</f>
        <v>1.5937037037037036</v>
      </c>
      <c r="Q425" s="25">
        <f>144200/56300</f>
        <v>2.5612788632326819</v>
      </c>
      <c r="R425" s="25">
        <v>91.730279898218825</v>
      </c>
      <c r="S425" s="25">
        <v>0</v>
      </c>
    </row>
    <row r="426" spans="1:19" x14ac:dyDescent="0.25">
      <c r="A426" s="31" t="s">
        <v>36</v>
      </c>
      <c r="B426" s="26" t="s">
        <v>35</v>
      </c>
      <c r="C426" s="26">
        <v>1</v>
      </c>
      <c r="D426" s="26" t="s">
        <v>23</v>
      </c>
      <c r="E426" s="25" t="s">
        <v>24</v>
      </c>
      <c r="F426" s="25" t="str">
        <f t="shared" si="42"/>
        <v>MT_1_0,1</v>
      </c>
      <c r="G426" s="25">
        <v>3</v>
      </c>
      <c r="H426" s="25">
        <f>29200/68400</f>
        <v>0.42690058479532161</v>
      </c>
      <c r="I426" s="25">
        <f>1416/980</f>
        <v>1.4448979591836735</v>
      </c>
      <c r="J426" s="25">
        <f>94700/54000</f>
        <v>1.7537037037037038</v>
      </c>
      <c r="K426" s="25">
        <f>209600/56300</f>
        <v>3.7229129662522205</v>
      </c>
      <c r="L426" s="25">
        <f t="shared" si="49"/>
        <v>1.0179973743883519</v>
      </c>
      <c r="M426" s="25">
        <f t="shared" si="46"/>
        <v>1.3268031189083822</v>
      </c>
      <c r="N426" s="25">
        <f>K426-H426</f>
        <v>3.2960123814568987</v>
      </c>
      <c r="O426" s="25">
        <v>1</v>
      </c>
      <c r="P426" s="25">
        <f>87290/54000</f>
        <v>1.6164814814814814</v>
      </c>
      <c r="Q426" s="25">
        <f>202600/56300</f>
        <v>3.5985790408525755</v>
      </c>
      <c r="R426" s="25">
        <v>96.660305343511439</v>
      </c>
      <c r="S426" s="25">
        <v>0</v>
      </c>
    </row>
    <row r="427" spans="1:19" x14ac:dyDescent="0.25">
      <c r="A427" s="31" t="s">
        <v>36</v>
      </c>
      <c r="B427" s="26" t="s">
        <v>35</v>
      </c>
      <c r="C427" s="26">
        <v>1</v>
      </c>
      <c r="D427" s="26" t="s">
        <v>23</v>
      </c>
      <c r="E427" s="25" t="s">
        <v>24</v>
      </c>
      <c r="F427" s="25" t="str">
        <f t="shared" si="42"/>
        <v>MT_1_0,1</v>
      </c>
      <c r="G427" s="25">
        <v>3</v>
      </c>
      <c r="H427" s="25">
        <f>29740/68400</f>
        <v>0.4347953216374269</v>
      </c>
      <c r="I427" s="25">
        <f>967.5/980</f>
        <v>0.98724489795918369</v>
      </c>
      <c r="J427" s="25">
        <f>78770/54000</f>
        <v>1.4587037037037036</v>
      </c>
      <c r="K427" s="25">
        <f>100200/56300</f>
        <v>1.7797513321492007</v>
      </c>
      <c r="L427" s="25">
        <f t="shared" si="49"/>
        <v>0.55244957632175673</v>
      </c>
      <c r="M427" s="25">
        <f t="shared" si="46"/>
        <v>1.0239083820662767</v>
      </c>
      <c r="N427" s="25">
        <f>K427-H427</f>
        <v>1.3449560105117737</v>
      </c>
      <c r="O427" s="25">
        <v>1</v>
      </c>
      <c r="P427" s="25">
        <f>66780/54000</f>
        <v>1.2366666666666666</v>
      </c>
      <c r="Q427" s="25">
        <f>90700/56300</f>
        <v>1.61101243339254</v>
      </c>
      <c r="R427" s="25">
        <v>90.518962075848307</v>
      </c>
      <c r="S427" s="25">
        <v>0</v>
      </c>
    </row>
    <row r="428" spans="1:19" x14ac:dyDescent="0.25">
      <c r="A428" s="31" t="s">
        <v>34</v>
      </c>
      <c r="B428" s="26" t="s">
        <v>35</v>
      </c>
      <c r="C428" s="26">
        <v>1</v>
      </c>
      <c r="D428" s="26" t="s">
        <v>23</v>
      </c>
      <c r="E428" s="25" t="s">
        <v>24</v>
      </c>
      <c r="F428" s="25" t="str">
        <f t="shared" si="42"/>
        <v>MT_1_0,1</v>
      </c>
      <c r="G428" s="25">
        <v>3</v>
      </c>
      <c r="H428" s="25">
        <f>25710/58730</f>
        <v>0.437766048016346</v>
      </c>
      <c r="I428" s="25">
        <f>43720/86090</f>
        <v>0.50784063189685213</v>
      </c>
      <c r="J428" s="25">
        <f>99290/57630</f>
        <v>1.7228873850425126</v>
      </c>
      <c r="K428" s="25">
        <f>157600/53440</f>
        <v>2.9491017964071857</v>
      </c>
      <c r="L428" s="25">
        <f t="shared" si="49"/>
        <v>7.0074583880506136E-2</v>
      </c>
      <c r="M428" s="25">
        <f t="shared" si="46"/>
        <v>1.2851213370261667</v>
      </c>
      <c r="N428" s="25">
        <f>K428-H428</f>
        <v>2.5113357483908398</v>
      </c>
      <c r="O428" s="25">
        <v>1</v>
      </c>
      <c r="P428" s="25">
        <f>53230/57630</f>
        <v>0.92365087627971543</v>
      </c>
      <c r="Q428" s="25">
        <f>75150/53440</f>
        <v>1.40625</v>
      </c>
      <c r="R428" s="25">
        <v>47.684010152284259</v>
      </c>
      <c r="S428" s="25">
        <v>0</v>
      </c>
    </row>
    <row r="429" spans="1:19" x14ac:dyDescent="0.25">
      <c r="A429" s="31" t="s">
        <v>36</v>
      </c>
      <c r="B429" s="26" t="s">
        <v>35</v>
      </c>
      <c r="C429" s="26">
        <v>1</v>
      </c>
      <c r="D429" s="26" t="s">
        <v>23</v>
      </c>
      <c r="E429" s="25" t="s">
        <v>24</v>
      </c>
      <c r="F429" s="25" t="str">
        <f t="shared" si="42"/>
        <v>MT_1_0,1</v>
      </c>
      <c r="G429" s="25">
        <v>3</v>
      </c>
      <c r="H429" s="25">
        <f>31120/68400</f>
        <v>0.45497076023391814</v>
      </c>
      <c r="I429" s="25">
        <f>913.4/980</f>
        <v>0.93204081632653057</v>
      </c>
      <c r="J429" s="25">
        <f>118200/54000</f>
        <v>2.1888888888888891</v>
      </c>
      <c r="K429" s="25">
        <f>182300/56300</f>
        <v>3.2380106571936058</v>
      </c>
      <c r="L429" s="25">
        <f t="shared" si="49"/>
        <v>0.47707005609261244</v>
      </c>
      <c r="M429" s="25">
        <f t="shared" si="46"/>
        <v>1.733918128654971</v>
      </c>
      <c r="N429" s="25">
        <f>K429-H429</f>
        <v>2.7830398969596875</v>
      </c>
      <c r="O429" s="25">
        <v>1</v>
      </c>
      <c r="P429" s="25">
        <f>100000/54000</f>
        <v>1.8518518518518519</v>
      </c>
      <c r="Q429" s="25">
        <f>168400/56300</f>
        <v>2.991119005328597</v>
      </c>
      <c r="R429" s="25">
        <v>92.375205704882063</v>
      </c>
      <c r="S429" s="25">
        <v>0</v>
      </c>
    </row>
    <row r="430" spans="1:19" x14ac:dyDescent="0.25">
      <c r="A430" s="31" t="s">
        <v>36</v>
      </c>
      <c r="B430" s="26" t="s">
        <v>35</v>
      </c>
      <c r="C430" s="26">
        <v>1</v>
      </c>
      <c r="D430" s="26" t="s">
        <v>23</v>
      </c>
      <c r="E430" s="25" t="s">
        <v>24</v>
      </c>
      <c r="F430" s="25" t="str">
        <f t="shared" si="42"/>
        <v>MT_1_0,1</v>
      </c>
      <c r="G430" s="25">
        <v>4</v>
      </c>
      <c r="H430" s="25">
        <f>31620/68400</f>
        <v>0.46228070175438596</v>
      </c>
      <c r="I430" s="25">
        <f>892.1/980</f>
        <v>0.91030612244897957</v>
      </c>
      <c r="J430" s="25">
        <f>128100/54000</f>
        <v>2.3722222222222222</v>
      </c>
      <c r="L430" s="25">
        <f t="shared" si="49"/>
        <v>0.44802542069459361</v>
      </c>
      <c r="M430" s="25">
        <f t="shared" si="46"/>
        <v>1.9099415204678363</v>
      </c>
      <c r="O430" s="25">
        <v>1</v>
      </c>
      <c r="P430" s="25">
        <f>86220/54000</f>
        <v>1.5966666666666667</v>
      </c>
      <c r="S430" s="25">
        <v>0</v>
      </c>
    </row>
    <row r="431" spans="1:19" x14ac:dyDescent="0.25">
      <c r="A431" s="31" t="s">
        <v>36</v>
      </c>
      <c r="B431" s="26" t="s">
        <v>35</v>
      </c>
      <c r="C431" s="26">
        <v>1</v>
      </c>
      <c r="D431" s="26" t="s">
        <v>23</v>
      </c>
      <c r="E431" s="25" t="s">
        <v>24</v>
      </c>
      <c r="F431" s="25" t="str">
        <f t="shared" si="42"/>
        <v>MT_1_0,1</v>
      </c>
      <c r="G431" s="25">
        <v>4</v>
      </c>
      <c r="H431" s="25">
        <f>31720/68400</f>
        <v>0.46374269005847951</v>
      </c>
      <c r="I431" s="25">
        <f>808.7/980</f>
        <v>0.82520408163265313</v>
      </c>
      <c r="J431" s="25">
        <f>81350/54000</f>
        <v>1.5064814814814815</v>
      </c>
      <c r="K431" s="25">
        <f>156500/56300</f>
        <v>2.7797513321492007</v>
      </c>
      <c r="L431" s="25">
        <f t="shared" si="49"/>
        <v>0.36146139157417362</v>
      </c>
      <c r="M431" s="25">
        <f t="shared" si="46"/>
        <v>1.042738791423002</v>
      </c>
      <c r="N431" s="25">
        <f t="shared" ref="N431:N444" si="50">K431-H431</f>
        <v>2.3160086420907211</v>
      </c>
      <c r="O431" s="25">
        <v>1</v>
      </c>
      <c r="P431" s="25">
        <f>37920/54000</f>
        <v>0.70222222222222219</v>
      </c>
      <c r="Q431" s="25">
        <f>153300/56300</f>
        <v>2.7229129662522205</v>
      </c>
      <c r="R431" s="25">
        <v>97.955271565495224</v>
      </c>
      <c r="S431" s="25">
        <v>0</v>
      </c>
    </row>
    <row r="432" spans="1:19" x14ac:dyDescent="0.25">
      <c r="A432" s="31" t="s">
        <v>36</v>
      </c>
      <c r="B432" s="26" t="s">
        <v>35</v>
      </c>
      <c r="C432" s="26">
        <v>1</v>
      </c>
      <c r="D432" s="26" t="s">
        <v>23</v>
      </c>
      <c r="E432" s="25" t="s">
        <v>24</v>
      </c>
      <c r="F432" s="25" t="str">
        <f t="shared" si="42"/>
        <v>MT_1_0,1</v>
      </c>
      <c r="G432" s="25">
        <v>4</v>
      </c>
      <c r="H432" s="25">
        <f>32600/68400</f>
        <v>0.47660818713450293</v>
      </c>
      <c r="I432" s="25">
        <f>935.3/980</f>
        <v>0.95438775510204077</v>
      </c>
      <c r="J432" s="25">
        <f>96000/54000</f>
        <v>1.7777777777777777</v>
      </c>
      <c r="K432" s="25">
        <f>109660/56300</f>
        <v>1.9477797513321491</v>
      </c>
      <c r="L432" s="25">
        <f t="shared" si="49"/>
        <v>0.47777956796753784</v>
      </c>
      <c r="M432" s="25">
        <f t="shared" si="46"/>
        <v>1.3011695906432748</v>
      </c>
      <c r="N432" s="25">
        <f t="shared" si="50"/>
        <v>1.4711715641976462</v>
      </c>
      <c r="O432" s="25">
        <v>1</v>
      </c>
      <c r="P432" s="25">
        <f>92600/54000</f>
        <v>1.7148148148148148</v>
      </c>
      <c r="Q432" s="25">
        <f>94140/56300</f>
        <v>1.6721136767317939</v>
      </c>
      <c r="R432" s="25">
        <v>85.847163961335042</v>
      </c>
      <c r="S432" s="25">
        <v>0</v>
      </c>
    </row>
    <row r="433" spans="1:19" x14ac:dyDescent="0.25">
      <c r="A433" s="31" t="s">
        <v>36</v>
      </c>
      <c r="B433" s="26" t="s">
        <v>35</v>
      </c>
      <c r="C433" s="26">
        <v>1</v>
      </c>
      <c r="D433" s="26" t="s">
        <v>23</v>
      </c>
      <c r="E433" s="25" t="s">
        <v>24</v>
      </c>
      <c r="F433" s="25" t="str">
        <f t="shared" si="42"/>
        <v>MT_1_0,1</v>
      </c>
      <c r="G433" s="25">
        <v>4</v>
      </c>
      <c r="H433" s="25">
        <f>33520/68400</f>
        <v>0.49005847953216375</v>
      </c>
      <c r="I433" s="25">
        <f>1049/980</f>
        <v>1.0704081632653062</v>
      </c>
      <c r="J433" s="25">
        <f>97840/54000</f>
        <v>1.8118518518518518</v>
      </c>
      <c r="K433" s="25">
        <f>149800/56300</f>
        <v>2.660746003552398</v>
      </c>
      <c r="L433" s="25">
        <f t="shared" si="49"/>
        <v>0.58034968373314244</v>
      </c>
      <c r="M433" s="25">
        <f t="shared" si="46"/>
        <v>1.321793372319688</v>
      </c>
      <c r="N433" s="25">
        <f t="shared" si="50"/>
        <v>2.1706875240202343</v>
      </c>
      <c r="O433" s="25">
        <v>1</v>
      </c>
      <c r="P433" s="25">
        <f>93400/54000</f>
        <v>1.7296296296296296</v>
      </c>
      <c r="Q433" s="25">
        <f>130100/56300</f>
        <v>2.3108348134991119</v>
      </c>
      <c r="R433" s="25">
        <v>86.849132176234974</v>
      </c>
      <c r="S433" s="25">
        <v>0</v>
      </c>
    </row>
    <row r="434" spans="1:19" x14ac:dyDescent="0.25">
      <c r="A434" s="31" t="s">
        <v>36</v>
      </c>
      <c r="B434" s="26" t="s">
        <v>35</v>
      </c>
      <c r="C434" s="26">
        <v>1</v>
      </c>
      <c r="D434" s="26" t="s">
        <v>23</v>
      </c>
      <c r="E434" s="25" t="s">
        <v>24</v>
      </c>
      <c r="F434" s="25" t="str">
        <f t="shared" si="42"/>
        <v>MT_1_0,1</v>
      </c>
      <c r="G434" s="25">
        <v>4</v>
      </c>
      <c r="H434" s="25">
        <f>34560/68400</f>
        <v>0.50526315789473686</v>
      </c>
      <c r="I434" s="25">
        <f>921.7/980</f>
        <v>0.94051020408163266</v>
      </c>
      <c r="J434" s="25">
        <f>138500/54000</f>
        <v>2.5648148148148149</v>
      </c>
      <c r="K434" s="25">
        <f>151700/56300</f>
        <v>2.6944937833037299</v>
      </c>
      <c r="L434" s="25">
        <f t="shared" si="49"/>
        <v>0.4352470461868958</v>
      </c>
      <c r="M434" s="25">
        <f t="shared" si="46"/>
        <v>2.0595516569200782</v>
      </c>
      <c r="N434" s="25">
        <f t="shared" si="50"/>
        <v>2.1892306254089933</v>
      </c>
      <c r="O434" s="25">
        <v>1</v>
      </c>
      <c r="P434" s="25">
        <f>29820/54000</f>
        <v>0.55222222222222217</v>
      </c>
      <c r="Q434" s="25">
        <f>148500/56300</f>
        <v>2.6376554174067497</v>
      </c>
      <c r="R434" s="25">
        <v>97.890573500329609</v>
      </c>
      <c r="S434" s="25">
        <v>0</v>
      </c>
    </row>
    <row r="435" spans="1:19" x14ac:dyDescent="0.25">
      <c r="A435" s="31" t="s">
        <v>36</v>
      </c>
      <c r="B435" s="26" t="s">
        <v>35</v>
      </c>
      <c r="C435" s="26">
        <v>1</v>
      </c>
      <c r="D435" s="26" t="s">
        <v>23</v>
      </c>
      <c r="E435" s="25" t="s">
        <v>24</v>
      </c>
      <c r="F435" s="25" t="str">
        <f t="shared" si="42"/>
        <v>MT_1_0,1</v>
      </c>
      <c r="G435" s="25">
        <v>4</v>
      </c>
      <c r="H435" s="25">
        <f>35050/68400</f>
        <v>0.51242690058479534</v>
      </c>
      <c r="I435" s="25">
        <f>1208/980</f>
        <v>1.2326530612244897</v>
      </c>
      <c r="J435" s="25">
        <f>130700/54000</f>
        <v>2.4203703703703705</v>
      </c>
      <c r="K435" s="25">
        <f>141500/56300</f>
        <v>2.5133214920071048</v>
      </c>
      <c r="L435" s="25">
        <f t="shared" si="49"/>
        <v>0.72022616063969436</v>
      </c>
      <c r="M435" s="25">
        <f t="shared" si="46"/>
        <v>1.9079434697855753</v>
      </c>
      <c r="N435" s="25">
        <f t="shared" si="50"/>
        <v>2.0008945914223095</v>
      </c>
      <c r="O435" s="25">
        <v>1</v>
      </c>
      <c r="P435" s="25">
        <f>60940/54000</f>
        <v>1.1285185185185185</v>
      </c>
      <c r="Q435" s="25">
        <f>141200/56300</f>
        <v>2.5079928952042629</v>
      </c>
      <c r="R435" s="25">
        <v>99.78798586572438</v>
      </c>
      <c r="S435" s="25">
        <v>0</v>
      </c>
    </row>
    <row r="436" spans="1:19" x14ac:dyDescent="0.25">
      <c r="A436" s="31" t="s">
        <v>34</v>
      </c>
      <c r="B436" s="26" t="s">
        <v>35</v>
      </c>
      <c r="C436" s="26">
        <v>1</v>
      </c>
      <c r="D436" s="26" t="s">
        <v>23</v>
      </c>
      <c r="E436" s="25" t="s">
        <v>24</v>
      </c>
      <c r="F436" s="25" t="str">
        <f t="shared" si="42"/>
        <v>MT_1_0,1</v>
      </c>
      <c r="G436" s="25">
        <v>4</v>
      </c>
      <c r="H436" s="25">
        <f>30390/58730</f>
        <v>0.51745274987229695</v>
      </c>
      <c r="I436" s="25">
        <f>55540/86090</f>
        <v>0.64513880822395164</v>
      </c>
      <c r="J436" s="25">
        <f>73520/57630</f>
        <v>1.2757244490716642</v>
      </c>
      <c r="K436" s="25">
        <f>121100/53440</f>
        <v>2.2660928143712575</v>
      </c>
      <c r="L436" s="25">
        <f t="shared" si="49"/>
        <v>0.1276860583516547</v>
      </c>
      <c r="M436" s="25">
        <f t="shared" si="46"/>
        <v>0.75827169919936721</v>
      </c>
      <c r="N436" s="25">
        <f t="shared" si="50"/>
        <v>1.7486400644989606</v>
      </c>
      <c r="O436" s="25">
        <v>1</v>
      </c>
      <c r="P436" s="25">
        <f>52460/58730</f>
        <v>0.89324025200068113</v>
      </c>
      <c r="Q436" s="25">
        <f>116100/53440</f>
        <v>2.1725299401197606</v>
      </c>
      <c r="R436" s="25">
        <v>95.871180842279117</v>
      </c>
      <c r="S436" s="25">
        <v>0</v>
      </c>
    </row>
    <row r="437" spans="1:19" x14ac:dyDescent="0.25">
      <c r="A437" s="31" t="s">
        <v>34</v>
      </c>
      <c r="B437" s="26" t="s">
        <v>35</v>
      </c>
      <c r="C437" s="26">
        <v>1</v>
      </c>
      <c r="D437" s="26" t="s">
        <v>23</v>
      </c>
      <c r="E437" s="25" t="s">
        <v>24</v>
      </c>
      <c r="F437" s="25" t="str">
        <f t="shared" si="42"/>
        <v>MT_1_0,1</v>
      </c>
      <c r="G437" s="25">
        <v>4</v>
      </c>
      <c r="H437" s="25">
        <f>30920/58730</f>
        <v>0.52647709858675296</v>
      </c>
      <c r="I437" s="25">
        <f>55670/86090</f>
        <v>0.6466488558485306</v>
      </c>
      <c r="J437" s="25">
        <f>113300/57630</f>
        <v>1.9659899357973278</v>
      </c>
      <c r="K437" s="25">
        <f>124000/53440</f>
        <v>2.3203592814371259</v>
      </c>
      <c r="L437" s="25">
        <f t="shared" si="49"/>
        <v>0.12017175726177765</v>
      </c>
      <c r="M437" s="25">
        <f t="shared" ref="M437:M470" si="51">J437-H437</f>
        <v>1.4395128372105748</v>
      </c>
      <c r="N437" s="25">
        <f t="shared" si="50"/>
        <v>1.793882182850373</v>
      </c>
      <c r="O437" s="25">
        <v>1</v>
      </c>
      <c r="P437" s="25">
        <f>39231/57630</f>
        <v>0.68073919833420093</v>
      </c>
      <c r="Q437" s="25">
        <f>85320/53440</f>
        <v>1.596556886227545</v>
      </c>
      <c r="R437" s="25">
        <v>68.806451612903231</v>
      </c>
      <c r="S437" s="25">
        <v>0</v>
      </c>
    </row>
    <row r="438" spans="1:19" x14ac:dyDescent="0.25">
      <c r="A438" s="31" t="s">
        <v>34</v>
      </c>
      <c r="B438" s="26" t="s">
        <v>35</v>
      </c>
      <c r="C438" s="26">
        <v>1</v>
      </c>
      <c r="D438" s="26" t="s">
        <v>23</v>
      </c>
      <c r="E438" s="25" t="s">
        <v>24</v>
      </c>
      <c r="F438" s="25" t="str">
        <f t="shared" si="42"/>
        <v>MT_1_0,1</v>
      </c>
      <c r="G438" s="25">
        <v>5</v>
      </c>
      <c r="H438" s="25">
        <f>38420/58730</f>
        <v>0.65418014643282818</v>
      </c>
      <c r="I438" s="25">
        <f>68200/86090</f>
        <v>0.79219421535602275</v>
      </c>
      <c r="J438" s="25">
        <f>69810/57630</f>
        <v>1.211348256116606</v>
      </c>
      <c r="K438" s="25">
        <f>86310/53440</f>
        <v>1.6150823353293413</v>
      </c>
      <c r="L438" s="25">
        <f t="shared" si="49"/>
        <v>0.13801406892319457</v>
      </c>
      <c r="M438" s="25">
        <f t="shared" si="51"/>
        <v>0.55716810968377783</v>
      </c>
      <c r="N438" s="25">
        <f t="shared" si="50"/>
        <v>0.96090218889651313</v>
      </c>
      <c r="O438" s="25">
        <v>1</v>
      </c>
      <c r="P438" s="25">
        <f>55234/57630</f>
        <v>0.95842443171959046</v>
      </c>
      <c r="Q438" s="25">
        <f>66100/53440</f>
        <v>1.2369011976047903</v>
      </c>
      <c r="R438" s="25">
        <v>76.584405051558335</v>
      </c>
      <c r="S438" s="25">
        <v>0</v>
      </c>
    </row>
    <row r="439" spans="1:19" x14ac:dyDescent="0.25">
      <c r="A439" s="31" t="s">
        <v>34</v>
      </c>
      <c r="B439" s="26" t="s">
        <v>35</v>
      </c>
      <c r="C439" s="26">
        <v>1</v>
      </c>
      <c r="D439" s="26" t="s">
        <v>23</v>
      </c>
      <c r="E439" s="25" t="s">
        <v>24</v>
      </c>
      <c r="F439" s="25" t="str">
        <f t="shared" si="42"/>
        <v>MT_1_0,1</v>
      </c>
      <c r="G439" s="25">
        <v>5</v>
      </c>
      <c r="H439" s="25">
        <f>39840/58730</f>
        <v>0.67835859015835176</v>
      </c>
      <c r="I439" s="25">
        <f>69563/86090</f>
        <v>0.8080264839121849</v>
      </c>
      <c r="J439" s="25">
        <f>104200/57630</f>
        <v>1.808086066284921</v>
      </c>
      <c r="K439" s="25">
        <f>157900/53440</f>
        <v>2.9547155688622753</v>
      </c>
      <c r="L439" s="25">
        <f t="shared" si="49"/>
        <v>0.12966789375383314</v>
      </c>
      <c r="M439" s="25">
        <f t="shared" si="51"/>
        <v>1.1297274761265692</v>
      </c>
      <c r="N439" s="25">
        <f t="shared" si="50"/>
        <v>2.2763569787039235</v>
      </c>
      <c r="O439" s="25">
        <v>1</v>
      </c>
      <c r="P439" s="25">
        <f>18970/57630</f>
        <v>0.32916883567586325</v>
      </c>
      <c r="Q439" s="25">
        <f>47380/53440</f>
        <v>0.88660179640718562</v>
      </c>
      <c r="R439" s="25">
        <v>30.006333122229261</v>
      </c>
      <c r="S439" s="25">
        <v>0</v>
      </c>
    </row>
    <row r="440" spans="1:19" x14ac:dyDescent="0.25">
      <c r="A440" s="31" t="s">
        <v>34</v>
      </c>
      <c r="B440" s="26" t="s">
        <v>35</v>
      </c>
      <c r="C440" s="26">
        <v>1</v>
      </c>
      <c r="D440" s="26" t="s">
        <v>23</v>
      </c>
      <c r="E440" s="25" t="s">
        <v>24</v>
      </c>
      <c r="F440" s="25" t="str">
        <f t="shared" si="42"/>
        <v>MT_1_0,1</v>
      </c>
      <c r="G440" s="25">
        <v>5</v>
      </c>
      <c r="H440" s="25">
        <f>40600/58730</f>
        <v>0.69129916567342076</v>
      </c>
      <c r="I440" s="25">
        <f>64910/86090</f>
        <v>0.75397839470321759</v>
      </c>
      <c r="J440" s="25">
        <f>47040/57630</f>
        <v>0.81624154086413325</v>
      </c>
      <c r="K440" s="25">
        <f>74980/53440</f>
        <v>1.403068862275449</v>
      </c>
      <c r="L440" s="25">
        <f t="shared" si="49"/>
        <v>6.2679229029796835E-2</v>
      </c>
      <c r="M440" s="25">
        <f t="shared" si="51"/>
        <v>0.1249423751907125</v>
      </c>
      <c r="N440" s="25">
        <f t="shared" si="50"/>
        <v>0.71176969660202827</v>
      </c>
      <c r="O440" s="25">
        <v>1</v>
      </c>
      <c r="P440" s="25">
        <f>21220/57630</f>
        <v>0.36821100121464517</v>
      </c>
      <c r="Q440" s="25">
        <f>51830/53440</f>
        <v>0.96987275449101795</v>
      </c>
      <c r="R440" s="25">
        <v>69.125100026673778</v>
      </c>
      <c r="S440" s="25">
        <v>0</v>
      </c>
    </row>
    <row r="441" spans="1:19" x14ac:dyDescent="0.25">
      <c r="A441" s="31" t="s">
        <v>34</v>
      </c>
      <c r="B441" s="26" t="s">
        <v>35</v>
      </c>
      <c r="C441" s="26">
        <v>1</v>
      </c>
      <c r="D441" s="26" t="s">
        <v>23</v>
      </c>
      <c r="E441" s="25" t="s">
        <v>24</v>
      </c>
      <c r="F441" s="25" t="str">
        <f t="shared" si="42"/>
        <v>MT_1_0,1</v>
      </c>
      <c r="G441" s="25">
        <v>5</v>
      </c>
      <c r="H441" s="25">
        <f>40980/58730</f>
        <v>0.6977694534309552</v>
      </c>
      <c r="I441" s="25">
        <f>61790/86090</f>
        <v>0.71773725171332325</v>
      </c>
      <c r="J441" s="25">
        <f>66550/57630</f>
        <v>1.1547804962693042</v>
      </c>
      <c r="K441" s="25">
        <f>175100/53440</f>
        <v>3.2765718562874251</v>
      </c>
      <c r="L441" s="25">
        <f t="shared" si="49"/>
        <v>1.9967798282368054E-2</v>
      </c>
      <c r="M441" s="25">
        <f t="shared" si="51"/>
        <v>0.45701104283834904</v>
      </c>
      <c r="N441" s="25">
        <f t="shared" si="50"/>
        <v>2.57880240285647</v>
      </c>
      <c r="O441" s="25">
        <v>1</v>
      </c>
      <c r="P441" s="25">
        <f>48235/57630</f>
        <v>0.83697726878361967</v>
      </c>
      <c r="Q441" s="25">
        <f>127100/53440</f>
        <v>2.3783682634730541</v>
      </c>
      <c r="R441" s="25">
        <v>72.587093089663057</v>
      </c>
      <c r="S441" s="25">
        <v>0</v>
      </c>
    </row>
    <row r="442" spans="1:19" x14ac:dyDescent="0.25">
      <c r="A442" s="31" t="s">
        <v>34</v>
      </c>
      <c r="B442" s="26" t="s">
        <v>35</v>
      </c>
      <c r="C442" s="26">
        <v>1</v>
      </c>
      <c r="D442" s="26" t="s">
        <v>23</v>
      </c>
      <c r="E442" s="25" t="s">
        <v>24</v>
      </c>
      <c r="F442" s="25" t="str">
        <f t="shared" si="42"/>
        <v>MT_1_0,1</v>
      </c>
      <c r="G442" s="25">
        <v>5</v>
      </c>
      <c r="H442" s="25">
        <f>41880/58730</f>
        <v>0.71309381917248427</v>
      </c>
      <c r="I442" s="25">
        <f>68750/86090</f>
        <v>0.7985828783830875</v>
      </c>
      <c r="J442" s="25">
        <f>121000/57630</f>
        <v>2.0996009023078259</v>
      </c>
      <c r="K442" s="25">
        <f>171400/53440</f>
        <v>3.2073353293413174</v>
      </c>
      <c r="L442" s="25">
        <f t="shared" si="49"/>
        <v>8.5489059210603235E-2</v>
      </c>
      <c r="M442" s="25">
        <f t="shared" si="51"/>
        <v>1.3865070831353417</v>
      </c>
      <c r="N442" s="25">
        <f t="shared" si="50"/>
        <v>2.4942415101688331</v>
      </c>
      <c r="O442" s="25">
        <v>1</v>
      </c>
      <c r="P442" s="25">
        <f>41280/57630</f>
        <v>0.71629359708485163</v>
      </c>
      <c r="Q442" s="25">
        <f>72780/53440</f>
        <v>1.3619011976047903</v>
      </c>
      <c r="R442" s="25">
        <v>42.462077012835472</v>
      </c>
      <c r="S442" s="25">
        <v>0</v>
      </c>
    </row>
    <row r="443" spans="1:19" x14ac:dyDescent="0.25">
      <c r="A443" s="31" t="s">
        <v>34</v>
      </c>
      <c r="B443" s="26" t="s">
        <v>35</v>
      </c>
      <c r="C443" s="26">
        <v>1</v>
      </c>
      <c r="D443" s="26" t="s">
        <v>23</v>
      </c>
      <c r="E443" s="25" t="s">
        <v>24</v>
      </c>
      <c r="F443" s="25" t="str">
        <f t="shared" si="42"/>
        <v>MT_1_0,1</v>
      </c>
      <c r="G443" s="25">
        <v>5</v>
      </c>
      <c r="H443" s="25">
        <f>43160/58730</f>
        <v>0.73488847267154778</v>
      </c>
      <c r="I443" s="25">
        <f>63730/86090</f>
        <v>0.74027180857242425</v>
      </c>
      <c r="J443" s="25">
        <f>71300/57630</f>
        <v>1.2372028457400659</v>
      </c>
      <c r="K443" s="25">
        <f>88750/53440</f>
        <v>1.6607410179640718</v>
      </c>
      <c r="L443" s="25">
        <f t="shared" si="49"/>
        <v>5.3833359008764736E-3</v>
      </c>
      <c r="M443" s="25">
        <f t="shared" si="51"/>
        <v>0.50231437306851812</v>
      </c>
      <c r="N443" s="25">
        <f t="shared" si="50"/>
        <v>0.92585254529252403</v>
      </c>
      <c r="O443" s="25">
        <v>1</v>
      </c>
      <c r="P443" s="25">
        <f>42460/58730</f>
        <v>0.72296952153924743</v>
      </c>
      <c r="Q443" s="25">
        <f>57840/53440</f>
        <v>1.0823353293413174</v>
      </c>
      <c r="R443" s="25">
        <v>65.171830985915491</v>
      </c>
      <c r="S443" s="25">
        <v>0</v>
      </c>
    </row>
    <row r="444" spans="1:19" x14ac:dyDescent="0.25">
      <c r="A444" s="31" t="s">
        <v>36</v>
      </c>
      <c r="B444" s="26" t="s">
        <v>35</v>
      </c>
      <c r="C444" s="26">
        <v>1</v>
      </c>
      <c r="D444" s="26" t="s">
        <v>23</v>
      </c>
      <c r="E444" s="25" t="s">
        <v>24</v>
      </c>
      <c r="F444" s="25" t="str">
        <f t="shared" si="42"/>
        <v>MT_1_0,1</v>
      </c>
      <c r="G444" s="25">
        <v>2</v>
      </c>
      <c r="H444" s="25">
        <f>11010/68400</f>
        <v>0.16096491228070176</v>
      </c>
      <c r="I444" s="25">
        <f>508.1/980</f>
        <v>0.5184693877551021</v>
      </c>
      <c r="J444" s="25">
        <f>28830/54000</f>
        <v>0.53388888888888886</v>
      </c>
      <c r="K444" s="25">
        <f>118400/56300</f>
        <v>2.1030195381882772</v>
      </c>
      <c r="L444" s="25">
        <f t="shared" si="49"/>
        <v>0.35750447547440034</v>
      </c>
      <c r="M444" s="25">
        <f t="shared" si="51"/>
        <v>0.3729239766081871</v>
      </c>
      <c r="N444" s="25">
        <f t="shared" si="50"/>
        <v>1.9420546259075755</v>
      </c>
      <c r="O444" s="25">
        <v>0</v>
      </c>
    </row>
    <row r="445" spans="1:19" x14ac:dyDescent="0.25">
      <c r="A445" s="31" t="s">
        <v>36</v>
      </c>
      <c r="B445" s="26" t="s">
        <v>35</v>
      </c>
      <c r="C445" s="26">
        <v>1</v>
      </c>
      <c r="D445" s="26" t="s">
        <v>23</v>
      </c>
      <c r="E445" s="25" t="s">
        <v>24</v>
      </c>
      <c r="F445" s="25" t="str">
        <f t="shared" si="42"/>
        <v>MT_1_0,1</v>
      </c>
      <c r="G445" s="25">
        <v>2</v>
      </c>
      <c r="H445" s="25">
        <f>13480/68400</f>
        <v>0.19707602339181288</v>
      </c>
      <c r="I445" s="25">
        <f>556.1/980</f>
        <v>0.56744897959183671</v>
      </c>
      <c r="J445" s="25">
        <f>60930/54000</f>
        <v>1.1283333333333334</v>
      </c>
      <c r="L445" s="25">
        <f t="shared" si="49"/>
        <v>0.37037295620002386</v>
      </c>
      <c r="M445" s="25">
        <f t="shared" si="51"/>
        <v>0.93125730994152056</v>
      </c>
      <c r="O445" s="25">
        <v>0</v>
      </c>
    </row>
    <row r="446" spans="1:19" x14ac:dyDescent="0.25">
      <c r="A446" s="31" t="s">
        <v>36</v>
      </c>
      <c r="B446" s="26" t="s">
        <v>35</v>
      </c>
      <c r="C446" s="26">
        <v>1</v>
      </c>
      <c r="D446" s="26" t="s">
        <v>23</v>
      </c>
      <c r="E446" s="25" t="s">
        <v>24</v>
      </c>
      <c r="F446" s="25" t="str">
        <f t="shared" si="42"/>
        <v>MT_1_0,1</v>
      </c>
      <c r="G446" s="25">
        <v>2</v>
      </c>
      <c r="H446" s="25">
        <f>20160/68400</f>
        <v>0.29473684210526313</v>
      </c>
      <c r="I446" s="25">
        <f>882.5/980</f>
        <v>0.90051020408163263</v>
      </c>
      <c r="J446" s="25">
        <f>129400/54000</f>
        <v>2.3962962962962964</v>
      </c>
      <c r="K446" s="25">
        <f>180800/56300</f>
        <v>3.2113676731793963</v>
      </c>
      <c r="L446" s="25">
        <f t="shared" si="49"/>
        <v>0.60577336197636944</v>
      </c>
      <c r="M446" s="25">
        <f t="shared" si="51"/>
        <v>2.1015594541910332</v>
      </c>
      <c r="N446" s="25">
        <f t="shared" ref="N446:N451" si="52">K446-H446</f>
        <v>2.9166308310741331</v>
      </c>
      <c r="O446" s="25">
        <v>0</v>
      </c>
    </row>
    <row r="447" spans="1:19" x14ac:dyDescent="0.25">
      <c r="A447" s="31" t="s">
        <v>34</v>
      </c>
      <c r="B447" s="26" t="s">
        <v>35</v>
      </c>
      <c r="C447" s="26">
        <v>1</v>
      </c>
      <c r="D447" s="26" t="s">
        <v>23</v>
      </c>
      <c r="E447" s="25" t="s">
        <v>24</v>
      </c>
      <c r="F447" s="25" t="str">
        <f t="shared" si="42"/>
        <v>MT_1_0,1</v>
      </c>
      <c r="G447" s="25">
        <v>3</v>
      </c>
      <c r="H447" s="25">
        <f>27000/58730</f>
        <v>0.45973097224587095</v>
      </c>
      <c r="I447" s="25">
        <f>41130/86090</f>
        <v>0.47775583691485657</v>
      </c>
      <c r="J447" s="25">
        <f>58280/57630</f>
        <v>1.0112788478223147</v>
      </c>
      <c r="K447" s="25">
        <f>55880/53440</f>
        <v>1.0456586826347305</v>
      </c>
      <c r="L447" s="25">
        <f t="shared" si="49"/>
        <v>1.8024864668985618E-2</v>
      </c>
      <c r="M447" s="25">
        <f t="shared" si="51"/>
        <v>0.5515478755764438</v>
      </c>
      <c r="N447" s="25">
        <f t="shared" si="52"/>
        <v>0.5859277103888596</v>
      </c>
      <c r="O447" s="25">
        <v>0</v>
      </c>
    </row>
    <row r="448" spans="1:19" x14ac:dyDescent="0.25">
      <c r="A448" s="31" t="s">
        <v>36</v>
      </c>
      <c r="B448" s="26" t="s">
        <v>35</v>
      </c>
      <c r="C448" s="26">
        <v>1</v>
      </c>
      <c r="D448" s="26" t="s">
        <v>23</v>
      </c>
      <c r="E448" s="25" t="s">
        <v>24</v>
      </c>
      <c r="F448" s="25" t="str">
        <f t="shared" si="42"/>
        <v>MT_1_0,1</v>
      </c>
      <c r="G448" s="25">
        <v>4</v>
      </c>
      <c r="H448" s="25">
        <f>33740/68400</f>
        <v>0.49327485380116959</v>
      </c>
      <c r="I448" s="25">
        <f>834.5/980</f>
        <v>0.85153061224489801</v>
      </c>
      <c r="J448" s="25">
        <f>60110/54000</f>
        <v>1.1131481481481482</v>
      </c>
      <c r="K448" s="25">
        <f>99230/56300</f>
        <v>1.7625222024866785</v>
      </c>
      <c r="L448" s="25">
        <f t="shared" si="49"/>
        <v>0.35825575844372842</v>
      </c>
      <c r="M448" s="25">
        <f t="shared" si="51"/>
        <v>0.61987329434697869</v>
      </c>
      <c r="N448" s="25">
        <f t="shared" si="52"/>
        <v>1.2692473486855089</v>
      </c>
      <c r="O448" s="25">
        <v>0</v>
      </c>
    </row>
    <row r="449" spans="1:20" x14ac:dyDescent="0.25">
      <c r="A449" s="31" t="s">
        <v>36</v>
      </c>
      <c r="B449" s="26" t="s">
        <v>35</v>
      </c>
      <c r="C449" s="26">
        <v>1</v>
      </c>
      <c r="D449" s="26" t="s">
        <v>23</v>
      </c>
      <c r="E449" s="25" t="s">
        <v>24</v>
      </c>
      <c r="F449" s="25" t="str">
        <f t="shared" si="42"/>
        <v>MT_1_0,1</v>
      </c>
      <c r="G449" s="25">
        <v>4</v>
      </c>
      <c r="H449" s="25">
        <f>34060/68400</f>
        <v>0.49795321637426898</v>
      </c>
      <c r="I449" s="25">
        <f>1021/980</f>
        <v>1.0418367346938775</v>
      </c>
      <c r="J449" s="25">
        <f>131800/54000</f>
        <v>2.4407407407407407</v>
      </c>
      <c r="K449" s="25">
        <f>170200/56300</f>
        <v>3.0230905861456483</v>
      </c>
      <c r="L449" s="25">
        <f t="shared" si="49"/>
        <v>0.54388351831960846</v>
      </c>
      <c r="M449" s="25">
        <f t="shared" si="51"/>
        <v>1.9427875243664716</v>
      </c>
      <c r="N449" s="25">
        <f t="shared" si="52"/>
        <v>2.5251373697713793</v>
      </c>
      <c r="O449" s="25">
        <v>0</v>
      </c>
    </row>
    <row r="450" spans="1:20" x14ac:dyDescent="0.25">
      <c r="A450" s="31" t="s">
        <v>36</v>
      </c>
      <c r="B450" s="26" t="s">
        <v>35</v>
      </c>
      <c r="C450" s="26">
        <v>1</v>
      </c>
      <c r="D450" s="26" t="s">
        <v>23</v>
      </c>
      <c r="E450" s="25" t="s">
        <v>24</v>
      </c>
      <c r="F450" s="25" t="str">
        <f t="shared" ref="F450:F513" si="53">CONCATENATE(B450,"_",E450)</f>
        <v>MT_1_0,1</v>
      </c>
      <c r="G450" s="25">
        <v>4</v>
      </c>
      <c r="H450" s="25">
        <f>34310/68400</f>
        <v>0.50160818713450295</v>
      </c>
      <c r="I450" s="25">
        <f>3594/6980</f>
        <v>0.51489971346704866</v>
      </c>
      <c r="J450" s="25">
        <f>143900/54000</f>
        <v>2.664814814814815</v>
      </c>
      <c r="K450" s="25">
        <f>169800/56300</f>
        <v>3.0159857904085259</v>
      </c>
      <c r="L450" s="25">
        <f t="shared" si="49"/>
        <v>1.3291526332545711E-2</v>
      </c>
      <c r="M450" s="25">
        <f t="shared" si="51"/>
        <v>2.1632066276803119</v>
      </c>
      <c r="N450" s="25">
        <f t="shared" si="52"/>
        <v>2.5143776032740228</v>
      </c>
      <c r="O450" s="25">
        <v>0</v>
      </c>
    </row>
    <row r="451" spans="1:20" s="27" customFormat="1" ht="15.75" thickBot="1" x14ac:dyDescent="0.3">
      <c r="A451" s="30" t="s">
        <v>36</v>
      </c>
      <c r="B451" s="29" t="s">
        <v>35</v>
      </c>
      <c r="C451" s="29">
        <v>1</v>
      </c>
      <c r="D451" s="29" t="s">
        <v>23</v>
      </c>
      <c r="E451" s="28" t="s">
        <v>24</v>
      </c>
      <c r="F451" s="28" t="str">
        <f t="shared" si="53"/>
        <v>MT_1_0,1</v>
      </c>
      <c r="G451" s="28">
        <v>4</v>
      </c>
      <c r="H451" s="28">
        <f>40590/68400</f>
        <v>0.59342105263157896</v>
      </c>
      <c r="I451" s="28">
        <f>872.6/980</f>
        <v>0.89040816326530614</v>
      </c>
      <c r="J451" s="28">
        <f>92040/54000</f>
        <v>1.7044444444444444</v>
      </c>
      <c r="K451" s="28">
        <f>173800/56300</f>
        <v>3.0870337477797514</v>
      </c>
      <c r="L451" s="28">
        <f t="shared" si="49"/>
        <v>0.29698711063372718</v>
      </c>
      <c r="M451" s="28">
        <f t="shared" si="51"/>
        <v>1.1110233918128656</v>
      </c>
      <c r="N451" s="28">
        <f t="shared" si="52"/>
        <v>2.4936126951481725</v>
      </c>
      <c r="O451" s="28">
        <v>0</v>
      </c>
      <c r="P451" s="28"/>
      <c r="Q451" s="28"/>
      <c r="R451" s="28"/>
      <c r="S451" s="28"/>
      <c r="T451" s="28"/>
    </row>
    <row r="452" spans="1:20" s="32" customFormat="1" x14ac:dyDescent="0.25">
      <c r="A452" s="35" t="s">
        <v>34</v>
      </c>
      <c r="B452" s="34" t="s">
        <v>35</v>
      </c>
      <c r="C452" s="34">
        <v>1</v>
      </c>
      <c r="D452" s="34" t="s">
        <v>26</v>
      </c>
      <c r="E452" s="33" t="s">
        <v>27</v>
      </c>
      <c r="F452" s="33" t="str">
        <f t="shared" si="53"/>
        <v>MT_1_0,5</v>
      </c>
      <c r="G452" s="33">
        <v>6</v>
      </c>
      <c r="H452" s="33">
        <f>50660/58730</f>
        <v>0.862591520517623</v>
      </c>
      <c r="I452" s="33">
        <f>90330/86090</f>
        <v>1.0492507840631897</v>
      </c>
      <c r="J452" s="33">
        <f>65990/54310</f>
        <v>1.2150616829313201</v>
      </c>
      <c r="K452" s="33"/>
      <c r="L452" s="33">
        <f t="shared" si="49"/>
        <v>0.18665926354556672</v>
      </c>
      <c r="M452" s="33">
        <f t="shared" si="51"/>
        <v>0.35247016241369711</v>
      </c>
      <c r="N452" s="33"/>
      <c r="O452" s="33">
        <v>1</v>
      </c>
      <c r="P452" s="33"/>
      <c r="Q452" s="33"/>
      <c r="R452" s="33"/>
      <c r="S452" s="33">
        <v>1</v>
      </c>
      <c r="T452" s="33">
        <v>6</v>
      </c>
    </row>
    <row r="453" spans="1:20" x14ac:dyDescent="0.25">
      <c r="A453" s="31" t="s">
        <v>34</v>
      </c>
      <c r="B453" s="26" t="s">
        <v>35</v>
      </c>
      <c r="C453" s="26">
        <v>1</v>
      </c>
      <c r="D453" s="26" t="s">
        <v>26</v>
      </c>
      <c r="E453" s="25" t="s">
        <v>27</v>
      </c>
      <c r="F453" s="25" t="str">
        <f t="shared" si="53"/>
        <v>MT_1_0,5</v>
      </c>
      <c r="G453" s="25">
        <v>5</v>
      </c>
      <c r="H453" s="25">
        <f>39890/58730</f>
        <v>0.67920994381065891</v>
      </c>
      <c r="I453" s="25">
        <f>69242/86090</f>
        <v>0.80429782785457082</v>
      </c>
      <c r="J453" s="25">
        <f>77740/54310</f>
        <v>1.4314122629350028</v>
      </c>
      <c r="L453" s="25">
        <f t="shared" si="49"/>
        <v>0.12508788404391191</v>
      </c>
      <c r="M453" s="25">
        <f t="shared" si="51"/>
        <v>0.75220231912434388</v>
      </c>
      <c r="O453" s="25">
        <v>1</v>
      </c>
      <c r="S453" s="25">
        <v>1</v>
      </c>
      <c r="T453" s="25">
        <v>5</v>
      </c>
    </row>
    <row r="454" spans="1:20" x14ac:dyDescent="0.25">
      <c r="A454" s="31" t="s">
        <v>34</v>
      </c>
      <c r="B454" s="26" t="s">
        <v>35</v>
      </c>
      <c r="C454" s="26">
        <v>1</v>
      </c>
      <c r="D454" s="26" t="s">
        <v>26</v>
      </c>
      <c r="E454" s="25" t="s">
        <v>27</v>
      </c>
      <c r="F454" s="25" t="str">
        <f t="shared" si="53"/>
        <v>MT_1_0,5</v>
      </c>
      <c r="G454" s="25">
        <v>5</v>
      </c>
      <c r="H454" s="25">
        <f>39820/58730</f>
        <v>0.67801804869742888</v>
      </c>
      <c r="I454" s="25">
        <f>63770/86090</f>
        <v>0.74073643861075622</v>
      </c>
      <c r="J454" s="25">
        <f>84760/54310</f>
        <v>1.5606702264776284</v>
      </c>
      <c r="L454" s="25">
        <f t="shared" si="49"/>
        <v>6.2718389913327344E-2</v>
      </c>
      <c r="M454" s="25">
        <f t="shared" si="51"/>
        <v>0.88265217778019955</v>
      </c>
      <c r="O454" s="25">
        <v>1</v>
      </c>
      <c r="S454" s="25">
        <v>1</v>
      </c>
      <c r="T454" s="25">
        <v>4</v>
      </c>
    </row>
    <row r="455" spans="1:20" x14ac:dyDescent="0.25">
      <c r="A455" s="31" t="s">
        <v>34</v>
      </c>
      <c r="B455" s="26" t="s">
        <v>35</v>
      </c>
      <c r="C455" s="26">
        <v>1</v>
      </c>
      <c r="D455" s="26" t="s">
        <v>26</v>
      </c>
      <c r="E455" s="25" t="s">
        <v>27</v>
      </c>
      <c r="F455" s="25" t="str">
        <f t="shared" si="53"/>
        <v>MT_1_0,5</v>
      </c>
      <c r="G455" s="25">
        <v>4</v>
      </c>
      <c r="H455" s="25">
        <f>31650/58730</f>
        <v>0.53890686191043757</v>
      </c>
      <c r="I455" s="25">
        <f>66831/86090</f>
        <v>0.77629225229411081</v>
      </c>
      <c r="J455" s="25">
        <f>62470/54310</f>
        <v>1.1502485730068128</v>
      </c>
      <c r="L455" s="25">
        <f t="shared" si="49"/>
        <v>0.23738539038367323</v>
      </c>
      <c r="M455" s="25">
        <f t="shared" si="51"/>
        <v>0.61134171109637525</v>
      </c>
      <c r="O455" s="25">
        <v>1</v>
      </c>
      <c r="S455" s="25">
        <v>1</v>
      </c>
      <c r="T455" s="25">
        <v>3</v>
      </c>
    </row>
    <row r="456" spans="1:20" x14ac:dyDescent="0.25">
      <c r="A456" s="31" t="s">
        <v>34</v>
      </c>
      <c r="B456" s="26" t="s">
        <v>35</v>
      </c>
      <c r="C456" s="26">
        <v>1</v>
      </c>
      <c r="D456" s="26" t="s">
        <v>26</v>
      </c>
      <c r="E456" s="25" t="s">
        <v>27</v>
      </c>
      <c r="F456" s="25" t="str">
        <f t="shared" si="53"/>
        <v>MT_1_0,5</v>
      </c>
      <c r="G456" s="25">
        <v>3</v>
      </c>
      <c r="H456" s="25">
        <f>18500/58730</f>
        <v>0.3150008513536523</v>
      </c>
      <c r="I456" s="25">
        <f>66830/86090</f>
        <v>0.77628063654315249</v>
      </c>
      <c r="J456" s="25">
        <f>81760/54310</f>
        <v>1.5054317805192414</v>
      </c>
      <c r="L456" s="25">
        <f t="shared" ref="L456:L487" si="54">I456-H456</f>
        <v>0.46127978518950019</v>
      </c>
      <c r="M456" s="25">
        <f t="shared" si="51"/>
        <v>1.190430929165589</v>
      </c>
      <c r="O456" s="25">
        <v>1</v>
      </c>
      <c r="S456" s="25">
        <v>0</v>
      </c>
    </row>
    <row r="457" spans="1:20" x14ac:dyDescent="0.25">
      <c r="A457" s="31" t="s">
        <v>34</v>
      </c>
      <c r="B457" s="26" t="s">
        <v>35</v>
      </c>
      <c r="C457" s="26">
        <v>1</v>
      </c>
      <c r="D457" s="26" t="s">
        <v>26</v>
      </c>
      <c r="E457" s="25" t="s">
        <v>27</v>
      </c>
      <c r="F457" s="25" t="str">
        <f t="shared" si="53"/>
        <v>MT_1_0,5</v>
      </c>
      <c r="G457" s="25">
        <v>3</v>
      </c>
      <c r="H457" s="25">
        <f>20820/58730</f>
        <v>0.35450366082070495</v>
      </c>
      <c r="I457" s="25">
        <f>32550/54310</f>
        <v>0.59933713864849936</v>
      </c>
      <c r="J457" s="25">
        <f>58640/54310</f>
        <v>1.0797274903332719</v>
      </c>
      <c r="L457" s="25">
        <f t="shared" si="54"/>
        <v>0.24483347782779441</v>
      </c>
      <c r="M457" s="25">
        <f t="shared" si="51"/>
        <v>0.72522382951256692</v>
      </c>
      <c r="O457" s="25">
        <v>1</v>
      </c>
      <c r="S457" s="25">
        <v>0</v>
      </c>
    </row>
    <row r="458" spans="1:20" x14ac:dyDescent="0.25">
      <c r="A458" s="31" t="s">
        <v>34</v>
      </c>
      <c r="B458" s="26" t="s">
        <v>35</v>
      </c>
      <c r="C458" s="26">
        <v>1</v>
      </c>
      <c r="D458" s="26" t="s">
        <v>26</v>
      </c>
      <c r="E458" s="25" t="s">
        <v>27</v>
      </c>
      <c r="F458" s="25" t="str">
        <f t="shared" si="53"/>
        <v>MT_1_0,5</v>
      </c>
      <c r="G458" s="25">
        <v>3</v>
      </c>
      <c r="H458" s="25">
        <f>22800/58730</f>
        <v>0.3882172654520688</v>
      </c>
      <c r="I458" s="25">
        <f>39700/58730</f>
        <v>0.67597479993189169</v>
      </c>
      <c r="J458" s="25">
        <f>46480/54310</f>
        <v>0.85582765604860989</v>
      </c>
      <c r="L458" s="25">
        <f t="shared" si="54"/>
        <v>0.28775753447982289</v>
      </c>
      <c r="M458" s="25">
        <f t="shared" si="51"/>
        <v>0.46761039059654108</v>
      </c>
      <c r="O458" s="25">
        <v>1</v>
      </c>
      <c r="S458" s="25">
        <v>0</v>
      </c>
    </row>
    <row r="459" spans="1:20" x14ac:dyDescent="0.25">
      <c r="A459" s="31" t="s">
        <v>34</v>
      </c>
      <c r="B459" s="26" t="s">
        <v>35</v>
      </c>
      <c r="C459" s="26">
        <v>1</v>
      </c>
      <c r="D459" s="26" t="s">
        <v>26</v>
      </c>
      <c r="E459" s="25" t="s">
        <v>27</v>
      </c>
      <c r="F459" s="25" t="str">
        <f t="shared" si="53"/>
        <v>MT_1_0,5</v>
      </c>
      <c r="G459" s="25">
        <v>4</v>
      </c>
      <c r="H459" s="25">
        <f>29540/58730</f>
        <v>0.50297973778307514</v>
      </c>
      <c r="I459" s="25">
        <f>75330/86090</f>
        <v>0.87501451968869792</v>
      </c>
      <c r="J459" s="25">
        <f>61630/54310</f>
        <v>1.1347818081384644</v>
      </c>
      <c r="L459" s="25">
        <f t="shared" si="54"/>
        <v>0.37203478190562278</v>
      </c>
      <c r="M459" s="25">
        <f t="shared" si="51"/>
        <v>0.63180207035538927</v>
      </c>
      <c r="O459" s="25">
        <v>1</v>
      </c>
      <c r="S459" s="25">
        <v>0</v>
      </c>
    </row>
    <row r="460" spans="1:20" x14ac:dyDescent="0.25">
      <c r="A460" s="31" t="s">
        <v>34</v>
      </c>
      <c r="B460" s="26" t="s">
        <v>35</v>
      </c>
      <c r="C460" s="26">
        <v>1</v>
      </c>
      <c r="D460" s="26" t="s">
        <v>26</v>
      </c>
      <c r="E460" s="25" t="s">
        <v>27</v>
      </c>
      <c r="F460" s="25" t="str">
        <f t="shared" si="53"/>
        <v>MT_1_0,5</v>
      </c>
      <c r="G460" s="25">
        <v>4</v>
      </c>
      <c r="H460" s="25">
        <f>30720/58730</f>
        <v>0.52307168397752424</v>
      </c>
      <c r="I460" s="25">
        <f>56550/54310</f>
        <v>1.0412447063155956</v>
      </c>
      <c r="J460" s="25">
        <f>72500/54310</f>
        <v>1.3349291106610202</v>
      </c>
      <c r="L460" s="25">
        <f t="shared" si="54"/>
        <v>0.51817302233807139</v>
      </c>
      <c r="M460" s="25">
        <f t="shared" si="51"/>
        <v>0.81185742668349592</v>
      </c>
      <c r="O460" s="25">
        <v>1</v>
      </c>
      <c r="S460" s="25">
        <v>0</v>
      </c>
    </row>
    <row r="461" spans="1:20" x14ac:dyDescent="0.25">
      <c r="A461" s="31" t="s">
        <v>34</v>
      </c>
      <c r="B461" s="26" t="s">
        <v>35</v>
      </c>
      <c r="C461" s="26">
        <v>1</v>
      </c>
      <c r="D461" s="26" t="s">
        <v>26</v>
      </c>
      <c r="E461" s="25" t="s">
        <v>27</v>
      </c>
      <c r="F461" s="25" t="str">
        <f t="shared" si="53"/>
        <v>MT_1_0,5</v>
      </c>
      <c r="G461" s="25">
        <v>5</v>
      </c>
      <c r="H461" s="25">
        <f>40200/58730</f>
        <v>0.68448833645496343</v>
      </c>
      <c r="I461" s="25">
        <f>49700/58730</f>
        <v>0.8462455303933254</v>
      </c>
      <c r="J461" s="25">
        <f>76390/54310</f>
        <v>1.4065549622537286</v>
      </c>
      <c r="L461" s="25">
        <f t="shared" si="54"/>
        <v>0.16175719393836197</v>
      </c>
      <c r="M461" s="25">
        <f t="shared" si="51"/>
        <v>0.72206662579876513</v>
      </c>
      <c r="O461" s="25">
        <v>1</v>
      </c>
      <c r="S461" s="25">
        <v>0</v>
      </c>
    </row>
    <row r="462" spans="1:20" x14ac:dyDescent="0.25">
      <c r="A462" s="31" t="s">
        <v>34</v>
      </c>
      <c r="B462" s="26" t="s">
        <v>35</v>
      </c>
      <c r="C462" s="26">
        <v>1</v>
      </c>
      <c r="D462" s="26" t="s">
        <v>26</v>
      </c>
      <c r="E462" s="25" t="s">
        <v>27</v>
      </c>
      <c r="F462" s="25" t="str">
        <f t="shared" si="53"/>
        <v>MT_1_0,5</v>
      </c>
      <c r="G462" s="25">
        <v>5</v>
      </c>
      <c r="H462" s="25">
        <f>42670/58730</f>
        <v>0.72654520687893753</v>
      </c>
      <c r="I462" s="25">
        <f>64310/86090</f>
        <v>0.74700894412823793</v>
      </c>
      <c r="J462" s="25">
        <f>72320/54310</f>
        <v>1.3316148039035169</v>
      </c>
      <c r="L462" s="25">
        <f t="shared" si="54"/>
        <v>2.0463737249300396E-2</v>
      </c>
      <c r="M462" s="25">
        <f t="shared" si="51"/>
        <v>0.60506959702457941</v>
      </c>
      <c r="O462" s="25">
        <v>1</v>
      </c>
      <c r="S462" s="25">
        <v>0</v>
      </c>
    </row>
    <row r="463" spans="1:20" x14ac:dyDescent="0.25">
      <c r="A463" s="31" t="s">
        <v>34</v>
      </c>
      <c r="B463" s="26" t="s">
        <v>35</v>
      </c>
      <c r="C463" s="26">
        <v>1</v>
      </c>
      <c r="D463" s="26" t="s">
        <v>26</v>
      </c>
      <c r="E463" s="25" t="s">
        <v>27</v>
      </c>
      <c r="F463" s="25" t="str">
        <f t="shared" si="53"/>
        <v>MT_1_0,5</v>
      </c>
      <c r="G463" s="25">
        <v>6</v>
      </c>
      <c r="H463" s="25">
        <f>52310/58730</f>
        <v>0.89068619104375957</v>
      </c>
      <c r="I463" s="25">
        <f>69700/58730</f>
        <v>1.1867869913161928</v>
      </c>
      <c r="J463" s="25">
        <f>122700/54310</f>
        <v>2.25925243969803</v>
      </c>
      <c r="L463" s="25">
        <f t="shared" si="54"/>
        <v>0.29610080027243324</v>
      </c>
      <c r="M463" s="25">
        <f t="shared" si="51"/>
        <v>1.3685662486542705</v>
      </c>
      <c r="O463" s="25">
        <v>1</v>
      </c>
      <c r="S463" s="25">
        <v>0</v>
      </c>
    </row>
    <row r="464" spans="1:20" x14ac:dyDescent="0.25">
      <c r="A464" s="31" t="s">
        <v>34</v>
      </c>
      <c r="B464" s="26" t="s">
        <v>35</v>
      </c>
      <c r="C464" s="26">
        <v>1</v>
      </c>
      <c r="D464" s="26" t="s">
        <v>26</v>
      </c>
      <c r="E464" s="25" t="s">
        <v>27</v>
      </c>
      <c r="F464" s="25" t="str">
        <f t="shared" si="53"/>
        <v>MT_1_0,5</v>
      </c>
      <c r="G464" s="25">
        <v>6</v>
      </c>
      <c r="H464" s="25">
        <f>52790/58730</f>
        <v>0.89885918610590843</v>
      </c>
      <c r="I464" s="25">
        <f>86830/86090</f>
        <v>1.0085956557091416</v>
      </c>
      <c r="J464" s="25">
        <f>73270/64310</f>
        <v>1.1393251438345513</v>
      </c>
      <c r="L464" s="25">
        <f t="shared" si="54"/>
        <v>0.10973646960323313</v>
      </c>
      <c r="M464" s="25">
        <f t="shared" si="51"/>
        <v>0.24046595772864288</v>
      </c>
      <c r="O464" s="25">
        <v>1</v>
      </c>
      <c r="S464" s="25">
        <v>0</v>
      </c>
    </row>
    <row r="465" spans="1:20" x14ac:dyDescent="0.25">
      <c r="A465" s="31" t="s">
        <v>34</v>
      </c>
      <c r="B465" s="26" t="s">
        <v>35</v>
      </c>
      <c r="C465" s="26">
        <v>1</v>
      </c>
      <c r="D465" s="26" t="s">
        <v>26</v>
      </c>
      <c r="E465" s="25" t="s">
        <v>27</v>
      </c>
      <c r="F465" s="25" t="str">
        <f t="shared" si="53"/>
        <v>MT_1_0,5</v>
      </c>
      <c r="G465" s="25">
        <v>6</v>
      </c>
      <c r="H465" s="25">
        <f>57060/58730</f>
        <v>0.97156478801294055</v>
      </c>
      <c r="I465" s="25">
        <f>62550/54310</f>
        <v>1.1517215982323696</v>
      </c>
      <c r="J465" s="25">
        <f>110000/54310</f>
        <v>2.0254096851408581</v>
      </c>
      <c r="L465" s="25">
        <f t="shared" si="54"/>
        <v>0.18015681021942909</v>
      </c>
      <c r="M465" s="25">
        <f t="shared" si="51"/>
        <v>1.0538448971279175</v>
      </c>
      <c r="O465" s="25">
        <v>1</v>
      </c>
      <c r="S465" s="25">
        <v>0</v>
      </c>
    </row>
    <row r="466" spans="1:20" s="27" customFormat="1" ht="15.75" thickBot="1" x14ac:dyDescent="0.3">
      <c r="A466" s="30" t="s">
        <v>34</v>
      </c>
      <c r="B466" s="29" t="s">
        <v>35</v>
      </c>
      <c r="C466" s="29">
        <v>1</v>
      </c>
      <c r="D466" s="29" t="s">
        <v>26</v>
      </c>
      <c r="E466" s="28" t="s">
        <v>27</v>
      </c>
      <c r="F466" s="28" t="str">
        <f t="shared" si="53"/>
        <v>MT_1_0,5</v>
      </c>
      <c r="G466" s="28">
        <v>3</v>
      </c>
      <c r="H466" s="28">
        <f>21350/58730</f>
        <v>0.3635280095351609</v>
      </c>
      <c r="I466" s="28">
        <f>65831/86090</f>
        <v>0.76467650133581133</v>
      </c>
      <c r="J466" s="28">
        <f>53120/54310</f>
        <v>0.97808874976983984</v>
      </c>
      <c r="K466" s="28"/>
      <c r="L466" s="28">
        <f t="shared" si="54"/>
        <v>0.40114849180065043</v>
      </c>
      <c r="M466" s="28">
        <f t="shared" si="51"/>
        <v>0.61456074023467888</v>
      </c>
      <c r="N466" s="28"/>
      <c r="O466" s="28">
        <v>0</v>
      </c>
      <c r="P466" s="28"/>
      <c r="Q466" s="28"/>
      <c r="R466" s="28"/>
      <c r="S466" s="28"/>
      <c r="T466" s="28"/>
    </row>
    <row r="467" spans="1:20" s="32" customFormat="1" x14ac:dyDescent="0.25">
      <c r="A467" s="35" t="s">
        <v>34</v>
      </c>
      <c r="B467" s="34" t="s">
        <v>35</v>
      </c>
      <c r="C467" s="34">
        <v>2</v>
      </c>
      <c r="D467" s="34" t="s">
        <v>20</v>
      </c>
      <c r="E467" s="33" t="s">
        <v>28</v>
      </c>
      <c r="F467" s="33" t="str">
        <f t="shared" si="53"/>
        <v>MT_2_0</v>
      </c>
      <c r="G467" s="33">
        <v>2</v>
      </c>
      <c r="H467" s="33">
        <f>15610/86090</f>
        <v>0.18132187245905448</v>
      </c>
      <c r="I467" s="33">
        <f>35080/58730</f>
        <v>0.59730972245870939</v>
      </c>
      <c r="J467" s="33">
        <f>71850/57630</f>
        <v>1.2467464862051014</v>
      </c>
      <c r="K467" s="33">
        <f>105000/53440</f>
        <v>1.9648203592814371</v>
      </c>
      <c r="L467" s="33">
        <f t="shared" si="54"/>
        <v>0.41598784999965488</v>
      </c>
      <c r="M467" s="33">
        <f t="shared" si="51"/>
        <v>1.065424613746047</v>
      </c>
      <c r="N467" s="33">
        <f>K467-H467</f>
        <v>1.7834984868223827</v>
      </c>
      <c r="O467" s="33">
        <v>1</v>
      </c>
      <c r="P467" s="33">
        <f>39190/58730</f>
        <v>0.66729099267835856</v>
      </c>
      <c r="Q467" s="33">
        <f>103600/53440</f>
        <v>1.938622754491018</v>
      </c>
      <c r="R467" s="33">
        <v>98.666666666666671</v>
      </c>
      <c r="S467" s="33">
        <v>0</v>
      </c>
      <c r="T467" s="33"/>
    </row>
    <row r="468" spans="1:20" x14ac:dyDescent="0.25">
      <c r="A468" s="31" t="s">
        <v>34</v>
      </c>
      <c r="B468" s="26" t="s">
        <v>35</v>
      </c>
      <c r="C468" s="26">
        <v>2</v>
      </c>
      <c r="D468" s="26" t="s">
        <v>20</v>
      </c>
      <c r="E468" s="25" t="s">
        <v>28</v>
      </c>
      <c r="F468" s="25" t="str">
        <f t="shared" si="53"/>
        <v>MT_2_0</v>
      </c>
      <c r="G468" s="25">
        <v>2</v>
      </c>
      <c r="H468" s="25">
        <f>15570/86090</f>
        <v>0.18085724242072249</v>
      </c>
      <c r="I468" s="25">
        <f>23580/57630</f>
        <v>0.40916189484643417</v>
      </c>
      <c r="J468" s="25">
        <f>29880/53440</f>
        <v>0.55913173652694614</v>
      </c>
      <c r="K468" s="25">
        <f>44190/58730</f>
        <v>0.75242635790907542</v>
      </c>
      <c r="L468" s="25">
        <f t="shared" si="54"/>
        <v>0.22830465242571168</v>
      </c>
      <c r="M468" s="25">
        <f t="shared" si="51"/>
        <v>0.37827449410622366</v>
      </c>
      <c r="N468" s="25">
        <f>K468-H468</f>
        <v>0.57156911548835287</v>
      </c>
      <c r="O468" s="25">
        <v>0</v>
      </c>
    </row>
    <row r="469" spans="1:20" x14ac:dyDescent="0.25">
      <c r="A469" s="31" t="s">
        <v>34</v>
      </c>
      <c r="B469" s="26" t="s">
        <v>35</v>
      </c>
      <c r="C469" s="26">
        <v>2</v>
      </c>
      <c r="D469" s="26" t="s">
        <v>20</v>
      </c>
      <c r="E469" s="25" t="s">
        <v>28</v>
      </c>
      <c r="F469" s="25" t="str">
        <f t="shared" si="53"/>
        <v>MT_2_0</v>
      </c>
      <c r="G469" s="25">
        <v>3</v>
      </c>
      <c r="H469" s="25">
        <f>18870/58730</f>
        <v>0.32130086838072536</v>
      </c>
      <c r="I469" s="25">
        <f>42910/57630</f>
        <v>0.74457747700850252</v>
      </c>
      <c r="J469" s="25">
        <f>49450/53440</f>
        <v>0.92533682634730541</v>
      </c>
      <c r="K469" s="25">
        <f>91440/86090</f>
        <v>1.0621442676269022</v>
      </c>
      <c r="L469" s="25">
        <f t="shared" si="54"/>
        <v>0.42327660862777716</v>
      </c>
      <c r="M469" s="25">
        <f t="shared" si="51"/>
        <v>0.60403595796658005</v>
      </c>
      <c r="N469" s="25">
        <f>K469-H469</f>
        <v>0.74084339924617681</v>
      </c>
      <c r="O469" s="25">
        <v>0</v>
      </c>
    </row>
    <row r="470" spans="1:20" x14ac:dyDescent="0.25">
      <c r="A470" s="31" t="s">
        <v>34</v>
      </c>
      <c r="B470" s="26" t="s">
        <v>35</v>
      </c>
      <c r="C470" s="26">
        <v>2</v>
      </c>
      <c r="D470" s="26" t="s">
        <v>20</v>
      </c>
      <c r="E470" s="25" t="s">
        <v>28</v>
      </c>
      <c r="F470" s="25" t="str">
        <f t="shared" si="53"/>
        <v>MT_2_0</v>
      </c>
      <c r="G470" s="25">
        <v>3</v>
      </c>
      <c r="H470" s="25">
        <f>29580/86090</f>
        <v>0.34359391334649786</v>
      </c>
      <c r="I470" s="25">
        <f>75260/58730</f>
        <v>1.2814575174527498</v>
      </c>
      <c r="J470" s="25">
        <f>87120/57630</f>
        <v>1.5117126496616347</v>
      </c>
      <c r="K470" s="25">
        <f>84960/53440</f>
        <v>1.5898203592814371</v>
      </c>
      <c r="L470" s="25">
        <f t="shared" si="54"/>
        <v>0.93786360410625202</v>
      </c>
      <c r="M470" s="25">
        <f t="shared" si="51"/>
        <v>1.1681187363151369</v>
      </c>
      <c r="N470" s="25">
        <f>K470-H470</f>
        <v>1.2462264459349393</v>
      </c>
      <c r="O470" s="25">
        <v>0</v>
      </c>
    </row>
    <row r="471" spans="1:20" x14ac:dyDescent="0.25">
      <c r="A471" s="31" t="s">
        <v>34</v>
      </c>
      <c r="B471" s="26" t="s">
        <v>35</v>
      </c>
      <c r="C471" s="26">
        <v>2</v>
      </c>
      <c r="D471" s="26" t="s">
        <v>20</v>
      </c>
      <c r="E471" s="25" t="s">
        <v>28</v>
      </c>
      <c r="F471" s="25" t="str">
        <f t="shared" si="53"/>
        <v>MT_2_0</v>
      </c>
      <c r="G471" s="25">
        <v>3</v>
      </c>
      <c r="H471" s="25">
        <f>20670/58730</f>
        <v>0.35194959986378344</v>
      </c>
      <c r="I471" s="25">
        <f>49280/86090</f>
        <v>0.57242420722499709</v>
      </c>
      <c r="L471" s="25">
        <f t="shared" si="54"/>
        <v>0.22047460736121366</v>
      </c>
      <c r="O471" s="25">
        <v>0</v>
      </c>
    </row>
    <row r="472" spans="1:20" x14ac:dyDescent="0.25">
      <c r="A472" s="31" t="s">
        <v>34</v>
      </c>
      <c r="B472" s="26" t="s">
        <v>35</v>
      </c>
      <c r="C472" s="26">
        <v>2</v>
      </c>
      <c r="D472" s="26" t="s">
        <v>20</v>
      </c>
      <c r="E472" s="25" t="s">
        <v>28</v>
      </c>
      <c r="F472" s="25" t="str">
        <f t="shared" si="53"/>
        <v>MT_2_0</v>
      </c>
      <c r="G472" s="25">
        <v>3</v>
      </c>
      <c r="H472" s="25">
        <f>21850/58730</f>
        <v>0.37204154605823259</v>
      </c>
      <c r="I472" s="25">
        <f>39320/57630</f>
        <v>0.68228353288217947</v>
      </c>
      <c r="J472" s="25">
        <f>60270/86090</f>
        <v>0.70008131025670806</v>
      </c>
      <c r="K472" s="25">
        <f>48130/53440</f>
        <v>0.90063622754491013</v>
      </c>
      <c r="L472" s="25">
        <f t="shared" si="54"/>
        <v>0.31024198682394688</v>
      </c>
      <c r="M472" s="25">
        <f>J472-H472</f>
        <v>0.32803976419847547</v>
      </c>
      <c r="N472" s="25">
        <f>K472-H472</f>
        <v>0.52859468148667754</v>
      </c>
      <c r="O472" s="25">
        <v>0</v>
      </c>
    </row>
    <row r="473" spans="1:20" x14ac:dyDescent="0.25">
      <c r="A473" s="31" t="s">
        <v>34</v>
      </c>
      <c r="B473" s="26" t="s">
        <v>35</v>
      </c>
      <c r="C473" s="26">
        <v>2</v>
      </c>
      <c r="D473" s="26" t="s">
        <v>20</v>
      </c>
      <c r="E473" s="25" t="s">
        <v>28</v>
      </c>
      <c r="F473" s="25" t="str">
        <f t="shared" si="53"/>
        <v>MT_2_0</v>
      </c>
      <c r="G473" s="25">
        <v>3</v>
      </c>
      <c r="H473" s="25">
        <f>33410/86090</f>
        <v>0.38808223951678478</v>
      </c>
      <c r="I473" s="25">
        <f>24590/57630</f>
        <v>0.42668748915495402</v>
      </c>
      <c r="J473" s="25">
        <f>26840/53440</f>
        <v>0.5022455089820359</v>
      </c>
      <c r="K473" s="25">
        <f>48080/58730</f>
        <v>0.8186616720585731</v>
      </c>
      <c r="L473" s="25">
        <f t="shared" si="54"/>
        <v>3.8605249638169248E-2</v>
      </c>
      <c r="M473" s="25">
        <f>J473-H473</f>
        <v>0.11416326946525113</v>
      </c>
      <c r="N473" s="25">
        <f>K473-H473</f>
        <v>0.43057943254178832</v>
      </c>
      <c r="O473" s="25">
        <v>0</v>
      </c>
    </row>
    <row r="474" spans="1:20" x14ac:dyDescent="0.25">
      <c r="A474" s="31" t="s">
        <v>34</v>
      </c>
      <c r="B474" s="26" t="s">
        <v>35</v>
      </c>
      <c r="C474" s="26">
        <v>2</v>
      </c>
      <c r="D474" s="26" t="s">
        <v>20</v>
      </c>
      <c r="E474" s="25" t="s">
        <v>28</v>
      </c>
      <c r="F474" s="25" t="str">
        <f t="shared" si="53"/>
        <v>MT_2_0</v>
      </c>
      <c r="G474" s="25">
        <v>3</v>
      </c>
      <c r="H474" s="25">
        <f>23480/58730</f>
        <v>0.39979567512344627</v>
      </c>
      <c r="I474" s="25">
        <f>39550/86090</f>
        <v>0.45940295040074342</v>
      </c>
      <c r="J474" s="25">
        <f>52020/57630</f>
        <v>0.90265486725663713</v>
      </c>
      <c r="K474" s="25">
        <f>50160/53440</f>
        <v>0.93862275449101795</v>
      </c>
      <c r="L474" s="25">
        <f t="shared" si="54"/>
        <v>5.9607275277297145E-2</v>
      </c>
      <c r="M474" s="25">
        <f>J474-H474</f>
        <v>0.50285919213319086</v>
      </c>
      <c r="N474" s="25">
        <f>K474-H474</f>
        <v>0.53882707936757168</v>
      </c>
      <c r="O474" s="25">
        <v>0</v>
      </c>
    </row>
    <row r="475" spans="1:20" x14ac:dyDescent="0.25">
      <c r="A475" s="31" t="s">
        <v>34</v>
      </c>
      <c r="B475" s="26" t="s">
        <v>35</v>
      </c>
      <c r="C475" s="26">
        <v>2</v>
      </c>
      <c r="D475" s="26" t="s">
        <v>20</v>
      </c>
      <c r="E475" s="25" t="s">
        <v>28</v>
      </c>
      <c r="F475" s="25" t="str">
        <f t="shared" si="53"/>
        <v>MT_2_0</v>
      </c>
      <c r="G475" s="25">
        <v>4</v>
      </c>
      <c r="H475" s="25">
        <f>42170/86090</f>
        <v>0.48983621791148796</v>
      </c>
      <c r="I475" s="25">
        <f>36540/57630</f>
        <v>0.63404476834981782</v>
      </c>
      <c r="J475" s="25">
        <f>41600/58730</f>
        <v>0.70832623871956413</v>
      </c>
      <c r="K475" s="25">
        <f>38420/53440</f>
        <v>0.71893712574850299</v>
      </c>
      <c r="L475" s="25">
        <f t="shared" si="54"/>
        <v>0.14420855043832986</v>
      </c>
      <c r="M475" s="25">
        <f>J475-H475</f>
        <v>0.21849002080807617</v>
      </c>
      <c r="N475" s="25">
        <f>K475-H475</f>
        <v>0.22910090783701503</v>
      </c>
      <c r="O475" s="25">
        <v>0</v>
      </c>
    </row>
    <row r="476" spans="1:20" x14ac:dyDescent="0.25">
      <c r="A476" s="31" t="s">
        <v>34</v>
      </c>
      <c r="B476" s="26" t="s">
        <v>35</v>
      </c>
      <c r="C476" s="26">
        <v>2</v>
      </c>
      <c r="D476" s="26" t="s">
        <v>20</v>
      </c>
      <c r="E476" s="25" t="s">
        <v>28</v>
      </c>
      <c r="F476" s="25" t="str">
        <f t="shared" si="53"/>
        <v>MT_2_0</v>
      </c>
      <c r="G476" s="25">
        <v>4</v>
      </c>
      <c r="H476" s="25">
        <f>32120/58730</f>
        <v>0.54690958624212493</v>
      </c>
      <c r="I476" s="25">
        <f>60370/86090</f>
        <v>0.70124288535253809</v>
      </c>
      <c r="J476" s="25">
        <f>26400/57630</f>
        <v>0.45809474232170744</v>
      </c>
      <c r="K476" s="25">
        <f>14140/53440</f>
        <v>0.26459580838323354</v>
      </c>
      <c r="L476" s="25">
        <f t="shared" si="54"/>
        <v>0.15433329911041316</v>
      </c>
      <c r="M476" s="25">
        <f>J476-H476</f>
        <v>-8.8814843920417497E-2</v>
      </c>
      <c r="N476" s="25">
        <f>K476-H476</f>
        <v>-0.28231377785889139</v>
      </c>
      <c r="O476" s="25">
        <v>0</v>
      </c>
    </row>
    <row r="477" spans="1:20" x14ac:dyDescent="0.25">
      <c r="A477" s="31" t="s">
        <v>34</v>
      </c>
      <c r="B477" s="26" t="s">
        <v>35</v>
      </c>
      <c r="C477" s="26">
        <v>2</v>
      </c>
      <c r="D477" s="26" t="s">
        <v>20</v>
      </c>
      <c r="E477" s="25" t="s">
        <v>28</v>
      </c>
      <c r="F477" s="25" t="str">
        <f t="shared" si="53"/>
        <v>MT_2_0</v>
      </c>
      <c r="G477" s="25">
        <v>4</v>
      </c>
      <c r="H477" s="25">
        <f>33300/58730</f>
        <v>0.56700153243657414</v>
      </c>
      <c r="I477" s="25">
        <f>60150/86090</f>
        <v>0.69868742014171215</v>
      </c>
      <c r="L477" s="25">
        <f t="shared" si="54"/>
        <v>0.13168588770513801</v>
      </c>
      <c r="O477" s="25">
        <v>0</v>
      </c>
    </row>
    <row r="478" spans="1:20" x14ac:dyDescent="0.25">
      <c r="A478" s="31" t="s">
        <v>34</v>
      </c>
      <c r="B478" s="26" t="s">
        <v>35</v>
      </c>
      <c r="C478" s="26">
        <v>2</v>
      </c>
      <c r="D478" s="26" t="s">
        <v>20</v>
      </c>
      <c r="E478" s="25" t="s">
        <v>28</v>
      </c>
      <c r="F478" s="25" t="str">
        <f t="shared" si="53"/>
        <v>MT_2_0</v>
      </c>
      <c r="G478" s="25">
        <v>4</v>
      </c>
      <c r="H478" s="25">
        <f>34430/58730</f>
        <v>0.58624212497871619</v>
      </c>
      <c r="I478" s="25">
        <f>59610/86090</f>
        <v>0.69241491462423044</v>
      </c>
      <c r="L478" s="25">
        <f t="shared" si="54"/>
        <v>0.10617278964551424</v>
      </c>
      <c r="O478" s="25">
        <v>0</v>
      </c>
    </row>
    <row r="479" spans="1:20" x14ac:dyDescent="0.25">
      <c r="A479" s="31" t="s">
        <v>34</v>
      </c>
      <c r="B479" s="26" t="s">
        <v>35</v>
      </c>
      <c r="C479" s="26">
        <v>2</v>
      </c>
      <c r="D479" s="26" t="s">
        <v>20</v>
      </c>
      <c r="E479" s="25" t="s">
        <v>28</v>
      </c>
      <c r="F479" s="25" t="str">
        <f t="shared" si="53"/>
        <v>MT_2_0</v>
      </c>
      <c r="G479" s="25">
        <v>4</v>
      </c>
      <c r="H479" s="25">
        <f>35020/58730</f>
        <v>0.59628809807594074</v>
      </c>
      <c r="I479" s="25">
        <f>51950/86090</f>
        <v>0.6034382622836566</v>
      </c>
      <c r="L479" s="25">
        <f t="shared" si="54"/>
        <v>7.1501642077158589E-3</v>
      </c>
      <c r="O479" s="25">
        <v>0</v>
      </c>
    </row>
    <row r="480" spans="1:20" x14ac:dyDescent="0.25">
      <c r="A480" s="31" t="s">
        <v>34</v>
      </c>
      <c r="B480" s="26" t="s">
        <v>35</v>
      </c>
      <c r="C480" s="26">
        <v>2</v>
      </c>
      <c r="D480" s="26" t="s">
        <v>20</v>
      </c>
      <c r="E480" s="25" t="s">
        <v>28</v>
      </c>
      <c r="F480" s="25" t="str">
        <f t="shared" si="53"/>
        <v>MT_2_0</v>
      </c>
      <c r="G480" s="25">
        <v>5</v>
      </c>
      <c r="H480" s="25">
        <f>39120/58730</f>
        <v>0.66609909756512853</v>
      </c>
      <c r="I480" s="25">
        <f>48310/86090</f>
        <v>0.56115692879544665</v>
      </c>
      <c r="L480" s="25">
        <f t="shared" si="54"/>
        <v>-0.10494216876968188</v>
      </c>
      <c r="O480" s="25">
        <v>0</v>
      </c>
    </row>
    <row r="481" spans="1:20" s="27" customFormat="1" ht="15.75" thickBot="1" x14ac:dyDescent="0.3">
      <c r="A481" s="30" t="s">
        <v>34</v>
      </c>
      <c r="B481" s="29" t="s">
        <v>35</v>
      </c>
      <c r="C481" s="29">
        <v>2</v>
      </c>
      <c r="D481" s="29" t="s">
        <v>20</v>
      </c>
      <c r="E481" s="28" t="s">
        <v>28</v>
      </c>
      <c r="F481" s="28" t="str">
        <f t="shared" si="53"/>
        <v>MT_2_0</v>
      </c>
      <c r="G481" s="28">
        <v>5</v>
      </c>
      <c r="H481" s="28">
        <f>41090/58730</f>
        <v>0.699642431466031</v>
      </c>
      <c r="I481" s="28">
        <f>60710/86090</f>
        <v>0.70519224067835984</v>
      </c>
      <c r="J481" s="28"/>
      <c r="K481" s="28"/>
      <c r="L481" s="28">
        <f t="shared" si="54"/>
        <v>5.5498092123288378E-3</v>
      </c>
      <c r="M481" s="28"/>
      <c r="N481" s="28"/>
      <c r="O481" s="28">
        <v>0</v>
      </c>
      <c r="P481" s="28"/>
      <c r="Q481" s="28"/>
      <c r="R481" s="28"/>
      <c r="S481" s="28"/>
      <c r="T481" s="28"/>
    </row>
    <row r="482" spans="1:20" s="32" customFormat="1" x14ac:dyDescent="0.25">
      <c r="A482" s="35" t="s">
        <v>34</v>
      </c>
      <c r="B482" s="34" t="s">
        <v>35</v>
      </c>
      <c r="C482" s="34">
        <v>2</v>
      </c>
      <c r="D482" s="34" t="s">
        <v>23</v>
      </c>
      <c r="E482" s="33" t="s">
        <v>29</v>
      </c>
      <c r="F482" s="33" t="str">
        <f t="shared" si="53"/>
        <v>MT_2_0,1</v>
      </c>
      <c r="G482" s="33">
        <v>4</v>
      </c>
      <c r="H482" s="33">
        <f>40800/86090</f>
        <v>0.4739226390986177</v>
      </c>
      <c r="I482" s="33">
        <f>57880/58730</f>
        <v>0.98552698791077809</v>
      </c>
      <c r="J482" s="33">
        <f>83160/53440</f>
        <v>1.5561377245508983</v>
      </c>
      <c r="K482" s="33">
        <f>69140/57630</f>
        <v>1.1997223668228354</v>
      </c>
      <c r="L482" s="33">
        <f t="shared" si="54"/>
        <v>0.51160434881216044</v>
      </c>
      <c r="M482" s="33">
        <f t="shared" ref="M482:M492" si="55">J482-H482</f>
        <v>1.0822150854522805</v>
      </c>
      <c r="N482" s="33">
        <f t="shared" ref="N482:N489" si="56">K482-H482</f>
        <v>0.72579972772421764</v>
      </c>
      <c r="O482" s="33">
        <v>1</v>
      </c>
      <c r="P482" s="33">
        <f>23740/53440</f>
        <v>0.44423652694610777</v>
      </c>
      <c r="Q482" s="33">
        <f>50550/53440</f>
        <v>0.94592065868263475</v>
      </c>
      <c r="R482" s="33">
        <v>78.844963204917903</v>
      </c>
      <c r="S482" s="33">
        <v>1</v>
      </c>
      <c r="T482" s="33">
        <v>2</v>
      </c>
    </row>
    <row r="483" spans="1:20" x14ac:dyDescent="0.25">
      <c r="A483" s="31" t="s">
        <v>34</v>
      </c>
      <c r="B483" s="26" t="s">
        <v>35</v>
      </c>
      <c r="C483" s="26">
        <v>2</v>
      </c>
      <c r="D483" s="26" t="s">
        <v>23</v>
      </c>
      <c r="E483" s="25" t="s">
        <v>29</v>
      </c>
      <c r="F483" s="25" t="str">
        <f t="shared" si="53"/>
        <v>MT_2_0,1</v>
      </c>
      <c r="G483" s="25">
        <v>2</v>
      </c>
      <c r="H483" s="25">
        <f>17640/58730</f>
        <v>0.300357568533969</v>
      </c>
      <c r="I483" s="25">
        <f>42830/86090</f>
        <v>0.49750261354396563</v>
      </c>
      <c r="J483" s="25">
        <f>85750/57630</f>
        <v>1.4879403088669096</v>
      </c>
      <c r="K483" s="25">
        <f>126600/53440</f>
        <v>2.3690119760479043</v>
      </c>
      <c r="L483" s="25">
        <f t="shared" si="54"/>
        <v>0.19714504500999663</v>
      </c>
      <c r="M483" s="25">
        <f t="shared" si="55"/>
        <v>1.1875827403329406</v>
      </c>
      <c r="N483" s="25">
        <f t="shared" si="56"/>
        <v>2.068654407513935</v>
      </c>
      <c r="O483" s="25">
        <v>1</v>
      </c>
      <c r="P483" s="25">
        <f>25750/53440</f>
        <v>0.48184880239520961</v>
      </c>
      <c r="Q483" s="25">
        <f>46670/53440</f>
        <v>0.87331586826347307</v>
      </c>
      <c r="R483" s="25">
        <v>36.864139020537124</v>
      </c>
      <c r="S483" s="25">
        <v>1</v>
      </c>
      <c r="T483" s="25">
        <v>1</v>
      </c>
    </row>
    <row r="484" spans="1:20" x14ac:dyDescent="0.25">
      <c r="A484" s="31" t="s">
        <v>34</v>
      </c>
      <c r="B484" s="26" t="s">
        <v>35</v>
      </c>
      <c r="C484" s="26">
        <v>2</v>
      </c>
      <c r="D484" s="26" t="s">
        <v>23</v>
      </c>
      <c r="E484" s="25" t="s">
        <v>29</v>
      </c>
      <c r="F484" s="25" t="str">
        <f t="shared" si="53"/>
        <v>MT_2_0,1</v>
      </c>
      <c r="G484" s="25">
        <v>3</v>
      </c>
      <c r="H484" s="25">
        <f>32920/86090</f>
        <v>0.38239052154721803</v>
      </c>
      <c r="I484" s="25">
        <f>49050/58730</f>
        <v>0.8351779329133322</v>
      </c>
      <c r="J484" s="25">
        <f>131800/57630</f>
        <v>2.2870032968939786</v>
      </c>
      <c r="K484" s="25">
        <f>148600/53440</f>
        <v>2.7806886227544911</v>
      </c>
      <c r="L484" s="25">
        <f t="shared" si="54"/>
        <v>0.45278741136611417</v>
      </c>
      <c r="M484" s="25">
        <f t="shared" si="55"/>
        <v>1.9046127753467605</v>
      </c>
      <c r="N484" s="25">
        <f t="shared" si="56"/>
        <v>2.3982981012072733</v>
      </c>
      <c r="O484" s="25">
        <v>1</v>
      </c>
      <c r="P484" s="25">
        <f>60010/57630</f>
        <v>1.0412979351032448</v>
      </c>
      <c r="Q484" s="25">
        <f>111800/53440</f>
        <v>2.092065868263473</v>
      </c>
      <c r="R484" s="25">
        <v>75.235531628532968</v>
      </c>
      <c r="S484" s="25">
        <v>0</v>
      </c>
    </row>
    <row r="485" spans="1:20" x14ac:dyDescent="0.25">
      <c r="A485" s="31" t="s">
        <v>34</v>
      </c>
      <c r="B485" s="26" t="s">
        <v>35</v>
      </c>
      <c r="C485" s="26">
        <v>2</v>
      </c>
      <c r="D485" s="26" t="s">
        <v>23</v>
      </c>
      <c r="E485" s="25" t="s">
        <v>29</v>
      </c>
      <c r="F485" s="25" t="str">
        <f t="shared" si="53"/>
        <v>MT_2_0,1</v>
      </c>
      <c r="G485" s="25">
        <v>4</v>
      </c>
      <c r="H485" s="25">
        <f>40000/86090</f>
        <v>0.46463003833197813</v>
      </c>
      <c r="I485" s="25">
        <f>29090/58730</f>
        <v>0.49531755491231055</v>
      </c>
      <c r="J485" s="25">
        <f>106100/57630</f>
        <v>1.8410550060732258</v>
      </c>
      <c r="K485" s="25">
        <f>109500/53440</f>
        <v>2.0490269461077846</v>
      </c>
      <c r="L485" s="25">
        <f t="shared" si="54"/>
        <v>3.0687516580332419E-2</v>
      </c>
      <c r="M485" s="25">
        <f t="shared" si="55"/>
        <v>1.3764249677412477</v>
      </c>
      <c r="N485" s="25">
        <f t="shared" si="56"/>
        <v>1.5843969077758064</v>
      </c>
      <c r="O485" s="25">
        <v>1</v>
      </c>
      <c r="P485" s="25">
        <f>54540/53440</f>
        <v>1.0205838323353293</v>
      </c>
      <c r="Q485" s="25">
        <f>108200/53440</f>
        <v>2.0247005988023954</v>
      </c>
      <c r="R485" s="25">
        <v>98.81278538812785</v>
      </c>
      <c r="S485" s="25">
        <v>0</v>
      </c>
    </row>
    <row r="486" spans="1:20" x14ac:dyDescent="0.25">
      <c r="A486" s="31" t="s">
        <v>34</v>
      </c>
      <c r="B486" s="26" t="s">
        <v>35</v>
      </c>
      <c r="C486" s="26">
        <v>2</v>
      </c>
      <c r="D486" s="26" t="s">
        <v>23</v>
      </c>
      <c r="E486" s="25" t="s">
        <v>29</v>
      </c>
      <c r="F486" s="25" t="str">
        <f t="shared" si="53"/>
        <v>MT_2_0,1</v>
      </c>
      <c r="G486" s="25">
        <v>4</v>
      </c>
      <c r="H486" s="25">
        <f>28440/58730</f>
        <v>0.48424995743231736</v>
      </c>
      <c r="I486" s="25">
        <f>46000/86090</f>
        <v>0.53432454408177488</v>
      </c>
      <c r="J486" s="25">
        <f>104000/57630</f>
        <v>1.8046156515703626</v>
      </c>
      <c r="K486" s="25">
        <f>175900/53440</f>
        <v>3.2915419161676644</v>
      </c>
      <c r="L486" s="25">
        <f t="shared" si="54"/>
        <v>5.007458664945752E-2</v>
      </c>
      <c r="M486" s="25">
        <f t="shared" si="55"/>
        <v>1.3203656941380453</v>
      </c>
      <c r="N486" s="25">
        <f t="shared" si="56"/>
        <v>2.8072919587353473</v>
      </c>
      <c r="O486" s="25">
        <v>1</v>
      </c>
      <c r="P486" s="25">
        <f>51540/53440</f>
        <v>0.96444610778443118</v>
      </c>
      <c r="Q486" s="25">
        <f>55680/53440</f>
        <v>1.0419161676646707</v>
      </c>
      <c r="R486" s="25">
        <v>31.654349061967029</v>
      </c>
      <c r="S486" s="25">
        <v>0</v>
      </c>
    </row>
    <row r="487" spans="1:20" x14ac:dyDescent="0.25">
      <c r="A487" s="31" t="s">
        <v>34</v>
      </c>
      <c r="B487" s="26" t="s">
        <v>35</v>
      </c>
      <c r="C487" s="26">
        <v>2</v>
      </c>
      <c r="D487" s="26" t="s">
        <v>23</v>
      </c>
      <c r="E487" s="25" t="s">
        <v>29</v>
      </c>
      <c r="F487" s="25" t="str">
        <f t="shared" si="53"/>
        <v>MT_2_0,1</v>
      </c>
      <c r="G487" s="25">
        <v>5</v>
      </c>
      <c r="H487" s="25">
        <f>37120/58730</f>
        <v>0.63204495147284179</v>
      </c>
      <c r="I487" s="25">
        <f>114400/86090</f>
        <v>1.3288419096294575</v>
      </c>
      <c r="J487" s="25">
        <f>126400/57630</f>
        <v>2.1933020996009023</v>
      </c>
      <c r="K487" s="25">
        <f>136400/53440</f>
        <v>2.5523952095808382</v>
      </c>
      <c r="L487" s="25">
        <f t="shared" si="54"/>
        <v>0.69679695815661569</v>
      </c>
      <c r="M487" s="25">
        <f t="shared" si="55"/>
        <v>1.5612571481280604</v>
      </c>
      <c r="N487" s="25">
        <f t="shared" si="56"/>
        <v>1.9203502581079963</v>
      </c>
      <c r="O487" s="25">
        <v>1</v>
      </c>
      <c r="P487" s="25">
        <f>50820/57630</f>
        <v>0.88183237896928679</v>
      </c>
      <c r="Q487" s="25">
        <f>125700/53440</f>
        <v>2.3521706586826348</v>
      </c>
      <c r="R487" s="25">
        <v>92.15542521994135</v>
      </c>
      <c r="S487" s="25">
        <v>0</v>
      </c>
    </row>
    <row r="488" spans="1:20" x14ac:dyDescent="0.25">
      <c r="A488" s="31" t="s">
        <v>34</v>
      </c>
      <c r="B488" s="26" t="s">
        <v>35</v>
      </c>
      <c r="C488" s="26">
        <v>2</v>
      </c>
      <c r="D488" s="26" t="s">
        <v>23</v>
      </c>
      <c r="E488" s="25" t="s">
        <v>29</v>
      </c>
      <c r="F488" s="25" t="str">
        <f t="shared" si="53"/>
        <v>MT_2_0,1</v>
      </c>
      <c r="G488" s="25">
        <v>6</v>
      </c>
      <c r="H488" s="25">
        <f>51570/58730</f>
        <v>0.87808615698961345</v>
      </c>
      <c r="I488" s="25">
        <f>120800/86090</f>
        <v>1.403182715762574</v>
      </c>
      <c r="J488" s="25">
        <f>112900/57630</f>
        <v>1.9590491063682109</v>
      </c>
      <c r="K488" s="25">
        <f>117100/53440</f>
        <v>2.1912425149700598</v>
      </c>
      <c r="L488" s="25">
        <f t="shared" ref="L488:L519" si="57">I488-H488</f>
        <v>0.52509655877296058</v>
      </c>
      <c r="M488" s="25">
        <f t="shared" si="55"/>
        <v>1.0809629493785975</v>
      </c>
      <c r="N488" s="25">
        <f t="shared" si="56"/>
        <v>1.3131563579804464</v>
      </c>
      <c r="O488" s="25">
        <v>1</v>
      </c>
      <c r="P488" s="25">
        <f>74540/53440</f>
        <v>1.3948353293413174</v>
      </c>
      <c r="Q488" s="25">
        <f>93400/53440</f>
        <v>1.7477544910179641</v>
      </c>
      <c r="R488" s="25">
        <v>79.76088812980359</v>
      </c>
      <c r="S488" s="25">
        <v>0</v>
      </c>
    </row>
    <row r="489" spans="1:20" x14ac:dyDescent="0.25">
      <c r="A489" s="31" t="s">
        <v>34</v>
      </c>
      <c r="B489" s="26" t="s">
        <v>35</v>
      </c>
      <c r="C489" s="26">
        <v>2</v>
      </c>
      <c r="D489" s="26" t="s">
        <v>23</v>
      </c>
      <c r="E489" s="25" t="s">
        <v>29</v>
      </c>
      <c r="F489" s="25" t="str">
        <f t="shared" si="53"/>
        <v>MT_2_0,1</v>
      </c>
      <c r="G489" s="25">
        <v>6</v>
      </c>
      <c r="H489" s="25">
        <f>89090/86090</f>
        <v>1.0348472528748984</v>
      </c>
      <c r="I489" s="25">
        <f>62820/58730</f>
        <v>1.0696407287587264</v>
      </c>
      <c r="J489" s="25">
        <f>140300/53440</f>
        <v>2.6253742514970062</v>
      </c>
      <c r="K489" s="25">
        <f>163800/57630</f>
        <v>2.842269651223321</v>
      </c>
      <c r="L489" s="25">
        <f t="shared" si="57"/>
        <v>3.4793475883827973E-2</v>
      </c>
      <c r="M489" s="25">
        <f t="shared" si="55"/>
        <v>1.5905269986221078</v>
      </c>
      <c r="N489" s="25">
        <f t="shared" si="56"/>
        <v>1.8074223983484226</v>
      </c>
      <c r="O489" s="25">
        <v>1</v>
      </c>
      <c r="P489" s="25">
        <f>57010/57630</f>
        <v>0.98924171438486896</v>
      </c>
      <c r="Q489" s="25">
        <f>69500/53440</f>
        <v>1.3005239520958083</v>
      </c>
      <c r="R489" s="25">
        <v>45.756529523370844</v>
      </c>
      <c r="S489" s="25">
        <v>0</v>
      </c>
    </row>
    <row r="490" spans="1:20" x14ac:dyDescent="0.25">
      <c r="A490" s="31" t="s">
        <v>34</v>
      </c>
      <c r="B490" s="26" t="s">
        <v>35</v>
      </c>
      <c r="C490" s="26">
        <v>2</v>
      </c>
      <c r="D490" s="26" t="s">
        <v>23</v>
      </c>
      <c r="E490" s="25" t="s">
        <v>29</v>
      </c>
      <c r="F490" s="25" t="str">
        <f t="shared" si="53"/>
        <v>MT_2_0,1</v>
      </c>
      <c r="G490" s="25">
        <v>3</v>
      </c>
      <c r="H490" s="25">
        <f>31370/86090</f>
        <v>0.36438610756185386</v>
      </c>
      <c r="I490" s="25">
        <f>51650/58730</f>
        <v>0.87944832283330499</v>
      </c>
      <c r="J490" s="25">
        <f>109100/57630</f>
        <v>1.8931112267916015</v>
      </c>
      <c r="L490" s="25">
        <f t="shared" si="57"/>
        <v>0.51506221527145113</v>
      </c>
      <c r="M490" s="25">
        <f t="shared" si="55"/>
        <v>1.5287251192297475</v>
      </c>
      <c r="O490" s="25">
        <v>0</v>
      </c>
    </row>
    <row r="491" spans="1:20" x14ac:dyDescent="0.25">
      <c r="A491" s="31" t="s">
        <v>34</v>
      </c>
      <c r="B491" s="26" t="s">
        <v>35</v>
      </c>
      <c r="C491" s="26">
        <v>2</v>
      </c>
      <c r="D491" s="26" t="s">
        <v>23</v>
      </c>
      <c r="E491" s="25" t="s">
        <v>29</v>
      </c>
      <c r="F491" s="25" t="str">
        <f t="shared" si="53"/>
        <v>MT_2_0,1</v>
      </c>
      <c r="G491" s="25">
        <v>3</v>
      </c>
      <c r="H491" s="25">
        <f>33880/86090</f>
        <v>0.39354164246718548</v>
      </c>
      <c r="I491" s="25">
        <f>58970/58730</f>
        <v>1.0040864975310744</v>
      </c>
      <c r="J491" s="25">
        <f>107000/57630</f>
        <v>1.8566718722887385</v>
      </c>
      <c r="L491" s="25">
        <f t="shared" si="57"/>
        <v>0.61054485506388889</v>
      </c>
      <c r="M491" s="25">
        <f t="shared" si="55"/>
        <v>1.4631302298215529</v>
      </c>
      <c r="O491" s="25">
        <v>0</v>
      </c>
    </row>
    <row r="492" spans="1:20" x14ac:dyDescent="0.25">
      <c r="A492" s="31" t="s">
        <v>34</v>
      </c>
      <c r="B492" s="26" t="s">
        <v>35</v>
      </c>
      <c r="C492" s="26">
        <v>2</v>
      </c>
      <c r="D492" s="26" t="s">
        <v>23</v>
      </c>
      <c r="E492" s="25" t="s">
        <v>29</v>
      </c>
      <c r="F492" s="25" t="str">
        <f t="shared" si="53"/>
        <v>MT_2_0,1</v>
      </c>
      <c r="G492" s="25">
        <v>3</v>
      </c>
      <c r="H492" s="25">
        <f>33960/86090</f>
        <v>0.39447090254384948</v>
      </c>
      <c r="I492" s="25">
        <f>30550/58730</f>
        <v>0.5201770815596799</v>
      </c>
      <c r="J492" s="25">
        <f>101700/57630</f>
        <v>1.7647058823529411</v>
      </c>
      <c r="L492" s="25">
        <f t="shared" si="57"/>
        <v>0.12570617901583042</v>
      </c>
      <c r="M492" s="25">
        <f t="shared" si="55"/>
        <v>1.3702349798090916</v>
      </c>
      <c r="O492" s="25">
        <v>0</v>
      </c>
    </row>
    <row r="493" spans="1:20" x14ac:dyDescent="0.25">
      <c r="A493" s="31" t="s">
        <v>34</v>
      </c>
      <c r="B493" s="26" t="s">
        <v>35</v>
      </c>
      <c r="C493" s="26">
        <v>2</v>
      </c>
      <c r="D493" s="26" t="s">
        <v>23</v>
      </c>
      <c r="E493" s="25" t="s">
        <v>29</v>
      </c>
      <c r="F493" s="25" t="str">
        <f t="shared" si="53"/>
        <v>MT_2_0,1</v>
      </c>
      <c r="G493" s="25">
        <v>3</v>
      </c>
      <c r="H493" s="25">
        <f>26870/58730</f>
        <v>0.45751745274987232</v>
      </c>
      <c r="I493" s="25">
        <f>98900/86090</f>
        <v>1.148797769775816</v>
      </c>
      <c r="L493" s="25">
        <f t="shared" si="57"/>
        <v>0.69128031702594372</v>
      </c>
      <c r="O493" s="25">
        <v>0</v>
      </c>
    </row>
    <row r="494" spans="1:20" x14ac:dyDescent="0.25">
      <c r="A494" s="31" t="s">
        <v>34</v>
      </c>
      <c r="B494" s="26" t="s">
        <v>35</v>
      </c>
      <c r="C494" s="26">
        <v>2</v>
      </c>
      <c r="D494" s="26" t="s">
        <v>23</v>
      </c>
      <c r="E494" s="25" t="s">
        <v>29</v>
      </c>
      <c r="F494" s="25" t="str">
        <f t="shared" si="53"/>
        <v>MT_2_0,1</v>
      </c>
      <c r="G494" s="25">
        <v>5</v>
      </c>
      <c r="H494" s="25">
        <f>38920/58730</f>
        <v>0.66269368295589992</v>
      </c>
      <c r="I494" s="25">
        <f>82170/86090</f>
        <v>0.95446625624346615</v>
      </c>
      <c r="J494" s="25">
        <f>109100/57630</f>
        <v>1.8931112267916015</v>
      </c>
      <c r="L494" s="25">
        <f t="shared" si="57"/>
        <v>0.29177257328756623</v>
      </c>
      <c r="M494" s="25">
        <f t="shared" ref="M494:M525" si="58">J494-H494</f>
        <v>1.2304175438357015</v>
      </c>
      <c r="O494" s="25">
        <v>0</v>
      </c>
      <c r="R494" s="25" t="e">
        <v>#VALUE!</v>
      </c>
    </row>
    <row r="495" spans="1:20" x14ac:dyDescent="0.25">
      <c r="A495" s="31" t="s">
        <v>34</v>
      </c>
      <c r="B495" s="26" t="s">
        <v>35</v>
      </c>
      <c r="C495" s="26">
        <v>2</v>
      </c>
      <c r="D495" s="26" t="s">
        <v>23</v>
      </c>
      <c r="E495" s="25" t="s">
        <v>29</v>
      </c>
      <c r="F495" s="25" t="str">
        <f t="shared" si="53"/>
        <v>MT_2_0,1</v>
      </c>
      <c r="G495" s="25">
        <v>5</v>
      </c>
      <c r="H495" s="25">
        <f>40520/58730</f>
        <v>0.68993699982972923</v>
      </c>
      <c r="I495" s="25">
        <f>60900/86090</f>
        <v>0.70739923336043675</v>
      </c>
      <c r="J495" s="25">
        <f>126800/57630</f>
        <v>2.2002429290300189</v>
      </c>
      <c r="L495" s="25">
        <f t="shared" si="57"/>
        <v>1.7462233530707527E-2</v>
      </c>
      <c r="M495" s="25">
        <f t="shared" si="58"/>
        <v>1.5103059292002898</v>
      </c>
      <c r="O495" s="25">
        <v>0</v>
      </c>
    </row>
    <row r="496" spans="1:20" s="27" customFormat="1" ht="15.75" thickBot="1" x14ac:dyDescent="0.3">
      <c r="A496" s="30" t="s">
        <v>34</v>
      </c>
      <c r="B496" s="29" t="s">
        <v>35</v>
      </c>
      <c r="C496" s="29">
        <v>2</v>
      </c>
      <c r="D496" s="29" t="s">
        <v>23</v>
      </c>
      <c r="E496" s="28" t="s">
        <v>29</v>
      </c>
      <c r="F496" s="28" t="str">
        <f t="shared" si="53"/>
        <v>MT_2_0,1</v>
      </c>
      <c r="G496" s="28">
        <v>5</v>
      </c>
      <c r="H496" s="28">
        <f>42610/58730</f>
        <v>0.72552358249616888</v>
      </c>
      <c r="I496" s="28">
        <f>55620/86090</f>
        <v>0.64606806830061558</v>
      </c>
      <c r="J496" s="28">
        <f>33800/57630</f>
        <v>0.58650008676036791</v>
      </c>
      <c r="K496" s="28">
        <f>28170/53440</f>
        <v>0.52713323353293418</v>
      </c>
      <c r="L496" s="28">
        <f t="shared" si="57"/>
        <v>-7.9455514195553301E-2</v>
      </c>
      <c r="M496" s="28">
        <f t="shared" si="58"/>
        <v>-0.13902349573580097</v>
      </c>
      <c r="N496" s="28">
        <f>K496-H496</f>
        <v>-0.19839034896323471</v>
      </c>
      <c r="O496" s="28">
        <v>0</v>
      </c>
      <c r="P496" s="28"/>
      <c r="Q496" s="28"/>
      <c r="R496" s="28"/>
      <c r="S496" s="28"/>
      <c r="T496" s="28"/>
    </row>
    <row r="497" spans="1:20" s="32" customFormat="1" x14ac:dyDescent="0.25">
      <c r="A497" s="35" t="s">
        <v>34</v>
      </c>
      <c r="B497" s="34" t="s">
        <v>35</v>
      </c>
      <c r="C497" s="34">
        <v>2</v>
      </c>
      <c r="D497" s="34" t="s">
        <v>26</v>
      </c>
      <c r="E497" s="33" t="s">
        <v>30</v>
      </c>
      <c r="F497" s="33" t="str">
        <f t="shared" si="53"/>
        <v>MT_2_0,5</v>
      </c>
      <c r="G497" s="33">
        <v>6</v>
      </c>
      <c r="H497" s="33">
        <f>44420/54310</f>
        <v>0.81789725649051737</v>
      </c>
      <c r="I497" s="33">
        <f>49700/58730</f>
        <v>0.8462455303933254</v>
      </c>
      <c r="J497" s="33">
        <f>85570/86090</f>
        <v>0.99395980950168428</v>
      </c>
      <c r="K497" s="33"/>
      <c r="L497" s="33">
        <f t="shared" si="57"/>
        <v>2.834827390280803E-2</v>
      </c>
      <c r="M497" s="33">
        <f t="shared" si="58"/>
        <v>0.17606255301116691</v>
      </c>
      <c r="N497" s="33"/>
      <c r="O497" s="33">
        <v>1</v>
      </c>
      <c r="P497" s="33"/>
      <c r="Q497" s="33"/>
      <c r="R497" s="33"/>
      <c r="S497" s="33">
        <v>1</v>
      </c>
      <c r="T497" s="33">
        <v>7</v>
      </c>
    </row>
    <row r="498" spans="1:20" x14ac:dyDescent="0.25">
      <c r="A498" s="31" t="s">
        <v>36</v>
      </c>
      <c r="B498" s="26" t="s">
        <v>35</v>
      </c>
      <c r="C498" s="26">
        <v>2</v>
      </c>
      <c r="D498" s="26" t="s">
        <v>26</v>
      </c>
      <c r="E498" s="25" t="s">
        <v>30</v>
      </c>
      <c r="F498" s="25" t="str">
        <f t="shared" si="53"/>
        <v>MT_2_0,5</v>
      </c>
      <c r="G498" s="25">
        <v>3</v>
      </c>
      <c r="H498" s="25">
        <f>24990/68400</f>
        <v>0.36535087719298248</v>
      </c>
      <c r="I498" s="25">
        <f>969/980</f>
        <v>0.98877551020408161</v>
      </c>
      <c r="J498" s="25">
        <f>60470/54000</f>
        <v>1.1198148148148148</v>
      </c>
      <c r="K498" s="25">
        <f>120300/56300</f>
        <v>2.1367673179396092</v>
      </c>
      <c r="L498" s="25">
        <f t="shared" si="57"/>
        <v>0.62342463301109907</v>
      </c>
      <c r="M498" s="25">
        <f t="shared" si="58"/>
        <v>0.75446393762183228</v>
      </c>
      <c r="N498" s="25">
        <f>K498-H498</f>
        <v>1.7714164407466266</v>
      </c>
      <c r="O498" s="25">
        <v>1</v>
      </c>
      <c r="P498" s="25">
        <f>39220/54000</f>
        <v>0.72629629629629633</v>
      </c>
      <c r="Q498" s="25">
        <f>110800/56300</f>
        <v>1.9680284191829485</v>
      </c>
      <c r="R498" s="25">
        <v>92.10307564422277</v>
      </c>
      <c r="S498" s="25">
        <v>1</v>
      </c>
      <c r="T498" s="25">
        <v>6</v>
      </c>
    </row>
    <row r="499" spans="1:20" x14ac:dyDescent="0.25">
      <c r="A499" s="31" t="s">
        <v>34</v>
      </c>
      <c r="B499" s="26" t="s">
        <v>35</v>
      </c>
      <c r="C499" s="26">
        <v>2</v>
      </c>
      <c r="D499" s="26" t="s">
        <v>26</v>
      </c>
      <c r="E499" s="25" t="s">
        <v>30</v>
      </c>
      <c r="F499" s="25" t="str">
        <f t="shared" si="53"/>
        <v>MT_2_0,5</v>
      </c>
      <c r="G499" s="25">
        <v>4</v>
      </c>
      <c r="H499" s="25">
        <f>34210/58730</f>
        <v>0.58249616890856459</v>
      </c>
      <c r="I499" s="25">
        <f>65830/86090</f>
        <v>0.76466488558485302</v>
      </c>
      <c r="J499" s="25">
        <f>43980/54310</f>
        <v>0.80979561774995401</v>
      </c>
      <c r="L499" s="25">
        <f t="shared" si="57"/>
        <v>0.18216871667628842</v>
      </c>
      <c r="M499" s="25">
        <f t="shared" si="58"/>
        <v>0.22729944884138942</v>
      </c>
      <c r="O499" s="25">
        <v>1</v>
      </c>
      <c r="S499" s="25">
        <v>1</v>
      </c>
      <c r="T499" s="25">
        <v>6</v>
      </c>
    </row>
    <row r="500" spans="1:20" x14ac:dyDescent="0.25">
      <c r="A500" s="31" t="s">
        <v>36</v>
      </c>
      <c r="B500" s="26" t="s">
        <v>35</v>
      </c>
      <c r="C500" s="26">
        <v>2</v>
      </c>
      <c r="D500" s="26" t="s">
        <v>26</v>
      </c>
      <c r="E500" s="25" t="s">
        <v>30</v>
      </c>
      <c r="F500" s="25" t="str">
        <f t="shared" si="53"/>
        <v>MT_2_0,5</v>
      </c>
      <c r="G500" s="25">
        <v>5</v>
      </c>
      <c r="H500" s="25">
        <f>42110/68400</f>
        <v>0.61564327485380121</v>
      </c>
      <c r="I500" s="25">
        <f>1109/980</f>
        <v>1.1316326530612244</v>
      </c>
      <c r="J500" s="25">
        <f>61530/54000</f>
        <v>1.1394444444444445</v>
      </c>
      <c r="K500" s="25">
        <f>74710/56300</f>
        <v>1.3269982238010658</v>
      </c>
      <c r="L500" s="25">
        <f t="shared" si="57"/>
        <v>0.51598937820742319</v>
      </c>
      <c r="M500" s="25">
        <f t="shared" si="58"/>
        <v>0.52380116959064327</v>
      </c>
      <c r="N500" s="25">
        <f>K500-H500</f>
        <v>0.71135494894726459</v>
      </c>
      <c r="O500" s="25">
        <v>1</v>
      </c>
      <c r="P500" s="25">
        <f>38220/54000</f>
        <v>0.70777777777777773</v>
      </c>
      <c r="Q500" s="25">
        <f>56940/56300</f>
        <v>1.0113676731793961</v>
      </c>
      <c r="R500" s="25">
        <v>76.214696827733903</v>
      </c>
      <c r="S500" s="25">
        <v>1</v>
      </c>
      <c r="T500" s="25">
        <v>3</v>
      </c>
    </row>
    <row r="501" spans="1:20" x14ac:dyDescent="0.25">
      <c r="A501" s="31" t="s">
        <v>34</v>
      </c>
      <c r="B501" s="26" t="s">
        <v>35</v>
      </c>
      <c r="C501" s="26">
        <v>2</v>
      </c>
      <c r="D501" s="26" t="s">
        <v>26</v>
      </c>
      <c r="E501" s="25" t="s">
        <v>30</v>
      </c>
      <c r="F501" s="25" t="str">
        <f t="shared" si="53"/>
        <v>MT_2_0,5</v>
      </c>
      <c r="G501" s="25">
        <v>5</v>
      </c>
      <c r="H501" s="25">
        <f>39180/54310</f>
        <v>0.72141410421653474</v>
      </c>
      <c r="I501" s="25">
        <f>70330/86090</f>
        <v>0.81693576489720066</v>
      </c>
      <c r="J501" s="25">
        <f>50230/58730</f>
        <v>0.85526987910778141</v>
      </c>
      <c r="L501" s="25">
        <f t="shared" si="57"/>
        <v>9.5521660680665921E-2</v>
      </c>
      <c r="M501" s="25">
        <f t="shared" si="58"/>
        <v>0.13385577489124667</v>
      </c>
      <c r="O501" s="25">
        <v>1</v>
      </c>
      <c r="S501" s="25">
        <v>1</v>
      </c>
      <c r="T501" s="25">
        <v>3</v>
      </c>
    </row>
    <row r="502" spans="1:20" x14ac:dyDescent="0.25">
      <c r="A502" s="31" t="s">
        <v>34</v>
      </c>
      <c r="B502" s="26" t="s">
        <v>35</v>
      </c>
      <c r="C502" s="26">
        <v>2</v>
      </c>
      <c r="D502" s="26" t="s">
        <v>26</v>
      </c>
      <c r="E502" s="25" t="s">
        <v>30</v>
      </c>
      <c r="F502" s="25" t="str">
        <f t="shared" si="53"/>
        <v>MT_2_0,5</v>
      </c>
      <c r="G502" s="25">
        <v>6</v>
      </c>
      <c r="H502" s="25">
        <f>70150/86090</f>
        <v>0.81484492972470668</v>
      </c>
      <c r="I502" s="25">
        <f>52550/54310</f>
        <v>0.96759344503774625</v>
      </c>
      <c r="J502" s="25">
        <f>76460/58730</f>
        <v>1.3018900051081219</v>
      </c>
      <c r="L502" s="25">
        <f t="shared" si="57"/>
        <v>0.15274851531303957</v>
      </c>
      <c r="M502" s="25">
        <f t="shared" si="58"/>
        <v>0.48704507538341524</v>
      </c>
      <c r="O502" s="25">
        <v>1</v>
      </c>
      <c r="S502" s="25">
        <v>1</v>
      </c>
      <c r="T502" s="25">
        <v>3</v>
      </c>
    </row>
    <row r="503" spans="1:20" x14ac:dyDescent="0.25">
      <c r="A503" s="31" t="s">
        <v>34</v>
      </c>
      <c r="B503" s="26" t="s">
        <v>35</v>
      </c>
      <c r="C503" s="26">
        <v>2</v>
      </c>
      <c r="D503" s="26" t="s">
        <v>26</v>
      </c>
      <c r="E503" s="25" t="s">
        <v>30</v>
      </c>
      <c r="F503" s="25" t="str">
        <f t="shared" si="53"/>
        <v>MT_2_0,5</v>
      </c>
      <c r="G503" s="25">
        <v>4</v>
      </c>
      <c r="H503" s="25">
        <f>30310/58730</f>
        <v>0.51609058402860553</v>
      </c>
      <c r="I503" s="25">
        <f>61770/86090</f>
        <v>0.71750493669415727</v>
      </c>
      <c r="J503" s="25">
        <f>48670/54310</f>
        <v>0.89615172159823242</v>
      </c>
      <c r="L503" s="25">
        <f t="shared" si="57"/>
        <v>0.20141435266555174</v>
      </c>
      <c r="M503" s="25">
        <f t="shared" si="58"/>
        <v>0.38006113756962689</v>
      </c>
      <c r="O503" s="25">
        <v>1</v>
      </c>
      <c r="S503" s="25">
        <v>1</v>
      </c>
      <c r="T503" s="25">
        <v>2</v>
      </c>
    </row>
    <row r="504" spans="1:20" x14ac:dyDescent="0.25">
      <c r="A504" s="31" t="s">
        <v>34</v>
      </c>
      <c r="B504" s="26" t="s">
        <v>35</v>
      </c>
      <c r="C504" s="26">
        <v>2</v>
      </c>
      <c r="D504" s="26" t="s">
        <v>26</v>
      </c>
      <c r="E504" s="25" t="s">
        <v>30</v>
      </c>
      <c r="F504" s="25" t="str">
        <f t="shared" si="53"/>
        <v>MT_2_0,5</v>
      </c>
      <c r="G504" s="25">
        <v>5</v>
      </c>
      <c r="H504" s="25">
        <f>39660/58730</f>
        <v>0.67529371701004592</v>
      </c>
      <c r="I504" s="25">
        <f>64240/86090</f>
        <v>0.74619584156115693</v>
      </c>
      <c r="J504" s="25">
        <f>54770/54310</f>
        <v>1.0084698950469526</v>
      </c>
      <c r="L504" s="25">
        <f t="shared" si="57"/>
        <v>7.0902124551111001E-2</v>
      </c>
      <c r="M504" s="25">
        <f t="shared" si="58"/>
        <v>0.33317617803690669</v>
      </c>
      <c r="O504" s="25">
        <v>1</v>
      </c>
      <c r="S504" s="25">
        <v>1</v>
      </c>
      <c r="T504" s="25">
        <v>2</v>
      </c>
    </row>
    <row r="505" spans="1:20" x14ac:dyDescent="0.25">
      <c r="A505" s="31" t="s">
        <v>36</v>
      </c>
      <c r="B505" s="26" t="s">
        <v>35</v>
      </c>
      <c r="C505" s="26">
        <v>2</v>
      </c>
      <c r="D505" s="26" t="s">
        <v>26</v>
      </c>
      <c r="E505" s="25" t="s">
        <v>30</v>
      </c>
      <c r="F505" s="25" t="str">
        <f t="shared" si="53"/>
        <v>MT_2_0,5</v>
      </c>
      <c r="G505" s="25">
        <v>4</v>
      </c>
      <c r="H505" s="25">
        <f>33630/68400</f>
        <v>0.49166666666666664</v>
      </c>
      <c r="I505" s="25">
        <f>948/980</f>
        <v>0.96734693877551026</v>
      </c>
      <c r="J505" s="25">
        <f>93720/54000</f>
        <v>1.7355555555555555</v>
      </c>
      <c r="K505" s="25">
        <f>101800/56300</f>
        <v>1.808170515097691</v>
      </c>
      <c r="L505" s="25">
        <f t="shared" si="57"/>
        <v>0.47568027210884362</v>
      </c>
      <c r="M505" s="25">
        <f t="shared" si="58"/>
        <v>1.2438888888888888</v>
      </c>
      <c r="N505" s="25">
        <f>K505-H505</f>
        <v>1.3165038484310243</v>
      </c>
      <c r="O505" s="25">
        <v>1</v>
      </c>
      <c r="P505" s="25">
        <f>63040/54000</f>
        <v>1.1674074074074074</v>
      </c>
      <c r="Q505" s="25">
        <f>91460/56300</f>
        <v>1.6245115452930727</v>
      </c>
      <c r="R505" s="25">
        <v>89.842829076620816</v>
      </c>
      <c r="S505" s="25">
        <v>1</v>
      </c>
      <c r="T505" s="25">
        <v>1</v>
      </c>
    </row>
    <row r="506" spans="1:20" x14ac:dyDescent="0.25">
      <c r="A506" s="31" t="s">
        <v>34</v>
      </c>
      <c r="B506" s="26" t="s">
        <v>35</v>
      </c>
      <c r="C506" s="26">
        <v>2</v>
      </c>
      <c r="D506" s="26" t="s">
        <v>26</v>
      </c>
      <c r="E506" s="25" t="s">
        <v>30</v>
      </c>
      <c r="F506" s="25" t="str">
        <f t="shared" si="53"/>
        <v>MT_2_0,5</v>
      </c>
      <c r="G506" s="25">
        <v>4</v>
      </c>
      <c r="H506" s="25">
        <f>28520/54310</f>
        <v>0.52513349291106615</v>
      </c>
      <c r="I506" s="25">
        <f>66830/86090</f>
        <v>0.77628063654315249</v>
      </c>
      <c r="J506" s="25">
        <f>59200/58730</f>
        <v>1.0080027243316874</v>
      </c>
      <c r="L506" s="25">
        <f t="shared" si="57"/>
        <v>0.25114714363208634</v>
      </c>
      <c r="M506" s="25">
        <f t="shared" si="58"/>
        <v>0.48286923142062121</v>
      </c>
      <c r="O506" s="25">
        <v>1</v>
      </c>
      <c r="S506" s="25">
        <v>1</v>
      </c>
      <c r="T506" s="25">
        <v>1</v>
      </c>
    </row>
    <row r="507" spans="1:20" x14ac:dyDescent="0.25">
      <c r="A507" s="31" t="s">
        <v>36</v>
      </c>
      <c r="B507" s="26" t="s">
        <v>35</v>
      </c>
      <c r="C507" s="26">
        <v>2</v>
      </c>
      <c r="D507" s="26" t="s">
        <v>26</v>
      </c>
      <c r="E507" s="25" t="s">
        <v>30</v>
      </c>
      <c r="F507" s="25" t="str">
        <f t="shared" si="53"/>
        <v>MT_2_0,5</v>
      </c>
      <c r="G507" s="25">
        <v>1</v>
      </c>
      <c r="H507" s="25">
        <f>8461/68400</f>
        <v>0.12369883040935672</v>
      </c>
      <c r="I507" s="25">
        <f>426.3/980</f>
        <v>0.435</v>
      </c>
      <c r="J507" s="25">
        <f>24370/54000</f>
        <v>0.45129629629629631</v>
      </c>
      <c r="K507" s="25">
        <f>67060/56300</f>
        <v>1.1911190053285967</v>
      </c>
      <c r="L507" s="25">
        <f t="shared" si="57"/>
        <v>0.31130116959064325</v>
      </c>
      <c r="M507" s="25">
        <f t="shared" si="58"/>
        <v>0.32759746588693961</v>
      </c>
      <c r="N507" s="25">
        <f t="shared" ref="N507:N527" si="59">K507-H507</f>
        <v>1.06742017491924</v>
      </c>
      <c r="O507" s="25">
        <v>1</v>
      </c>
      <c r="Q507" s="25">
        <f>56420/56300</f>
        <v>1.0021314387211369</v>
      </c>
      <c r="R507" s="25">
        <v>84.133611691022978</v>
      </c>
      <c r="S507" s="25">
        <v>0</v>
      </c>
    </row>
    <row r="508" spans="1:20" x14ac:dyDescent="0.25">
      <c r="A508" s="31" t="s">
        <v>36</v>
      </c>
      <c r="B508" s="26" t="s">
        <v>35</v>
      </c>
      <c r="C508" s="26">
        <v>2</v>
      </c>
      <c r="D508" s="26" t="s">
        <v>26</v>
      </c>
      <c r="E508" s="25" t="s">
        <v>30</v>
      </c>
      <c r="F508" s="25" t="str">
        <f t="shared" si="53"/>
        <v>MT_2_0,5</v>
      </c>
      <c r="G508" s="25">
        <v>2</v>
      </c>
      <c r="H508" s="25">
        <f>20360/68400</f>
        <v>0.29766081871345029</v>
      </c>
      <c r="I508" s="25">
        <f>884/980</f>
        <v>0.90204081632653066</v>
      </c>
      <c r="J508" s="25">
        <f>88700/54000</f>
        <v>1.6425925925925926</v>
      </c>
      <c r="K508" s="25">
        <f>104300/56300</f>
        <v>1.852575488454707</v>
      </c>
      <c r="L508" s="25">
        <f t="shared" si="57"/>
        <v>0.60437999761308037</v>
      </c>
      <c r="M508" s="25">
        <f t="shared" si="58"/>
        <v>1.3449317738791424</v>
      </c>
      <c r="N508" s="25">
        <f t="shared" si="59"/>
        <v>1.5549146697412568</v>
      </c>
      <c r="O508" s="25">
        <v>1</v>
      </c>
      <c r="P508" s="25">
        <f>52190/54000</f>
        <v>0.9664814814814815</v>
      </c>
      <c r="Q508" s="25">
        <f>96300/56300</f>
        <v>1.7104795737122558</v>
      </c>
      <c r="R508" s="25">
        <v>92.329817833173536</v>
      </c>
      <c r="S508" s="25">
        <v>0</v>
      </c>
    </row>
    <row r="509" spans="1:20" x14ac:dyDescent="0.25">
      <c r="A509" s="31" t="s">
        <v>36</v>
      </c>
      <c r="B509" s="26" t="s">
        <v>35</v>
      </c>
      <c r="C509" s="26">
        <v>2</v>
      </c>
      <c r="D509" s="26" t="s">
        <v>26</v>
      </c>
      <c r="E509" s="25" t="s">
        <v>30</v>
      </c>
      <c r="F509" s="25" t="str">
        <f t="shared" si="53"/>
        <v>MT_2_0,5</v>
      </c>
      <c r="G509" s="25">
        <v>2</v>
      </c>
      <c r="H509" s="25">
        <f>20800/68400</f>
        <v>0.30409356725146197</v>
      </c>
      <c r="I509" s="25">
        <f>844.1/980</f>
        <v>0.86132653061224496</v>
      </c>
      <c r="J509" s="25">
        <f>74730/54000</f>
        <v>1.3838888888888889</v>
      </c>
      <c r="K509" s="25">
        <f>105500/56300</f>
        <v>1.8738898756660747</v>
      </c>
      <c r="L509" s="25">
        <f t="shared" si="57"/>
        <v>0.55723296336078298</v>
      </c>
      <c r="M509" s="25">
        <f t="shared" si="58"/>
        <v>1.079795321637427</v>
      </c>
      <c r="N509" s="25">
        <f t="shared" si="59"/>
        <v>1.5697963084146127</v>
      </c>
      <c r="O509" s="25">
        <v>1</v>
      </c>
      <c r="Q509" s="25">
        <f>112600/56300</f>
        <v>2</v>
      </c>
      <c r="R509" s="25">
        <v>106.72985781990521</v>
      </c>
      <c r="S509" s="25">
        <v>0</v>
      </c>
    </row>
    <row r="510" spans="1:20" x14ac:dyDescent="0.25">
      <c r="A510" s="31" t="s">
        <v>36</v>
      </c>
      <c r="B510" s="26" t="s">
        <v>35</v>
      </c>
      <c r="C510" s="26">
        <v>2</v>
      </c>
      <c r="D510" s="26" t="s">
        <v>26</v>
      </c>
      <c r="E510" s="25" t="s">
        <v>30</v>
      </c>
      <c r="F510" s="25" t="str">
        <f t="shared" si="53"/>
        <v>MT_2_0,5</v>
      </c>
      <c r="G510" s="25">
        <v>3</v>
      </c>
      <c r="H510" s="25">
        <f>24860/68400</f>
        <v>0.3634502923976608</v>
      </c>
      <c r="I510" s="25">
        <f>996/980</f>
        <v>1.0163265306122449</v>
      </c>
      <c r="J510" s="25">
        <f>97320/56300</f>
        <v>1.7285968028419183</v>
      </c>
      <c r="K510" s="25">
        <f>111100/54000</f>
        <v>2.0574074074074074</v>
      </c>
      <c r="L510" s="25">
        <f t="shared" si="57"/>
        <v>0.65287623821458407</v>
      </c>
      <c r="M510" s="25">
        <f t="shared" si="58"/>
        <v>1.3651465104442575</v>
      </c>
      <c r="N510" s="25">
        <f t="shared" si="59"/>
        <v>1.6939571150097466</v>
      </c>
      <c r="O510" s="25">
        <v>1</v>
      </c>
      <c r="P510" s="25">
        <f>80020/56300</f>
        <v>1.4213143872113676</v>
      </c>
      <c r="Q510" s="25">
        <f>86010/54000</f>
        <v>1.5927777777777778</v>
      </c>
      <c r="R510" s="25">
        <v>77.416741674167426</v>
      </c>
      <c r="S510" s="25">
        <v>0</v>
      </c>
    </row>
    <row r="511" spans="1:20" x14ac:dyDescent="0.25">
      <c r="A511" s="31" t="s">
        <v>36</v>
      </c>
      <c r="B511" s="26" t="s">
        <v>35</v>
      </c>
      <c r="C511" s="26">
        <v>2</v>
      </c>
      <c r="D511" s="26" t="s">
        <v>26</v>
      </c>
      <c r="E511" s="25" t="s">
        <v>30</v>
      </c>
      <c r="F511" s="25" t="str">
        <f t="shared" si="53"/>
        <v>MT_2_0,5</v>
      </c>
      <c r="G511" s="25">
        <v>3</v>
      </c>
      <c r="H511" s="25">
        <f>26190/68400</f>
        <v>0.38289473684210529</v>
      </c>
      <c r="I511" s="25">
        <f>826.8/980</f>
        <v>0.843673469387755</v>
      </c>
      <c r="J511" s="25">
        <f>59760/54000</f>
        <v>1.1066666666666667</v>
      </c>
      <c r="K511" s="25">
        <f>122100/56300</f>
        <v>2.1687388987566609</v>
      </c>
      <c r="L511" s="25">
        <f t="shared" si="57"/>
        <v>0.46077873254564972</v>
      </c>
      <c r="M511" s="25">
        <f t="shared" si="58"/>
        <v>0.7237719298245614</v>
      </c>
      <c r="N511" s="25">
        <f t="shared" si="59"/>
        <v>1.7858441619145555</v>
      </c>
      <c r="O511" s="25">
        <v>1</v>
      </c>
      <c r="P511" s="25">
        <f>21310/54000</f>
        <v>0.39462962962962961</v>
      </c>
      <c r="Q511" s="25">
        <f>119200/56300</f>
        <v>2.1172291296625221</v>
      </c>
      <c r="R511" s="25">
        <v>97.624897624897613</v>
      </c>
      <c r="S511" s="25">
        <v>0</v>
      </c>
    </row>
    <row r="512" spans="1:20" x14ac:dyDescent="0.25">
      <c r="A512" s="31" t="s">
        <v>36</v>
      </c>
      <c r="B512" s="26" t="s">
        <v>35</v>
      </c>
      <c r="C512" s="26">
        <v>2</v>
      </c>
      <c r="D512" s="26" t="s">
        <v>26</v>
      </c>
      <c r="E512" s="25" t="s">
        <v>30</v>
      </c>
      <c r="F512" s="25" t="str">
        <f t="shared" si="53"/>
        <v>MT_2_0,5</v>
      </c>
      <c r="G512" s="25">
        <v>3</v>
      </c>
      <c r="H512" s="25">
        <f>29400/68400</f>
        <v>0.42982456140350878</v>
      </c>
      <c r="I512" s="25">
        <f>950.8/980</f>
        <v>0.97020408163265304</v>
      </c>
      <c r="J512" s="25">
        <f>81240/54000</f>
        <v>1.5044444444444445</v>
      </c>
      <c r="K512" s="25">
        <f>102500/56300</f>
        <v>1.8206039076376554</v>
      </c>
      <c r="L512" s="25">
        <f t="shared" si="57"/>
        <v>0.54037952022914426</v>
      </c>
      <c r="M512" s="25">
        <f t="shared" si="58"/>
        <v>1.0746198830409357</v>
      </c>
      <c r="N512" s="25">
        <f t="shared" si="59"/>
        <v>1.3907793462341467</v>
      </c>
      <c r="O512" s="25">
        <v>1</v>
      </c>
      <c r="P512" s="25">
        <f>20240/54000</f>
        <v>0.37481481481481482</v>
      </c>
      <c r="Q512" s="25">
        <f>57090/56300</f>
        <v>1.014031971580817</v>
      </c>
      <c r="R512" s="25">
        <v>55.697560975609747</v>
      </c>
      <c r="S512" s="25">
        <v>0</v>
      </c>
    </row>
    <row r="513" spans="1:19" x14ac:dyDescent="0.25">
      <c r="A513" s="31" t="s">
        <v>36</v>
      </c>
      <c r="B513" s="26" t="s">
        <v>35</v>
      </c>
      <c r="C513" s="26">
        <v>2</v>
      </c>
      <c r="D513" s="26" t="s">
        <v>26</v>
      </c>
      <c r="E513" s="25" t="s">
        <v>30</v>
      </c>
      <c r="F513" s="25" t="str">
        <f t="shared" si="53"/>
        <v>MT_2_0,5</v>
      </c>
      <c r="G513" s="25">
        <v>3</v>
      </c>
      <c r="H513" s="25">
        <f>30340/68400</f>
        <v>0.44356725146198828</v>
      </c>
      <c r="I513" s="25">
        <f>864/980</f>
        <v>0.88163265306122451</v>
      </c>
      <c r="J513" s="25">
        <f>73600/54000</f>
        <v>1.3629629629629629</v>
      </c>
      <c r="K513" s="25">
        <f>110500/56300</f>
        <v>1.9626998223801067</v>
      </c>
      <c r="L513" s="25">
        <f t="shared" si="57"/>
        <v>0.43806540159923624</v>
      </c>
      <c r="M513" s="25">
        <f t="shared" si="58"/>
        <v>0.91939571150097466</v>
      </c>
      <c r="N513" s="25">
        <f t="shared" si="59"/>
        <v>1.5191325709181185</v>
      </c>
      <c r="O513" s="25">
        <v>1</v>
      </c>
      <c r="Q513" s="25">
        <f>91170/56300</f>
        <v>1.6193605683836589</v>
      </c>
      <c r="R513" s="25">
        <v>82.50678733031674</v>
      </c>
      <c r="S513" s="25">
        <v>0</v>
      </c>
    </row>
    <row r="514" spans="1:19" x14ac:dyDescent="0.25">
      <c r="A514" s="31" t="s">
        <v>36</v>
      </c>
      <c r="B514" s="26" t="s">
        <v>35</v>
      </c>
      <c r="C514" s="26">
        <v>2</v>
      </c>
      <c r="D514" s="26" t="s">
        <v>26</v>
      </c>
      <c r="E514" s="25" t="s">
        <v>30</v>
      </c>
      <c r="F514" s="25" t="str">
        <f t="shared" ref="F514:F577" si="60">CONCATENATE(B514,"_",E514)</f>
        <v>MT_2_0,5</v>
      </c>
      <c r="G514" s="25">
        <v>4</v>
      </c>
      <c r="H514" s="25">
        <f>31970/68400</f>
        <v>0.46739766081871342</v>
      </c>
      <c r="I514" s="25">
        <f>867.5/980</f>
        <v>0.88520408163265307</v>
      </c>
      <c r="J514" s="25">
        <f>56780/54000</f>
        <v>1.0514814814814815</v>
      </c>
      <c r="K514" s="25">
        <f>122600/56300</f>
        <v>2.1776198934280639</v>
      </c>
      <c r="L514" s="25">
        <f t="shared" si="57"/>
        <v>0.41780642081393965</v>
      </c>
      <c r="M514" s="25">
        <f t="shared" si="58"/>
        <v>0.58408382066276809</v>
      </c>
      <c r="N514" s="25">
        <f t="shared" si="59"/>
        <v>1.7102222326093506</v>
      </c>
      <c r="O514" s="25">
        <v>1</v>
      </c>
      <c r="P514" s="25">
        <f>19620/54000</f>
        <v>0.36333333333333334</v>
      </c>
      <c r="Q514" s="25">
        <f>133900/56300</f>
        <v>2.3783303730017762</v>
      </c>
      <c r="R514" s="25">
        <v>109.21696574225122</v>
      </c>
      <c r="S514" s="25">
        <v>0</v>
      </c>
    </row>
    <row r="515" spans="1:19" x14ac:dyDescent="0.25">
      <c r="A515" s="31" t="s">
        <v>36</v>
      </c>
      <c r="B515" s="26" t="s">
        <v>35</v>
      </c>
      <c r="C515" s="26">
        <v>2</v>
      </c>
      <c r="D515" s="26" t="s">
        <v>26</v>
      </c>
      <c r="E515" s="25" t="s">
        <v>30</v>
      </c>
      <c r="F515" s="25" t="str">
        <f t="shared" si="60"/>
        <v>MT_2_0,5</v>
      </c>
      <c r="G515" s="25">
        <v>4</v>
      </c>
      <c r="H515" s="25">
        <f>33060/68400</f>
        <v>0.48333333333333334</v>
      </c>
      <c r="I515" s="25">
        <f>1681.5/6980</f>
        <v>0.2409025787965616</v>
      </c>
      <c r="J515" s="25">
        <f>97620/54000</f>
        <v>1.8077777777777777</v>
      </c>
      <c r="K515" s="25">
        <f>65690/56300</f>
        <v>1.1667850799289521</v>
      </c>
      <c r="L515" s="25">
        <f t="shared" si="57"/>
        <v>-0.24243075453677174</v>
      </c>
      <c r="M515" s="25">
        <f t="shared" si="58"/>
        <v>1.3244444444444443</v>
      </c>
      <c r="N515" s="25">
        <f t="shared" si="59"/>
        <v>0.68345174659561869</v>
      </c>
      <c r="O515" s="25">
        <v>1</v>
      </c>
      <c r="P515" s="25">
        <f>53810/54000</f>
        <v>0.99648148148148152</v>
      </c>
      <c r="Q515" s="25">
        <f>61100/56300</f>
        <v>1.0852575488454708</v>
      </c>
      <c r="R515" s="25">
        <v>93.012635104277678</v>
      </c>
      <c r="S515" s="25">
        <v>0</v>
      </c>
    </row>
    <row r="516" spans="1:19" x14ac:dyDescent="0.25">
      <c r="A516" s="31" t="s">
        <v>36</v>
      </c>
      <c r="B516" s="26" t="s">
        <v>35</v>
      </c>
      <c r="C516" s="26">
        <v>2</v>
      </c>
      <c r="D516" s="26" t="s">
        <v>26</v>
      </c>
      <c r="E516" s="25" t="s">
        <v>30</v>
      </c>
      <c r="F516" s="25" t="str">
        <f t="shared" si="60"/>
        <v>MT_2_0,5</v>
      </c>
      <c r="G516" s="25">
        <v>4</v>
      </c>
      <c r="H516" s="25">
        <f>33400/68400</f>
        <v>0.48830409356725146</v>
      </c>
      <c r="I516" s="25">
        <f>884.7/980</f>
        <v>0.90275510204081633</v>
      </c>
      <c r="J516" s="25">
        <f>75900/54000</f>
        <v>1.4055555555555554</v>
      </c>
      <c r="K516" s="25">
        <f>95960/56300</f>
        <v>1.7044404973357017</v>
      </c>
      <c r="L516" s="25">
        <f t="shared" si="57"/>
        <v>0.41445100847356486</v>
      </c>
      <c r="M516" s="25">
        <f t="shared" si="58"/>
        <v>0.91725146198830398</v>
      </c>
      <c r="N516" s="25">
        <f t="shared" si="59"/>
        <v>1.2161364037684503</v>
      </c>
      <c r="O516" s="25">
        <v>1</v>
      </c>
      <c r="P516" s="25">
        <f>42260/54000</f>
        <v>0.78259259259259262</v>
      </c>
      <c r="Q516" s="25">
        <f>87540/56300</f>
        <v>1.5548845470692718</v>
      </c>
      <c r="R516" s="25">
        <v>91.225510629428925</v>
      </c>
      <c r="S516" s="25">
        <v>0</v>
      </c>
    </row>
    <row r="517" spans="1:19" x14ac:dyDescent="0.25">
      <c r="A517" s="31" t="s">
        <v>36</v>
      </c>
      <c r="B517" s="26" t="s">
        <v>35</v>
      </c>
      <c r="C517" s="26">
        <v>2</v>
      </c>
      <c r="D517" s="26" t="s">
        <v>26</v>
      </c>
      <c r="E517" s="25" t="s">
        <v>30</v>
      </c>
      <c r="F517" s="25" t="str">
        <f t="shared" si="60"/>
        <v>MT_2_0,5</v>
      </c>
      <c r="G517" s="25">
        <v>4</v>
      </c>
      <c r="H517" s="25">
        <f>34390/68400</f>
        <v>0.50277777777777777</v>
      </c>
      <c r="I517" s="25">
        <f>1160/980</f>
        <v>1.1836734693877551</v>
      </c>
      <c r="J517" s="25">
        <f>86200/54000</f>
        <v>1.5962962962962963</v>
      </c>
      <c r="K517" s="25">
        <f>91800/56300</f>
        <v>1.6305506216696271</v>
      </c>
      <c r="L517" s="25">
        <f t="shared" si="57"/>
        <v>0.68089569160997732</v>
      </c>
      <c r="M517" s="25">
        <f t="shared" si="58"/>
        <v>1.0935185185185186</v>
      </c>
      <c r="N517" s="25">
        <f t="shared" si="59"/>
        <v>1.1277728438918493</v>
      </c>
      <c r="O517" s="25">
        <v>1</v>
      </c>
      <c r="P517" s="25">
        <f>28450/54000</f>
        <v>0.5268518518518519</v>
      </c>
      <c r="Q517" s="25">
        <f>49930/56300</f>
        <v>0.88685612788632329</v>
      </c>
      <c r="R517" s="25">
        <v>54.389978213507625</v>
      </c>
      <c r="S517" s="25">
        <v>0</v>
      </c>
    </row>
    <row r="518" spans="1:19" x14ac:dyDescent="0.25">
      <c r="A518" s="31" t="s">
        <v>36</v>
      </c>
      <c r="B518" s="26" t="s">
        <v>35</v>
      </c>
      <c r="C518" s="26">
        <v>2</v>
      </c>
      <c r="D518" s="26" t="s">
        <v>26</v>
      </c>
      <c r="E518" s="25" t="s">
        <v>30</v>
      </c>
      <c r="F518" s="25" t="str">
        <f t="shared" si="60"/>
        <v>MT_2_0,5</v>
      </c>
      <c r="G518" s="25">
        <v>4</v>
      </c>
      <c r="H518" s="25">
        <f>34840/68400</f>
        <v>0.50935672514619879</v>
      </c>
      <c r="I518" s="25">
        <f>850.1/980</f>
        <v>0.86744897959183676</v>
      </c>
      <c r="J518" s="25">
        <f>55820/54000</f>
        <v>1.0337037037037038</v>
      </c>
      <c r="K518" s="25">
        <f>109300/56300</f>
        <v>1.941385435168739</v>
      </c>
      <c r="L518" s="25">
        <f t="shared" si="57"/>
        <v>0.35809225444563797</v>
      </c>
      <c r="M518" s="25">
        <f t="shared" si="58"/>
        <v>0.52434697855750501</v>
      </c>
      <c r="N518" s="25">
        <f t="shared" si="59"/>
        <v>1.4320287100225402</v>
      </c>
      <c r="O518" s="25">
        <v>1</v>
      </c>
      <c r="Q518" s="25">
        <f>62780/56300</f>
        <v>1.1150976909413854</v>
      </c>
      <c r="R518" s="25">
        <v>57.438243366880151</v>
      </c>
      <c r="S518" s="25">
        <v>0</v>
      </c>
    </row>
    <row r="519" spans="1:19" x14ac:dyDescent="0.25">
      <c r="A519" s="31" t="s">
        <v>36</v>
      </c>
      <c r="B519" s="26" t="s">
        <v>35</v>
      </c>
      <c r="C519" s="26">
        <v>2</v>
      </c>
      <c r="D519" s="26" t="s">
        <v>26</v>
      </c>
      <c r="E519" s="25" t="s">
        <v>30</v>
      </c>
      <c r="F519" s="25" t="str">
        <f t="shared" si="60"/>
        <v>MT_2_0,5</v>
      </c>
      <c r="G519" s="25">
        <v>4</v>
      </c>
      <c r="H519" s="25">
        <f>35000/68400</f>
        <v>0.51169590643274854</v>
      </c>
      <c r="I519" s="25">
        <f>1102/980</f>
        <v>1.1244897959183673</v>
      </c>
      <c r="J519" s="25">
        <f>67210/54000</f>
        <v>1.2446296296296295</v>
      </c>
      <c r="K519" s="25">
        <f>71710/56300</f>
        <v>1.2737122557726466</v>
      </c>
      <c r="L519" s="25">
        <f t="shared" si="57"/>
        <v>0.61279388948561875</v>
      </c>
      <c r="M519" s="25">
        <f t="shared" si="58"/>
        <v>0.73293372319688099</v>
      </c>
      <c r="N519" s="25">
        <f t="shared" si="59"/>
        <v>0.76201634933989804</v>
      </c>
      <c r="O519" s="25">
        <v>1</v>
      </c>
      <c r="P519" s="25">
        <f>54490/54000</f>
        <v>1.009074074074074</v>
      </c>
      <c r="Q519" s="25">
        <f>57470/56300</f>
        <v>1.0207815275310834</v>
      </c>
      <c r="R519" s="25">
        <v>80.142239576070267</v>
      </c>
      <c r="S519" s="25">
        <v>0</v>
      </c>
    </row>
    <row r="520" spans="1:19" x14ac:dyDescent="0.25">
      <c r="A520" s="31" t="s">
        <v>36</v>
      </c>
      <c r="B520" s="26" t="s">
        <v>35</v>
      </c>
      <c r="C520" s="26">
        <v>2</v>
      </c>
      <c r="D520" s="26" t="s">
        <v>26</v>
      </c>
      <c r="E520" s="25" t="s">
        <v>30</v>
      </c>
      <c r="F520" s="25" t="str">
        <f t="shared" si="60"/>
        <v>MT_2_0,5</v>
      </c>
      <c r="G520" s="25">
        <v>4</v>
      </c>
      <c r="H520" s="25">
        <f>35180/68400</f>
        <v>0.51432748538011697</v>
      </c>
      <c r="I520" s="25">
        <f>982.1/980</f>
        <v>1.0021428571428572</v>
      </c>
      <c r="J520" s="25">
        <f>79120/54000</f>
        <v>1.4651851851851851</v>
      </c>
      <c r="K520" s="25">
        <f>91520/56300</f>
        <v>1.6255772646536413</v>
      </c>
      <c r="L520" s="25">
        <f t="shared" ref="L520:L551" si="61">I520-H520</f>
        <v>0.48781537176274026</v>
      </c>
      <c r="M520" s="25">
        <f t="shared" si="58"/>
        <v>0.95085769980506818</v>
      </c>
      <c r="N520" s="25">
        <f t="shared" si="59"/>
        <v>1.1112497792735243</v>
      </c>
      <c r="O520" s="25">
        <v>1</v>
      </c>
      <c r="P520" s="25">
        <f>44500/54000</f>
        <v>0.82407407407407407</v>
      </c>
      <c r="Q520" s="25">
        <f>53060/56300</f>
        <v>0.94245115452930728</v>
      </c>
      <c r="R520" s="25">
        <v>57.976398601398593</v>
      </c>
      <c r="S520" s="25">
        <v>0</v>
      </c>
    </row>
    <row r="521" spans="1:19" x14ac:dyDescent="0.25">
      <c r="A521" s="31" t="s">
        <v>36</v>
      </c>
      <c r="B521" s="26" t="s">
        <v>35</v>
      </c>
      <c r="C521" s="26">
        <v>2</v>
      </c>
      <c r="D521" s="26" t="s">
        <v>26</v>
      </c>
      <c r="E521" s="25" t="s">
        <v>30</v>
      </c>
      <c r="F521" s="25" t="str">
        <f t="shared" si="60"/>
        <v>MT_2_0,5</v>
      </c>
      <c r="G521" s="25">
        <v>4</v>
      </c>
      <c r="H521" s="25">
        <f>38820/68400</f>
        <v>0.56754385964912279</v>
      </c>
      <c r="I521" s="25">
        <f>1121/980</f>
        <v>1.1438775510204082</v>
      </c>
      <c r="J521" s="25">
        <f>88070/56300</f>
        <v>1.5642984014209591</v>
      </c>
      <c r="K521" s="25">
        <f>143100/54000</f>
        <v>2.65</v>
      </c>
      <c r="L521" s="25">
        <f t="shared" si="61"/>
        <v>0.57633369137128543</v>
      </c>
      <c r="M521" s="25">
        <f t="shared" si="58"/>
        <v>0.99675454177183631</v>
      </c>
      <c r="N521" s="25">
        <f t="shared" si="59"/>
        <v>2.0824561403508772</v>
      </c>
      <c r="O521" s="25">
        <v>1</v>
      </c>
      <c r="P521" s="25">
        <f>78070/56300</f>
        <v>1.3866785079928952</v>
      </c>
      <c r="Q521" s="25">
        <f>112300/54000</f>
        <v>2.0796296296296295</v>
      </c>
      <c r="R521" s="25">
        <v>78.476589797344502</v>
      </c>
      <c r="S521" s="25">
        <v>0</v>
      </c>
    </row>
    <row r="522" spans="1:19" x14ac:dyDescent="0.25">
      <c r="A522" s="31" t="s">
        <v>36</v>
      </c>
      <c r="B522" s="26" t="s">
        <v>35</v>
      </c>
      <c r="C522" s="26">
        <v>2</v>
      </c>
      <c r="D522" s="26" t="s">
        <v>26</v>
      </c>
      <c r="E522" s="25" t="s">
        <v>30</v>
      </c>
      <c r="F522" s="25" t="str">
        <f t="shared" si="60"/>
        <v>MT_2_0,5</v>
      </c>
      <c r="G522" s="25">
        <v>4</v>
      </c>
      <c r="H522" s="25">
        <f>41430/68400</f>
        <v>0.60570175438596496</v>
      </c>
      <c r="I522" s="25">
        <f>1098/980</f>
        <v>1.120408163265306</v>
      </c>
      <c r="J522" s="25">
        <f>73700/54000</f>
        <v>1.3648148148148149</v>
      </c>
      <c r="K522" s="25">
        <f>81990/56300</f>
        <v>1.4563055062166963</v>
      </c>
      <c r="L522" s="25">
        <f t="shared" si="61"/>
        <v>0.51470640887934105</v>
      </c>
      <c r="M522" s="25">
        <f t="shared" si="58"/>
        <v>0.75911306042884996</v>
      </c>
      <c r="N522" s="25">
        <f t="shared" si="59"/>
        <v>0.85060375183073134</v>
      </c>
      <c r="O522" s="25">
        <v>1</v>
      </c>
      <c r="P522" s="25">
        <f>37650/54000</f>
        <v>0.69722222222222219</v>
      </c>
      <c r="Q522" s="25">
        <f>58650/56300</f>
        <v>1.0417406749555951</v>
      </c>
      <c r="R522" s="25">
        <v>71.533113794365164</v>
      </c>
      <c r="S522" s="25">
        <v>0</v>
      </c>
    </row>
    <row r="523" spans="1:19" x14ac:dyDescent="0.25">
      <c r="A523" s="31" t="s">
        <v>36</v>
      </c>
      <c r="B523" s="26" t="s">
        <v>35</v>
      </c>
      <c r="C523" s="26">
        <v>2</v>
      </c>
      <c r="D523" s="26" t="s">
        <v>26</v>
      </c>
      <c r="E523" s="25" t="s">
        <v>30</v>
      </c>
      <c r="F523" s="25" t="str">
        <f t="shared" si="60"/>
        <v>MT_2_0,5</v>
      </c>
      <c r="G523" s="25">
        <v>5</v>
      </c>
      <c r="H523" s="25">
        <f>42110/68400</f>
        <v>0.61564327485380121</v>
      </c>
      <c r="I523" s="25">
        <f>1106/980</f>
        <v>1.1285714285714286</v>
      </c>
      <c r="J523" s="25">
        <f>68430/54000</f>
        <v>1.2672222222222222</v>
      </c>
      <c r="K523" s="25">
        <f>80850/56300</f>
        <v>1.4360568383658969</v>
      </c>
      <c r="L523" s="25">
        <f t="shared" si="61"/>
        <v>0.51292815371762734</v>
      </c>
      <c r="M523" s="25">
        <f t="shared" si="58"/>
        <v>0.65157894736842104</v>
      </c>
      <c r="N523" s="25">
        <f t="shared" si="59"/>
        <v>0.82041356351209571</v>
      </c>
      <c r="O523" s="25">
        <v>1</v>
      </c>
      <c r="P523" s="25">
        <f>23980/54000</f>
        <v>0.44407407407407407</v>
      </c>
      <c r="Q523" s="25">
        <f>52270/56300</f>
        <v>0.92841918294849024</v>
      </c>
      <c r="R523" s="25">
        <v>64.650587507730378</v>
      </c>
      <c r="S523" s="25">
        <v>0</v>
      </c>
    </row>
    <row r="524" spans="1:19" x14ac:dyDescent="0.25">
      <c r="A524" s="31" t="s">
        <v>36</v>
      </c>
      <c r="B524" s="26" t="s">
        <v>35</v>
      </c>
      <c r="C524" s="26">
        <v>2</v>
      </c>
      <c r="D524" s="26" t="s">
        <v>26</v>
      </c>
      <c r="E524" s="25" t="s">
        <v>30</v>
      </c>
      <c r="F524" s="25" t="str">
        <f t="shared" si="60"/>
        <v>MT_2_0,5</v>
      </c>
      <c r="G524" s="25">
        <v>5</v>
      </c>
      <c r="H524" s="25">
        <f>42240/68400</f>
        <v>0.61754385964912284</v>
      </c>
      <c r="I524" s="25">
        <f>1200/980</f>
        <v>1.2244897959183674</v>
      </c>
      <c r="J524" s="25">
        <f>73000/54000</f>
        <v>1.3518518518518519</v>
      </c>
      <c r="K524" s="25">
        <f>78510/56300</f>
        <v>1.3944937833037301</v>
      </c>
      <c r="L524" s="25">
        <f t="shared" si="61"/>
        <v>0.60694593626924453</v>
      </c>
      <c r="M524" s="25">
        <f t="shared" si="58"/>
        <v>0.73430799220272902</v>
      </c>
      <c r="N524" s="25">
        <f t="shared" si="59"/>
        <v>0.77694992365460724</v>
      </c>
      <c r="O524" s="25">
        <v>1</v>
      </c>
      <c r="P524" s="25">
        <f>59370/54000</f>
        <v>1.0994444444444444</v>
      </c>
      <c r="Q524" s="25">
        <f>49100/56300</f>
        <v>0.87211367673179396</v>
      </c>
      <c r="R524" s="25">
        <v>62.539803846643736</v>
      </c>
      <c r="S524" s="25">
        <v>0</v>
      </c>
    </row>
    <row r="525" spans="1:19" x14ac:dyDescent="0.25">
      <c r="A525" s="31" t="s">
        <v>36</v>
      </c>
      <c r="B525" s="26" t="s">
        <v>35</v>
      </c>
      <c r="C525" s="26">
        <v>2</v>
      </c>
      <c r="D525" s="26" t="s">
        <v>26</v>
      </c>
      <c r="E525" s="25" t="s">
        <v>30</v>
      </c>
      <c r="F525" s="25" t="str">
        <f t="shared" si="60"/>
        <v>MT_2_0,5</v>
      </c>
      <c r="G525" s="25">
        <v>5</v>
      </c>
      <c r="H525" s="25">
        <f>43670/68400</f>
        <v>0.63845029239766082</v>
      </c>
      <c r="I525" s="25">
        <f>1051/980</f>
        <v>1.0724489795918368</v>
      </c>
      <c r="J525" s="25">
        <f>120800/54000</f>
        <v>2.2370370370370369</v>
      </c>
      <c r="K525" s="25">
        <f>134910/56300</f>
        <v>2.3962699822380107</v>
      </c>
      <c r="L525" s="25">
        <f t="shared" si="61"/>
        <v>0.433998687194176</v>
      </c>
      <c r="M525" s="25">
        <f t="shared" si="58"/>
        <v>1.598586744639376</v>
      </c>
      <c r="N525" s="25">
        <f t="shared" si="59"/>
        <v>1.7578196898403498</v>
      </c>
      <c r="O525" s="25">
        <v>1</v>
      </c>
      <c r="P525" s="25">
        <f>59070/54000</f>
        <v>1.0938888888888889</v>
      </c>
      <c r="Q525" s="25">
        <f>92940/56300</f>
        <v>1.6507992895204262</v>
      </c>
      <c r="R525" s="25">
        <v>68.890371358683566</v>
      </c>
      <c r="S525" s="25">
        <v>0</v>
      </c>
    </row>
    <row r="526" spans="1:19" x14ac:dyDescent="0.25">
      <c r="A526" s="31" t="s">
        <v>36</v>
      </c>
      <c r="B526" s="26" t="s">
        <v>35</v>
      </c>
      <c r="C526" s="26">
        <v>2</v>
      </c>
      <c r="D526" s="26" t="s">
        <v>26</v>
      </c>
      <c r="E526" s="25" t="s">
        <v>30</v>
      </c>
      <c r="F526" s="25" t="str">
        <f t="shared" si="60"/>
        <v>MT_2_0,5</v>
      </c>
      <c r="G526" s="25">
        <v>6</v>
      </c>
      <c r="H526" s="25">
        <f>83550/68400</f>
        <v>1.2214912280701755</v>
      </c>
      <c r="I526" s="25">
        <f>1423/980</f>
        <v>1.4520408163265306</v>
      </c>
      <c r="J526" s="25">
        <f>101500/54000</f>
        <v>1.8796296296296295</v>
      </c>
      <c r="K526" s="25">
        <f>133900/56300</f>
        <v>2.3783303730017762</v>
      </c>
      <c r="L526" s="25">
        <f t="shared" si="61"/>
        <v>0.23054958825635508</v>
      </c>
      <c r="M526" s="25">
        <f t="shared" ref="M526:M557" si="62">J526-H526</f>
        <v>0.65813840155945402</v>
      </c>
      <c r="N526" s="25">
        <f t="shared" si="59"/>
        <v>1.1568391449316007</v>
      </c>
      <c r="O526" s="25">
        <v>1</v>
      </c>
      <c r="P526" s="25">
        <f>83680/54000</f>
        <v>1.5496296296296297</v>
      </c>
      <c r="Q526" s="25">
        <f>110500/56300</f>
        <v>1.9626998223801067</v>
      </c>
      <c r="R526" s="25">
        <v>82.524271844660205</v>
      </c>
      <c r="S526" s="25">
        <v>0</v>
      </c>
    </row>
    <row r="527" spans="1:19" x14ac:dyDescent="0.25">
      <c r="A527" s="31" t="s">
        <v>36</v>
      </c>
      <c r="B527" s="26" t="s">
        <v>35</v>
      </c>
      <c r="C527" s="26">
        <v>2</v>
      </c>
      <c r="D527" s="26" t="s">
        <v>26</v>
      </c>
      <c r="E527" s="25" t="s">
        <v>30</v>
      </c>
      <c r="F527" s="25" t="str">
        <f t="shared" si="60"/>
        <v>MT_2_0,5</v>
      </c>
      <c r="G527" s="25">
        <v>2</v>
      </c>
      <c r="H527" s="25">
        <f>14800/68400</f>
        <v>0.21637426900584794</v>
      </c>
      <c r="I527" s="25">
        <f>836.3/980</f>
        <v>0.85336734693877547</v>
      </c>
      <c r="J527" s="25">
        <f>49020/54000</f>
        <v>0.90777777777777779</v>
      </c>
      <c r="K527" s="25">
        <f>71370/56300</f>
        <v>1.2676731793960923</v>
      </c>
      <c r="L527" s="25">
        <f t="shared" si="61"/>
        <v>0.63699307793292759</v>
      </c>
      <c r="M527" s="25">
        <f t="shared" si="62"/>
        <v>0.69140350877192991</v>
      </c>
      <c r="N527" s="25">
        <f t="shared" si="59"/>
        <v>1.0512989103902444</v>
      </c>
      <c r="O527" s="25">
        <v>0</v>
      </c>
    </row>
    <row r="528" spans="1:19" x14ac:dyDescent="0.25">
      <c r="A528" s="31" t="s">
        <v>34</v>
      </c>
      <c r="B528" s="26" t="s">
        <v>35</v>
      </c>
      <c r="C528" s="26">
        <v>2</v>
      </c>
      <c r="D528" s="26" t="s">
        <v>26</v>
      </c>
      <c r="E528" s="25" t="s">
        <v>30</v>
      </c>
      <c r="F528" s="25" t="str">
        <f t="shared" si="60"/>
        <v>MT_2_0,5</v>
      </c>
      <c r="G528" s="25">
        <v>2</v>
      </c>
      <c r="H528" s="25">
        <f>14760/58730</f>
        <v>0.25131959816107613</v>
      </c>
      <c r="I528" s="25">
        <f>26170/54310</f>
        <v>0.4818633769103296</v>
      </c>
      <c r="J528" s="25">
        <f>86570/86090</f>
        <v>1.0055755604599836</v>
      </c>
      <c r="L528" s="25">
        <f t="shared" si="61"/>
        <v>0.23054377874925347</v>
      </c>
      <c r="M528" s="25">
        <f t="shared" si="62"/>
        <v>0.75425596229890757</v>
      </c>
      <c r="O528" s="25">
        <v>0</v>
      </c>
    </row>
    <row r="529" spans="1:20" x14ac:dyDescent="0.25">
      <c r="A529" s="31" t="s">
        <v>36</v>
      </c>
      <c r="B529" s="26" t="s">
        <v>35</v>
      </c>
      <c r="C529" s="26">
        <v>2</v>
      </c>
      <c r="D529" s="26" t="s">
        <v>26</v>
      </c>
      <c r="E529" s="25" t="s">
        <v>30</v>
      </c>
      <c r="F529" s="25" t="str">
        <f t="shared" si="60"/>
        <v>MT_2_0,5</v>
      </c>
      <c r="G529" s="25">
        <v>2</v>
      </c>
      <c r="H529" s="25">
        <f>19180/68400</f>
        <v>0.28040935672514622</v>
      </c>
      <c r="I529" s="25">
        <f>675.9/980</f>
        <v>0.68969387755102041</v>
      </c>
      <c r="J529" s="25">
        <f>38570/54000</f>
        <v>0.71425925925925926</v>
      </c>
      <c r="K529" s="25">
        <f>182800/56300</f>
        <v>3.2468916518650088</v>
      </c>
      <c r="L529" s="25">
        <f t="shared" si="61"/>
        <v>0.40928452082587419</v>
      </c>
      <c r="M529" s="25">
        <f t="shared" si="62"/>
        <v>0.43384990253411304</v>
      </c>
      <c r="N529" s="25">
        <f>K529-H529</f>
        <v>2.9664822951398628</v>
      </c>
      <c r="O529" s="25">
        <v>0</v>
      </c>
    </row>
    <row r="530" spans="1:20" x14ac:dyDescent="0.25">
      <c r="A530" s="31" t="s">
        <v>36</v>
      </c>
      <c r="B530" s="26" t="s">
        <v>35</v>
      </c>
      <c r="C530" s="26">
        <v>2</v>
      </c>
      <c r="D530" s="26" t="s">
        <v>26</v>
      </c>
      <c r="E530" s="25" t="s">
        <v>30</v>
      </c>
      <c r="F530" s="25" t="str">
        <f t="shared" si="60"/>
        <v>MT_2_0,5</v>
      </c>
      <c r="G530" s="25">
        <v>2</v>
      </c>
      <c r="H530" s="25">
        <f>20630/68400</f>
        <v>0.30160818713450294</v>
      </c>
      <c r="I530" s="25">
        <f>908.6/980</f>
        <v>0.92714285714285716</v>
      </c>
      <c r="J530" s="25">
        <f>74470/54000</f>
        <v>1.3790740740740741</v>
      </c>
      <c r="K530" s="25">
        <f>86040/56300</f>
        <v>1.5282415630550621</v>
      </c>
      <c r="L530" s="25">
        <f t="shared" si="61"/>
        <v>0.62553467000835417</v>
      </c>
      <c r="M530" s="25">
        <f t="shared" si="62"/>
        <v>1.0774658869395712</v>
      </c>
      <c r="N530" s="25">
        <f>K530-H530</f>
        <v>1.2266333759205592</v>
      </c>
      <c r="O530" s="25">
        <v>0</v>
      </c>
    </row>
    <row r="531" spans="1:20" x14ac:dyDescent="0.25">
      <c r="A531" s="31" t="s">
        <v>34</v>
      </c>
      <c r="B531" s="26" t="s">
        <v>35</v>
      </c>
      <c r="C531" s="26">
        <v>2</v>
      </c>
      <c r="D531" s="26" t="s">
        <v>26</v>
      </c>
      <c r="E531" s="25" t="s">
        <v>30</v>
      </c>
      <c r="F531" s="25" t="str">
        <f t="shared" si="60"/>
        <v>MT_2_0,5</v>
      </c>
      <c r="G531" s="25">
        <v>2</v>
      </c>
      <c r="H531" s="25">
        <f>18150/58730</f>
        <v>0.30904137578750213</v>
      </c>
      <c r="I531" s="25">
        <f>52490/86090</f>
        <v>0.60971076780113831</v>
      </c>
      <c r="J531" s="25">
        <f>76130/54310</f>
        <v>1.4017676302706683</v>
      </c>
      <c r="L531" s="25">
        <f t="shared" si="61"/>
        <v>0.30066939201363618</v>
      </c>
      <c r="M531" s="25">
        <f t="shared" si="62"/>
        <v>1.0927262544831662</v>
      </c>
      <c r="O531" s="25">
        <v>0</v>
      </c>
    </row>
    <row r="532" spans="1:20" x14ac:dyDescent="0.25">
      <c r="A532" s="31" t="s">
        <v>36</v>
      </c>
      <c r="B532" s="26" t="s">
        <v>35</v>
      </c>
      <c r="C532" s="26">
        <v>2</v>
      </c>
      <c r="D532" s="26" t="s">
        <v>26</v>
      </c>
      <c r="E532" s="25" t="s">
        <v>30</v>
      </c>
      <c r="F532" s="25" t="str">
        <f t="shared" si="60"/>
        <v>MT_2_0,5</v>
      </c>
      <c r="G532" s="25">
        <v>2</v>
      </c>
      <c r="H532" s="25">
        <f>21170/68400</f>
        <v>0.30950292397660817</v>
      </c>
      <c r="I532" s="25">
        <f>705.4/980</f>
        <v>0.71979591836734691</v>
      </c>
      <c r="J532" s="25">
        <f>66580/54000</f>
        <v>1.232962962962963</v>
      </c>
      <c r="L532" s="25">
        <f t="shared" si="61"/>
        <v>0.41029299439073874</v>
      </c>
      <c r="M532" s="25">
        <f t="shared" si="62"/>
        <v>0.92346003898635487</v>
      </c>
      <c r="O532" s="25">
        <v>0</v>
      </c>
    </row>
    <row r="533" spans="1:20" x14ac:dyDescent="0.25">
      <c r="A533" s="31" t="s">
        <v>36</v>
      </c>
      <c r="B533" s="26" t="s">
        <v>35</v>
      </c>
      <c r="C533" s="26">
        <v>2</v>
      </c>
      <c r="D533" s="26" t="s">
        <v>26</v>
      </c>
      <c r="E533" s="25" t="s">
        <v>30</v>
      </c>
      <c r="F533" s="25" t="str">
        <f t="shared" si="60"/>
        <v>MT_2_0,5</v>
      </c>
      <c r="G533" s="25">
        <v>3</v>
      </c>
      <c r="H533" s="25">
        <f>27560/68400</f>
        <v>0.40292397660818713</v>
      </c>
      <c r="I533" s="25">
        <f>1032/980</f>
        <v>1.0530612244897959</v>
      </c>
      <c r="J533" s="25">
        <f>97270/54000</f>
        <v>1.8012962962962964</v>
      </c>
      <c r="K533" s="25">
        <f>102670/56300</f>
        <v>1.8236234458259326</v>
      </c>
      <c r="L533" s="25">
        <f t="shared" si="61"/>
        <v>0.65013724788160876</v>
      </c>
      <c r="M533" s="25">
        <f t="shared" si="62"/>
        <v>1.3983723196881093</v>
      </c>
      <c r="N533" s="25">
        <f>K533-H533</f>
        <v>1.4206994692177455</v>
      </c>
      <c r="O533" s="25">
        <v>0</v>
      </c>
    </row>
    <row r="534" spans="1:20" x14ac:dyDescent="0.25">
      <c r="A534" s="31" t="s">
        <v>36</v>
      </c>
      <c r="B534" s="26" t="s">
        <v>35</v>
      </c>
      <c r="C534" s="26">
        <v>2</v>
      </c>
      <c r="D534" s="26" t="s">
        <v>26</v>
      </c>
      <c r="E534" s="25" t="s">
        <v>30</v>
      </c>
      <c r="F534" s="25" t="str">
        <f t="shared" si="60"/>
        <v>MT_2_0,5</v>
      </c>
      <c r="G534" s="25">
        <v>3</v>
      </c>
      <c r="H534" s="25">
        <f>28980/68400</f>
        <v>0.42368421052631577</v>
      </c>
      <c r="I534" s="25">
        <f>935.7/980</f>
        <v>0.95479591836734701</v>
      </c>
      <c r="J534" s="25">
        <f>103400/54000</f>
        <v>1.9148148148148147</v>
      </c>
      <c r="K534" s="25">
        <f>116690/56300</f>
        <v>2.0726465364120781</v>
      </c>
      <c r="L534" s="25">
        <f t="shared" si="61"/>
        <v>0.53111170784103123</v>
      </c>
      <c r="M534" s="25">
        <f t="shared" si="62"/>
        <v>1.4911306042884989</v>
      </c>
      <c r="N534" s="25">
        <f>K534-H534</f>
        <v>1.6489623258857624</v>
      </c>
      <c r="O534" s="25">
        <v>0</v>
      </c>
    </row>
    <row r="535" spans="1:20" x14ac:dyDescent="0.25">
      <c r="A535" s="31" t="s">
        <v>34</v>
      </c>
      <c r="B535" s="26" t="s">
        <v>35</v>
      </c>
      <c r="C535" s="26">
        <v>2</v>
      </c>
      <c r="D535" s="26" t="s">
        <v>26</v>
      </c>
      <c r="E535" s="25" t="s">
        <v>30</v>
      </c>
      <c r="F535" s="25" t="str">
        <f t="shared" si="60"/>
        <v>MT_2_0,5</v>
      </c>
      <c r="G535" s="25">
        <v>3</v>
      </c>
      <c r="H535" s="25">
        <f>25200/58730</f>
        <v>0.42908224076281287</v>
      </c>
      <c r="I535" s="25">
        <f>84260/86090</f>
        <v>0.97874317574631198</v>
      </c>
      <c r="J535" s="25">
        <f>60920/54310</f>
        <v>1.121708709261646</v>
      </c>
      <c r="L535" s="25">
        <f t="shared" si="61"/>
        <v>0.54966093498349911</v>
      </c>
      <c r="M535" s="25">
        <f t="shared" si="62"/>
        <v>0.69262646849883314</v>
      </c>
      <c r="O535" s="25">
        <v>0</v>
      </c>
    </row>
    <row r="536" spans="1:20" x14ac:dyDescent="0.25">
      <c r="A536" s="31" t="s">
        <v>34</v>
      </c>
      <c r="B536" s="26" t="s">
        <v>35</v>
      </c>
      <c r="C536" s="26">
        <v>2</v>
      </c>
      <c r="D536" s="26" t="s">
        <v>26</v>
      </c>
      <c r="E536" s="25" t="s">
        <v>30</v>
      </c>
      <c r="F536" s="25" t="str">
        <f t="shared" si="60"/>
        <v>MT_2_0,5</v>
      </c>
      <c r="G536" s="25">
        <v>4</v>
      </c>
      <c r="H536" s="25">
        <f>39930/86090</f>
        <v>0.46381693576489719</v>
      </c>
      <c r="I536" s="25">
        <f>41330/58730</f>
        <v>0.70372892899710537</v>
      </c>
      <c r="J536" s="25">
        <f>62900/54310</f>
        <v>1.1581660835941816</v>
      </c>
      <c r="L536" s="25">
        <f t="shared" si="61"/>
        <v>0.23991199323220819</v>
      </c>
      <c r="M536" s="25">
        <f t="shared" si="62"/>
        <v>0.69434914782928447</v>
      </c>
      <c r="O536" s="25">
        <v>0</v>
      </c>
    </row>
    <row r="537" spans="1:20" x14ac:dyDescent="0.25">
      <c r="A537" s="31" t="s">
        <v>34</v>
      </c>
      <c r="B537" s="26" t="s">
        <v>35</v>
      </c>
      <c r="C537" s="26">
        <v>2</v>
      </c>
      <c r="D537" s="26" t="s">
        <v>26</v>
      </c>
      <c r="E537" s="25" t="s">
        <v>30</v>
      </c>
      <c r="F537" s="25" t="str">
        <f t="shared" si="60"/>
        <v>MT_2_0,5</v>
      </c>
      <c r="G537" s="25">
        <v>4</v>
      </c>
      <c r="H537" s="25">
        <f>26520/54310</f>
        <v>0.4883078622721414</v>
      </c>
      <c r="I537" s="25">
        <f>59330/86090</f>
        <v>0.68916250435590665</v>
      </c>
      <c r="J537" s="25">
        <f>45320/58730</f>
        <v>0.77166695045121747</v>
      </c>
      <c r="L537" s="25">
        <f t="shared" si="61"/>
        <v>0.20085464208376524</v>
      </c>
      <c r="M537" s="25">
        <f t="shared" si="62"/>
        <v>0.28335908817907607</v>
      </c>
      <c r="O537" s="25">
        <v>0</v>
      </c>
    </row>
    <row r="538" spans="1:20" x14ac:dyDescent="0.25">
      <c r="A538" s="31" t="s">
        <v>34</v>
      </c>
      <c r="B538" s="26" t="s">
        <v>35</v>
      </c>
      <c r="C538" s="26">
        <v>2</v>
      </c>
      <c r="D538" s="26" t="s">
        <v>26</v>
      </c>
      <c r="E538" s="25" t="s">
        <v>30</v>
      </c>
      <c r="F538" s="25" t="str">
        <f t="shared" si="60"/>
        <v>MT_2_0,5</v>
      </c>
      <c r="G538" s="25">
        <v>4</v>
      </c>
      <c r="H538" s="25">
        <f>34120/58730</f>
        <v>0.58096373233441168</v>
      </c>
      <c r="I538" s="25">
        <f>64340/86090</f>
        <v>0.74735741665698685</v>
      </c>
      <c r="J538" s="25">
        <f>48630/54310</f>
        <v>0.8954152089854539</v>
      </c>
      <c r="L538" s="25">
        <f t="shared" si="61"/>
        <v>0.16639368432257517</v>
      </c>
      <c r="M538" s="25">
        <f t="shared" si="62"/>
        <v>0.31445147665104223</v>
      </c>
      <c r="O538" s="25">
        <v>0</v>
      </c>
    </row>
    <row r="539" spans="1:20" x14ac:dyDescent="0.25">
      <c r="A539" s="31" t="s">
        <v>36</v>
      </c>
      <c r="B539" s="26" t="s">
        <v>35</v>
      </c>
      <c r="C539" s="26">
        <v>2</v>
      </c>
      <c r="D539" s="26" t="s">
        <v>26</v>
      </c>
      <c r="E539" s="25" t="s">
        <v>30</v>
      </c>
      <c r="F539" s="25" t="str">
        <f t="shared" si="60"/>
        <v>MT_2_0,5</v>
      </c>
      <c r="G539" s="25">
        <v>5</v>
      </c>
      <c r="H539" s="25">
        <f>47300/68400</f>
        <v>0.69152046783625731</v>
      </c>
      <c r="I539" s="25">
        <f>1251/980</f>
        <v>1.2765306122448981</v>
      </c>
      <c r="J539" s="25">
        <f>106200/54000</f>
        <v>1.9666666666666666</v>
      </c>
      <c r="K539" s="25">
        <f>123100/56300</f>
        <v>2.186500888099467</v>
      </c>
      <c r="L539" s="25">
        <f t="shared" si="61"/>
        <v>0.58501014440864074</v>
      </c>
      <c r="M539" s="25">
        <f t="shared" si="62"/>
        <v>1.2751461988304094</v>
      </c>
      <c r="N539" s="25">
        <f>K539-H539</f>
        <v>1.4949804202632095</v>
      </c>
      <c r="O539" s="25">
        <v>0</v>
      </c>
    </row>
    <row r="540" spans="1:20" x14ac:dyDescent="0.25">
      <c r="A540" s="31" t="s">
        <v>34</v>
      </c>
      <c r="B540" s="26" t="s">
        <v>35</v>
      </c>
      <c r="C540" s="26">
        <v>2</v>
      </c>
      <c r="D540" s="26" t="s">
        <v>26</v>
      </c>
      <c r="E540" s="25" t="s">
        <v>30</v>
      </c>
      <c r="F540" s="25" t="str">
        <f t="shared" si="60"/>
        <v>MT_2_0,5</v>
      </c>
      <c r="G540" s="25">
        <v>6</v>
      </c>
      <c r="H540" s="25">
        <f>45730/58730</f>
        <v>0.77864805040013618</v>
      </c>
      <c r="I540" s="25">
        <f>70150/86090</f>
        <v>0.81484492972470668</v>
      </c>
      <c r="J540" s="25">
        <f>48900/54310</f>
        <v>0.90038666912170873</v>
      </c>
      <c r="L540" s="25">
        <f t="shared" si="61"/>
        <v>3.6196879324570497E-2</v>
      </c>
      <c r="M540" s="25">
        <f t="shared" si="62"/>
        <v>0.12173861872157254</v>
      </c>
      <c r="O540" s="25">
        <v>0</v>
      </c>
    </row>
    <row r="541" spans="1:20" s="27" customFormat="1" ht="15.75" thickBot="1" x14ac:dyDescent="0.3">
      <c r="A541" s="30" t="s">
        <v>34</v>
      </c>
      <c r="B541" s="29" t="s">
        <v>35</v>
      </c>
      <c r="C541" s="29">
        <v>2</v>
      </c>
      <c r="D541" s="29" t="s">
        <v>26</v>
      </c>
      <c r="E541" s="28" t="s">
        <v>30</v>
      </c>
      <c r="F541" s="28" t="str">
        <f t="shared" si="60"/>
        <v>MT_2_0,5</v>
      </c>
      <c r="G541" s="28">
        <v>6</v>
      </c>
      <c r="H541" s="28">
        <f>71330/86090</f>
        <v>0.82855151585550002</v>
      </c>
      <c r="I541" s="28">
        <f>50300/54310</f>
        <v>0.92616461056895605</v>
      </c>
      <c r="J541" s="28">
        <f>58850/58730</f>
        <v>1.0020432487655373</v>
      </c>
      <c r="K541" s="28"/>
      <c r="L541" s="28">
        <f t="shared" si="61"/>
        <v>9.7613094713456028E-2</v>
      </c>
      <c r="M541" s="28">
        <f t="shared" si="62"/>
        <v>0.17349173291003728</v>
      </c>
      <c r="N541" s="28"/>
      <c r="O541" s="28">
        <v>0</v>
      </c>
      <c r="P541" s="28"/>
      <c r="Q541" s="28"/>
      <c r="R541" s="28"/>
      <c r="S541" s="28"/>
      <c r="T541" s="28"/>
    </row>
    <row r="542" spans="1:20" s="32" customFormat="1" x14ac:dyDescent="0.25">
      <c r="A542" s="35" t="s">
        <v>34</v>
      </c>
      <c r="B542" s="34" t="s">
        <v>35</v>
      </c>
      <c r="C542" s="34">
        <v>3</v>
      </c>
      <c r="D542" s="34" t="s">
        <v>20</v>
      </c>
      <c r="E542" s="33" t="s">
        <v>31</v>
      </c>
      <c r="F542" s="33" t="str">
        <f t="shared" si="60"/>
        <v>MT_3_0</v>
      </c>
      <c r="G542" s="33">
        <v>4</v>
      </c>
      <c r="H542" s="33">
        <f>52430/86090</f>
        <v>0.60901382274364035</v>
      </c>
      <c r="I542" s="33">
        <f>62420/58730</f>
        <v>1.062829899540269</v>
      </c>
      <c r="J542" s="33">
        <f>88580/57630</f>
        <v>1.5370466770779108</v>
      </c>
      <c r="K542" s="33">
        <f>109100/53440</f>
        <v>2.0415419161676644</v>
      </c>
      <c r="L542" s="33">
        <f t="shared" si="61"/>
        <v>0.45381607679662861</v>
      </c>
      <c r="M542" s="33">
        <f t="shared" si="62"/>
        <v>0.92803285433427041</v>
      </c>
      <c r="N542" s="33">
        <f t="shared" ref="N542:N550" si="63">K542-H542</f>
        <v>1.4325280934240241</v>
      </c>
      <c r="O542" s="33">
        <v>1</v>
      </c>
      <c r="P542" s="33">
        <f>37480/56230</f>
        <v>0.66654810599324199</v>
      </c>
      <c r="Q542" s="33">
        <f>106200/53440</f>
        <v>1.9872754491017963</v>
      </c>
      <c r="R542" s="33">
        <v>97.341888175985332</v>
      </c>
      <c r="S542" s="33">
        <v>1</v>
      </c>
      <c r="T542" s="33">
        <v>4</v>
      </c>
    </row>
    <row r="543" spans="1:20" x14ac:dyDescent="0.25">
      <c r="A543" s="31" t="s">
        <v>34</v>
      </c>
      <c r="B543" s="26" t="s">
        <v>35</v>
      </c>
      <c r="C543" s="26">
        <v>3</v>
      </c>
      <c r="D543" s="26" t="s">
        <v>20</v>
      </c>
      <c r="E543" s="25" t="s">
        <v>31</v>
      </c>
      <c r="F543" s="25" t="str">
        <f t="shared" si="60"/>
        <v>MT_3_0</v>
      </c>
      <c r="G543" s="25">
        <v>5</v>
      </c>
      <c r="H543" s="25">
        <f>59580/86090</f>
        <v>0.69206644209548152</v>
      </c>
      <c r="I543" s="25">
        <f>77690/58730</f>
        <v>1.3228333049548782</v>
      </c>
      <c r="J543" s="25">
        <f>76080/53440</f>
        <v>1.4236526946107784</v>
      </c>
      <c r="K543" s="25">
        <f>103400/57630</f>
        <v>1.7942044074266874</v>
      </c>
      <c r="L543" s="25">
        <f t="shared" si="61"/>
        <v>0.63076686285939665</v>
      </c>
      <c r="M543" s="25">
        <f t="shared" si="62"/>
        <v>0.73158625251529685</v>
      </c>
      <c r="N543" s="25">
        <f t="shared" si="63"/>
        <v>1.102137965331206</v>
      </c>
      <c r="O543" s="25">
        <v>1</v>
      </c>
      <c r="P543" s="25">
        <f>48480/56230</f>
        <v>0.8621732171438734</v>
      </c>
      <c r="Q543" s="25">
        <f>53930/53440</f>
        <v>1.0091691616766467</v>
      </c>
      <c r="R543" s="25">
        <v>56.246052985904406</v>
      </c>
      <c r="S543" s="25">
        <v>1</v>
      </c>
      <c r="T543" s="25">
        <v>3</v>
      </c>
    </row>
    <row r="544" spans="1:20" x14ac:dyDescent="0.25">
      <c r="A544" s="31" t="s">
        <v>34</v>
      </c>
      <c r="B544" s="26" t="s">
        <v>35</v>
      </c>
      <c r="C544" s="26">
        <v>3</v>
      </c>
      <c r="D544" s="26" t="s">
        <v>20</v>
      </c>
      <c r="E544" s="25" t="s">
        <v>31</v>
      </c>
      <c r="F544" s="25" t="str">
        <f t="shared" si="60"/>
        <v>MT_3_0</v>
      </c>
      <c r="G544" s="25">
        <v>5</v>
      </c>
      <c r="H544" s="25">
        <f>54450/86090</f>
        <v>0.63247763967940529</v>
      </c>
      <c r="I544" s="25">
        <f>52300/57630</f>
        <v>0.90751344785701893</v>
      </c>
      <c r="J544" s="25">
        <f>85880/58730</f>
        <v>1.4622850332027924</v>
      </c>
      <c r="K544" s="25">
        <f>159900/53440</f>
        <v>2.9921407185628741</v>
      </c>
      <c r="L544" s="25">
        <f t="shared" si="61"/>
        <v>0.27503580817761364</v>
      </c>
      <c r="M544" s="25">
        <f t="shared" si="62"/>
        <v>0.82980739352338706</v>
      </c>
      <c r="N544" s="25">
        <f t="shared" si="63"/>
        <v>2.3596630788834689</v>
      </c>
      <c r="O544" s="25">
        <v>1</v>
      </c>
      <c r="P544" s="25">
        <f>58480/56230</f>
        <v>1.0400142272808111</v>
      </c>
      <c r="Q544" s="25">
        <f>108600/53440</f>
        <v>2.0321856287425151</v>
      </c>
      <c r="R544" s="25">
        <v>67.917448405253282</v>
      </c>
      <c r="S544" s="25">
        <v>1</v>
      </c>
      <c r="T544" s="25">
        <v>1</v>
      </c>
    </row>
    <row r="545" spans="1:20" x14ac:dyDescent="0.25">
      <c r="A545" s="31" t="s">
        <v>34</v>
      </c>
      <c r="B545" s="26" t="s">
        <v>35</v>
      </c>
      <c r="C545" s="26">
        <v>3</v>
      </c>
      <c r="D545" s="26" t="s">
        <v>20</v>
      </c>
      <c r="E545" s="25" t="s">
        <v>31</v>
      </c>
      <c r="F545" s="25" t="str">
        <f t="shared" si="60"/>
        <v>MT_3_0</v>
      </c>
      <c r="G545" s="25">
        <v>2</v>
      </c>
      <c r="H545" s="25">
        <f>20050/86090</f>
        <v>0.23289580671390406</v>
      </c>
      <c r="I545" s="25">
        <f>26760/58730</f>
        <v>0.45564447471479652</v>
      </c>
      <c r="J545" s="25">
        <f>62020/57630</f>
        <v>1.0761756029845566</v>
      </c>
      <c r="K545" s="25">
        <f>158800/53440</f>
        <v>2.9715568862275448</v>
      </c>
      <c r="L545" s="25">
        <f t="shared" si="61"/>
        <v>0.22274866800089246</v>
      </c>
      <c r="M545" s="25">
        <f t="shared" si="62"/>
        <v>0.84327979627065253</v>
      </c>
      <c r="N545" s="25">
        <f t="shared" si="63"/>
        <v>2.7386610795136406</v>
      </c>
      <c r="O545" s="25">
        <v>1</v>
      </c>
      <c r="P545" s="25">
        <f>89480/56230</f>
        <v>1.5913213587053174</v>
      </c>
      <c r="Q545" s="25">
        <f>134700/53440</f>
        <v>2.5205838323353293</v>
      </c>
      <c r="R545" s="25">
        <v>84.82367758186399</v>
      </c>
      <c r="S545" s="25">
        <v>0</v>
      </c>
    </row>
    <row r="546" spans="1:20" x14ac:dyDescent="0.25">
      <c r="A546" s="31" t="s">
        <v>34</v>
      </c>
      <c r="B546" s="26" t="s">
        <v>35</v>
      </c>
      <c r="C546" s="26">
        <v>3</v>
      </c>
      <c r="D546" s="26" t="s">
        <v>20</v>
      </c>
      <c r="E546" s="25" t="s">
        <v>31</v>
      </c>
      <c r="F546" s="25" t="str">
        <f t="shared" si="60"/>
        <v>MT_3_0</v>
      </c>
      <c r="G546" s="25">
        <v>4</v>
      </c>
      <c r="H546" s="25">
        <f>40670/86090</f>
        <v>0.4724125914740388</v>
      </c>
      <c r="I546" s="25">
        <f>33030/58730</f>
        <v>0.5624042227141155</v>
      </c>
      <c r="J546" s="25">
        <f>42080/57630</f>
        <v>0.73017525594308519</v>
      </c>
      <c r="K546" s="25">
        <f>52560/53440</f>
        <v>0.98353293413173648</v>
      </c>
      <c r="L546" s="25">
        <f t="shared" si="61"/>
        <v>8.9991631240076697E-2</v>
      </c>
      <c r="M546" s="25">
        <f t="shared" si="62"/>
        <v>0.25776266446904639</v>
      </c>
      <c r="N546" s="25">
        <f t="shared" si="63"/>
        <v>0.51112034265769768</v>
      </c>
      <c r="O546" s="25">
        <v>1</v>
      </c>
      <c r="P546" s="25">
        <f>18460/58730</f>
        <v>0.31431976843180659</v>
      </c>
      <c r="Q546" s="25">
        <f>27720/53440</f>
        <v>0.51871257485029942</v>
      </c>
      <c r="R546" s="25">
        <v>52.739726027397261</v>
      </c>
      <c r="S546" s="25">
        <v>0</v>
      </c>
    </row>
    <row r="547" spans="1:20" x14ac:dyDescent="0.25">
      <c r="A547" s="31" t="s">
        <v>34</v>
      </c>
      <c r="B547" s="26" t="s">
        <v>35</v>
      </c>
      <c r="C547" s="26">
        <v>3</v>
      </c>
      <c r="D547" s="26" t="s">
        <v>20</v>
      </c>
      <c r="E547" s="25" t="s">
        <v>31</v>
      </c>
      <c r="F547" s="25" t="str">
        <f t="shared" si="60"/>
        <v>MT_3_0</v>
      </c>
      <c r="G547" s="25">
        <v>4</v>
      </c>
      <c r="H547" s="25">
        <f>41030/86090</f>
        <v>0.47659426181902659</v>
      </c>
      <c r="I547" s="25">
        <f>79770/58730</f>
        <v>1.3582496168908564</v>
      </c>
      <c r="J547" s="25">
        <f>86130/57630</f>
        <v>1.4945340968245706</v>
      </c>
      <c r="K547" s="25">
        <f>173000/53440</f>
        <v>3.2372754491017965</v>
      </c>
      <c r="L547" s="25">
        <f t="shared" si="61"/>
        <v>0.88165535507182979</v>
      </c>
      <c r="M547" s="25">
        <f t="shared" si="62"/>
        <v>1.017939835005544</v>
      </c>
      <c r="N547" s="25">
        <f t="shared" si="63"/>
        <v>2.7606811872827701</v>
      </c>
      <c r="O547" s="25">
        <v>1</v>
      </c>
      <c r="P547" s="25">
        <f>73480/56230</f>
        <v>1.3067757424862174</v>
      </c>
      <c r="Q547" s="25">
        <f>148600/53440</f>
        <v>2.7806886227544911</v>
      </c>
      <c r="R547" s="25">
        <v>85.895953757225428</v>
      </c>
      <c r="S547" s="25">
        <v>0</v>
      </c>
    </row>
    <row r="548" spans="1:20" x14ac:dyDescent="0.25">
      <c r="A548" s="31" t="s">
        <v>34</v>
      </c>
      <c r="B548" s="26" t="s">
        <v>35</v>
      </c>
      <c r="C548" s="26">
        <v>3</v>
      </c>
      <c r="D548" s="26" t="s">
        <v>20</v>
      </c>
      <c r="E548" s="25" t="s">
        <v>31</v>
      </c>
      <c r="F548" s="25" t="str">
        <f t="shared" si="60"/>
        <v>MT_3_0</v>
      </c>
      <c r="G548" s="25">
        <v>4</v>
      </c>
      <c r="H548" s="25">
        <f>30280/58730</f>
        <v>0.51557977183722115</v>
      </c>
      <c r="I548" s="25">
        <f>48750/86090</f>
        <v>0.56626785921709843</v>
      </c>
      <c r="J548" s="25">
        <f>68960/57630</f>
        <v>1.1965989935797328</v>
      </c>
      <c r="K548" s="25">
        <f>66740/53440</f>
        <v>1.248877245508982</v>
      </c>
      <c r="L548" s="25">
        <f t="shared" si="61"/>
        <v>5.0688087379877289E-2</v>
      </c>
      <c r="M548" s="25">
        <f t="shared" si="62"/>
        <v>0.68101922174251162</v>
      </c>
      <c r="N548" s="25">
        <f t="shared" si="63"/>
        <v>0.7332974736717609</v>
      </c>
      <c r="O548" s="25">
        <v>1</v>
      </c>
      <c r="P548" s="25">
        <f>47480/56230</f>
        <v>0.84438911613017964</v>
      </c>
      <c r="Q548" s="25">
        <f>65400/53440</f>
        <v>1.2238023952095809</v>
      </c>
      <c r="R548" s="25">
        <v>97.992208570572373</v>
      </c>
      <c r="S548" s="25">
        <v>0</v>
      </c>
    </row>
    <row r="549" spans="1:20" x14ac:dyDescent="0.25">
      <c r="A549" s="31" t="s">
        <v>34</v>
      </c>
      <c r="B549" s="26" t="s">
        <v>35</v>
      </c>
      <c r="C549" s="26">
        <v>3</v>
      </c>
      <c r="D549" s="26" t="s">
        <v>20</v>
      </c>
      <c r="E549" s="25" t="s">
        <v>31</v>
      </c>
      <c r="F549" s="25" t="str">
        <f t="shared" si="60"/>
        <v>MT_3_0</v>
      </c>
      <c r="G549" s="25">
        <v>4</v>
      </c>
      <c r="H549" s="25">
        <f>30480/58730</f>
        <v>0.51898518644644986</v>
      </c>
      <c r="I549" s="25">
        <f>48750/86090</f>
        <v>0.56626785921709843</v>
      </c>
      <c r="J549" s="25">
        <f>33970/57630</f>
        <v>0.58944993926774247</v>
      </c>
      <c r="K549" s="25">
        <f>31940/53440</f>
        <v>0.59767964071856283</v>
      </c>
      <c r="L549" s="25">
        <f t="shared" si="61"/>
        <v>4.7282672770648571E-2</v>
      </c>
      <c r="M549" s="25">
        <f t="shared" si="62"/>
        <v>7.0464752821292609E-2</v>
      </c>
      <c r="N549" s="25">
        <f t="shared" si="63"/>
        <v>7.8694454272112968E-2</v>
      </c>
      <c r="O549" s="25">
        <v>1</v>
      </c>
      <c r="P549" s="25">
        <f>19460/58730</f>
        <v>0.33134684147794996</v>
      </c>
      <c r="Q549" s="25">
        <f>23750/53440</f>
        <v>0.44442365269461076</v>
      </c>
      <c r="R549" s="25">
        <v>74.358171571696928</v>
      </c>
      <c r="S549" s="25">
        <v>0</v>
      </c>
    </row>
    <row r="550" spans="1:20" x14ac:dyDescent="0.25">
      <c r="A550" s="31" t="s">
        <v>34</v>
      </c>
      <c r="B550" s="26" t="s">
        <v>35</v>
      </c>
      <c r="C550" s="26">
        <v>3</v>
      </c>
      <c r="D550" s="26" t="s">
        <v>20</v>
      </c>
      <c r="E550" s="25" t="s">
        <v>31</v>
      </c>
      <c r="F550" s="25" t="str">
        <f t="shared" si="60"/>
        <v>MT_3_0</v>
      </c>
      <c r="G550" s="25">
        <v>6</v>
      </c>
      <c r="H550" s="25">
        <f>47370/58730</f>
        <v>0.80657245019581136</v>
      </c>
      <c r="I550" s="25">
        <f>70750/86090</f>
        <v>0.82181438029968634</v>
      </c>
      <c r="J550" s="25">
        <f>68360/57630</f>
        <v>1.1861877494360575</v>
      </c>
      <c r="K550" s="25">
        <f>85090/53440</f>
        <v>1.5922529940119761</v>
      </c>
      <c r="L550" s="25">
        <f t="shared" si="61"/>
        <v>1.5241930103874979E-2</v>
      </c>
      <c r="M550" s="25">
        <f t="shared" si="62"/>
        <v>0.37961529924024617</v>
      </c>
      <c r="N550" s="25">
        <f t="shared" si="63"/>
        <v>0.7856805438161647</v>
      </c>
      <c r="O550" s="25">
        <v>1</v>
      </c>
      <c r="P550" s="25">
        <f>18800/58730</f>
        <v>0.32010897326749532</v>
      </c>
      <c r="Q550" s="25">
        <f>32640/53440</f>
        <v>0.6107784431137725</v>
      </c>
      <c r="R550" s="25">
        <v>38.359384181454928</v>
      </c>
      <c r="S550" s="25">
        <v>0</v>
      </c>
    </row>
    <row r="551" spans="1:20" x14ac:dyDescent="0.25">
      <c r="A551" s="31" t="s">
        <v>34</v>
      </c>
      <c r="B551" s="26" t="s">
        <v>35</v>
      </c>
      <c r="C551" s="26">
        <v>3</v>
      </c>
      <c r="D551" s="26" t="s">
        <v>20</v>
      </c>
      <c r="E551" s="25" t="s">
        <v>31</v>
      </c>
      <c r="F551" s="25" t="str">
        <f t="shared" si="60"/>
        <v>MT_3_0</v>
      </c>
      <c r="G551" s="25">
        <v>3</v>
      </c>
      <c r="H551" s="25">
        <f>33590/86090</f>
        <v>0.39017307468927864</v>
      </c>
      <c r="I551" s="25">
        <f>48490/58730</f>
        <v>0.82564277200749192</v>
      </c>
      <c r="J551" s="25">
        <f>82130/57630</f>
        <v>1.4251258025334028</v>
      </c>
      <c r="L551" s="25">
        <f t="shared" si="61"/>
        <v>0.43546969731821328</v>
      </c>
      <c r="M551" s="25">
        <f t="shared" si="62"/>
        <v>1.0349527278441242</v>
      </c>
      <c r="O551" s="25">
        <v>0</v>
      </c>
    </row>
    <row r="552" spans="1:20" x14ac:dyDescent="0.25">
      <c r="A552" s="31" t="s">
        <v>34</v>
      </c>
      <c r="B552" s="26" t="s">
        <v>35</v>
      </c>
      <c r="C552" s="26">
        <v>3</v>
      </c>
      <c r="D552" s="26" t="s">
        <v>20</v>
      </c>
      <c r="E552" s="25" t="s">
        <v>31</v>
      </c>
      <c r="F552" s="25" t="str">
        <f t="shared" si="60"/>
        <v>MT_3_0</v>
      </c>
      <c r="G552" s="25">
        <v>4</v>
      </c>
      <c r="H552" s="25">
        <f>47240/86090</f>
        <v>0.54872807527006617</v>
      </c>
      <c r="I552" s="25">
        <f>44870/57630</f>
        <v>0.77858754121117468</v>
      </c>
      <c r="J552" s="25">
        <f>50910/58730</f>
        <v>0.86684828877915887</v>
      </c>
      <c r="K552" s="25">
        <f>111700/53440</f>
        <v>2.0901946107784433</v>
      </c>
      <c r="L552" s="25">
        <f t="shared" ref="L552:L585" si="64">I552-H552</f>
        <v>0.22985946594110851</v>
      </c>
      <c r="M552" s="25">
        <f t="shared" si="62"/>
        <v>0.3181202135090927</v>
      </c>
      <c r="N552" s="25">
        <f t="shared" ref="N552:N566" si="65">K552-H552</f>
        <v>1.541466535508377</v>
      </c>
      <c r="O552" s="25">
        <v>0</v>
      </c>
    </row>
    <row r="553" spans="1:20" x14ac:dyDescent="0.25">
      <c r="A553" s="31" t="s">
        <v>34</v>
      </c>
      <c r="B553" s="26" t="s">
        <v>35</v>
      </c>
      <c r="C553" s="26">
        <v>3</v>
      </c>
      <c r="D553" s="26" t="s">
        <v>20</v>
      </c>
      <c r="E553" s="25" t="s">
        <v>31</v>
      </c>
      <c r="F553" s="25" t="str">
        <f t="shared" si="60"/>
        <v>MT_3_0</v>
      </c>
      <c r="G553" s="25">
        <v>5</v>
      </c>
      <c r="H553" s="25">
        <f>36670/57630</f>
        <v>0.63630053791428076</v>
      </c>
      <c r="I553" s="25">
        <f>39720/53440</f>
        <v>0.74326347305389218</v>
      </c>
      <c r="J553" s="25">
        <f>52460/58730</f>
        <v>0.89324025200068113</v>
      </c>
      <c r="K553" s="25">
        <f>48720/53440</f>
        <v>0.91167664670658688</v>
      </c>
      <c r="L553" s="25">
        <f t="shared" si="64"/>
        <v>0.10696293513961141</v>
      </c>
      <c r="M553" s="25">
        <f t="shared" si="62"/>
        <v>0.25693971408640037</v>
      </c>
      <c r="N553" s="25">
        <f t="shared" si="65"/>
        <v>0.27537610879230612</v>
      </c>
      <c r="O553" s="25">
        <v>0</v>
      </c>
    </row>
    <row r="554" spans="1:20" x14ac:dyDescent="0.25">
      <c r="A554" s="31" t="s">
        <v>34</v>
      </c>
      <c r="B554" s="26" t="s">
        <v>35</v>
      </c>
      <c r="C554" s="26">
        <v>3</v>
      </c>
      <c r="D554" s="26" t="s">
        <v>20</v>
      </c>
      <c r="E554" s="25" t="s">
        <v>31</v>
      </c>
      <c r="F554" s="25" t="str">
        <f t="shared" si="60"/>
        <v>MT_3_0</v>
      </c>
      <c r="G554" s="25">
        <v>5</v>
      </c>
      <c r="H554" s="25">
        <f>34280/53440</f>
        <v>0.64146706586826352</v>
      </c>
      <c r="I554" s="25">
        <f>62700/86090</f>
        <v>0.72830758508537574</v>
      </c>
      <c r="J554" s="25">
        <f>45990/58730</f>
        <v>0.78307508939213344</v>
      </c>
      <c r="K554" s="25">
        <f>104200/57630</f>
        <v>1.808086066284921</v>
      </c>
      <c r="L554" s="25">
        <f t="shared" si="64"/>
        <v>8.6840519217112222E-2</v>
      </c>
      <c r="M554" s="25">
        <f t="shared" si="62"/>
        <v>0.14160802352386992</v>
      </c>
      <c r="N554" s="25">
        <f t="shared" si="65"/>
        <v>1.1666190004166574</v>
      </c>
      <c r="O554" s="25">
        <v>0</v>
      </c>
    </row>
    <row r="555" spans="1:20" x14ac:dyDescent="0.25">
      <c r="A555" s="31" t="s">
        <v>34</v>
      </c>
      <c r="B555" s="26" t="s">
        <v>35</v>
      </c>
      <c r="C555" s="26">
        <v>3</v>
      </c>
      <c r="D555" s="26" t="s">
        <v>20</v>
      </c>
      <c r="E555" s="25" t="s">
        <v>31</v>
      </c>
      <c r="F555" s="25" t="str">
        <f t="shared" si="60"/>
        <v>MT_3_0</v>
      </c>
      <c r="G555" s="25">
        <v>5</v>
      </c>
      <c r="H555" s="25">
        <f>55590/86090</f>
        <v>0.64571959577186666</v>
      </c>
      <c r="I555" s="25">
        <f>52860/58730</f>
        <v>0.90005108121913846</v>
      </c>
      <c r="J555" s="25">
        <f>63000/57630</f>
        <v>1.0931806350858928</v>
      </c>
      <c r="K555" s="25">
        <f>92380/53440</f>
        <v>1.7286676646706587</v>
      </c>
      <c r="L555" s="25">
        <f t="shared" si="64"/>
        <v>0.2543314854472718</v>
      </c>
      <c r="M555" s="25">
        <f t="shared" si="62"/>
        <v>0.44746103931402614</v>
      </c>
      <c r="N555" s="25">
        <f t="shared" si="65"/>
        <v>1.082948068898792</v>
      </c>
      <c r="O555" s="25">
        <v>0</v>
      </c>
    </row>
    <row r="556" spans="1:20" s="27" customFormat="1" ht="15.75" thickBot="1" x14ac:dyDescent="0.3">
      <c r="A556" s="30" t="s">
        <v>34</v>
      </c>
      <c r="B556" s="29" t="s">
        <v>35</v>
      </c>
      <c r="C556" s="29">
        <v>3</v>
      </c>
      <c r="D556" s="29" t="s">
        <v>20</v>
      </c>
      <c r="E556" s="28" t="s">
        <v>31</v>
      </c>
      <c r="F556" s="28" t="str">
        <f t="shared" si="60"/>
        <v>MT_3_0</v>
      </c>
      <c r="G556" s="28">
        <v>5</v>
      </c>
      <c r="H556" s="28">
        <f>43060/58730</f>
        <v>0.73318576536693347</v>
      </c>
      <c r="I556" s="28">
        <f>63750/86090</f>
        <v>0.74050412359159024</v>
      </c>
      <c r="J556" s="28">
        <f>58380/57630</f>
        <v>1.0130140551795939</v>
      </c>
      <c r="K556" s="28">
        <f>96540/53440</f>
        <v>1.8065119760479043</v>
      </c>
      <c r="L556" s="28">
        <f t="shared" si="64"/>
        <v>7.3183582246567624E-3</v>
      </c>
      <c r="M556" s="28">
        <f t="shared" si="62"/>
        <v>0.27982828981266039</v>
      </c>
      <c r="N556" s="28">
        <f t="shared" si="65"/>
        <v>1.0733262106809707</v>
      </c>
      <c r="O556" s="28">
        <v>0</v>
      </c>
      <c r="P556" s="28"/>
      <c r="Q556" s="28"/>
      <c r="R556" s="28"/>
      <c r="S556" s="28"/>
      <c r="T556" s="28"/>
    </row>
    <row r="557" spans="1:20" s="32" customFormat="1" x14ac:dyDescent="0.25">
      <c r="A557" s="35" t="s">
        <v>34</v>
      </c>
      <c r="B557" s="34" t="s">
        <v>35</v>
      </c>
      <c r="C557" s="34">
        <v>3</v>
      </c>
      <c r="D557" s="34" t="s">
        <v>23</v>
      </c>
      <c r="E557" s="33" t="s">
        <v>32</v>
      </c>
      <c r="F557" s="33" t="str">
        <f t="shared" si="60"/>
        <v>MT_3_0,1</v>
      </c>
      <c r="G557" s="33">
        <v>1</v>
      </c>
      <c r="H557" s="33">
        <f>8668/58730</f>
        <v>0.14759066916397071</v>
      </c>
      <c r="I557" s="33">
        <f>58110/86090</f>
        <v>0.67499128818678122</v>
      </c>
      <c r="J557" s="33">
        <f>148400/57630</f>
        <v>2.5750477182023253</v>
      </c>
      <c r="K557" s="33">
        <f>180000/53440</f>
        <v>3.3682634730538923</v>
      </c>
      <c r="L557" s="33">
        <f t="shared" si="64"/>
        <v>0.52740061902281055</v>
      </c>
      <c r="M557" s="33">
        <f t="shared" si="62"/>
        <v>2.4274570490383547</v>
      </c>
      <c r="N557" s="33">
        <f t="shared" si="65"/>
        <v>3.2206728038899217</v>
      </c>
      <c r="O557" s="33">
        <v>1</v>
      </c>
      <c r="P557" s="33">
        <f>58160/57630</f>
        <v>1.0091965989935798</v>
      </c>
      <c r="Q557" s="33">
        <f>104900/53440</f>
        <v>1.9629491017964071</v>
      </c>
      <c r="R557" s="33">
        <v>58.277777777777771</v>
      </c>
      <c r="S557" s="33">
        <v>0</v>
      </c>
      <c r="T557" s="33"/>
    </row>
    <row r="558" spans="1:20" x14ac:dyDescent="0.25">
      <c r="A558" s="31" t="s">
        <v>34</v>
      </c>
      <c r="B558" s="26" t="s">
        <v>35</v>
      </c>
      <c r="C558" s="26">
        <v>3</v>
      </c>
      <c r="D558" s="26" t="s">
        <v>23</v>
      </c>
      <c r="E558" s="25" t="s">
        <v>32</v>
      </c>
      <c r="F558" s="25" t="str">
        <f t="shared" si="60"/>
        <v>MT_3_0,1</v>
      </c>
      <c r="G558" s="25">
        <v>2</v>
      </c>
      <c r="H558" s="25">
        <f>14790/86090</f>
        <v>0.17179695667324893</v>
      </c>
      <c r="I558" s="25">
        <f>39040/58730</f>
        <v>0.66473693172143711</v>
      </c>
      <c r="J558" s="25">
        <f>70020/57630</f>
        <v>1.2149921915668922</v>
      </c>
      <c r="K558" s="25">
        <f>84070/53440</f>
        <v>1.5731661676646707</v>
      </c>
      <c r="L558" s="25">
        <f t="shared" si="64"/>
        <v>0.49293997504818821</v>
      </c>
      <c r="M558" s="25">
        <f t="shared" ref="M558:M566" si="66">J558-H558</f>
        <v>1.0431952348936433</v>
      </c>
      <c r="N558" s="25">
        <f t="shared" si="65"/>
        <v>1.4013692109914218</v>
      </c>
      <c r="O558" s="25">
        <v>1</v>
      </c>
      <c r="P558" s="25">
        <f>33500/57630</f>
        <v>0.5812944646885303</v>
      </c>
      <c r="Q558" s="25">
        <f>65890/53440</f>
        <v>1.2329715568862276</v>
      </c>
      <c r="R558" s="25">
        <v>78.375163554181043</v>
      </c>
      <c r="S558" s="25">
        <v>0</v>
      </c>
    </row>
    <row r="559" spans="1:20" x14ac:dyDescent="0.25">
      <c r="A559" s="31" t="s">
        <v>34</v>
      </c>
      <c r="B559" s="26" t="s">
        <v>35</v>
      </c>
      <c r="C559" s="26">
        <v>3</v>
      </c>
      <c r="D559" s="26" t="s">
        <v>23</v>
      </c>
      <c r="E559" s="25" t="s">
        <v>32</v>
      </c>
      <c r="F559" s="25" t="str">
        <f t="shared" si="60"/>
        <v>MT_3_0,1</v>
      </c>
      <c r="G559" s="25">
        <v>2</v>
      </c>
      <c r="H559" s="25">
        <f>25040/86090</f>
        <v>0.2908584039958183</v>
      </c>
      <c r="I559" s="25">
        <f>85950/58730</f>
        <v>1.4634769283160225</v>
      </c>
      <c r="J559" s="25">
        <f>89650/57630</f>
        <v>1.5556133958007983</v>
      </c>
      <c r="K559" s="25">
        <f>122800/53440</f>
        <v>2.2979041916167664</v>
      </c>
      <c r="L559" s="25">
        <f t="shared" si="64"/>
        <v>1.1726185243202041</v>
      </c>
      <c r="M559" s="25">
        <f t="shared" si="66"/>
        <v>1.2647549918049799</v>
      </c>
      <c r="N559" s="25">
        <f t="shared" si="65"/>
        <v>2.0070457876209482</v>
      </c>
      <c r="O559" s="25">
        <v>1</v>
      </c>
      <c r="P559" s="25">
        <f>22500/57630</f>
        <v>0.39042165538781887</v>
      </c>
      <c r="Q559" s="25">
        <f>43220/53440</f>
        <v>0.80875748502994016</v>
      </c>
      <c r="R559" s="25">
        <v>35.195439739413679</v>
      </c>
      <c r="S559" s="25">
        <v>0</v>
      </c>
    </row>
    <row r="560" spans="1:20" x14ac:dyDescent="0.25">
      <c r="A560" s="31" t="s">
        <v>34</v>
      </c>
      <c r="B560" s="26" t="s">
        <v>35</v>
      </c>
      <c r="C560" s="26">
        <v>3</v>
      </c>
      <c r="D560" s="26" t="s">
        <v>23</v>
      </c>
      <c r="E560" s="25" t="s">
        <v>32</v>
      </c>
      <c r="F560" s="25" t="str">
        <f t="shared" si="60"/>
        <v>MT_3_0,1</v>
      </c>
      <c r="G560" s="25">
        <v>3</v>
      </c>
      <c r="H560" s="25">
        <f>18420/58730</f>
        <v>0.31363868550996082</v>
      </c>
      <c r="I560" s="25">
        <f>50180/86090</f>
        <v>0.58287838308746664</v>
      </c>
      <c r="J560" s="25">
        <f>79610/57630</f>
        <v>1.3813985771299671</v>
      </c>
      <c r="K560" s="25">
        <f>124400/53440</f>
        <v>2.3278443113772456</v>
      </c>
      <c r="L560" s="25">
        <f t="shared" si="64"/>
        <v>0.26923969757750582</v>
      </c>
      <c r="M560" s="25">
        <f t="shared" si="66"/>
        <v>1.0677598916200062</v>
      </c>
      <c r="N560" s="25">
        <f t="shared" si="65"/>
        <v>2.0142056258672847</v>
      </c>
      <c r="O560" s="25">
        <v>1</v>
      </c>
      <c r="P560" s="25">
        <f>27540/53440</f>
        <v>0.51534431137724546</v>
      </c>
      <c r="Q560" s="25">
        <f>82680/53440</f>
        <v>1.5471556886227544</v>
      </c>
      <c r="R560" s="25">
        <v>66.463022508038577</v>
      </c>
      <c r="S560" s="25">
        <v>0</v>
      </c>
    </row>
    <row r="561" spans="1:20" x14ac:dyDescent="0.25">
      <c r="A561" s="31" t="s">
        <v>34</v>
      </c>
      <c r="B561" s="26" t="s">
        <v>35</v>
      </c>
      <c r="C561" s="26">
        <v>3</v>
      </c>
      <c r="D561" s="26" t="s">
        <v>23</v>
      </c>
      <c r="E561" s="25" t="s">
        <v>32</v>
      </c>
      <c r="F561" s="25" t="str">
        <f t="shared" si="60"/>
        <v>MT_3_0,1</v>
      </c>
      <c r="G561" s="25">
        <v>3</v>
      </c>
      <c r="H561" s="25">
        <f>20080/58730</f>
        <v>0.34190362676655883</v>
      </c>
      <c r="I561" s="25">
        <f>51850/86090</f>
        <v>0.60227668718782668</v>
      </c>
      <c r="J561" s="25">
        <f>45770/57630</f>
        <v>0.79420440742668752</v>
      </c>
      <c r="K561" s="25">
        <f>51000/53440</f>
        <v>0.9543413173652695</v>
      </c>
      <c r="L561" s="25">
        <f t="shared" si="64"/>
        <v>0.26037306042126784</v>
      </c>
      <c r="M561" s="25">
        <f t="shared" si="66"/>
        <v>0.45230078066012869</v>
      </c>
      <c r="N561" s="25">
        <f t="shared" si="65"/>
        <v>0.61243769059871067</v>
      </c>
      <c r="O561" s="25">
        <v>1</v>
      </c>
      <c r="P561" s="25">
        <f>18500/57630</f>
        <v>0.32101336109665107</v>
      </c>
      <c r="Q561" s="25">
        <f>39100/53440</f>
        <v>0.73166167664670656</v>
      </c>
      <c r="R561" s="25">
        <v>76.666666666666657</v>
      </c>
      <c r="S561" s="25">
        <v>0</v>
      </c>
    </row>
    <row r="562" spans="1:20" x14ac:dyDescent="0.25">
      <c r="A562" s="31" t="s">
        <v>34</v>
      </c>
      <c r="B562" s="26" t="s">
        <v>35</v>
      </c>
      <c r="C562" s="26">
        <v>3</v>
      </c>
      <c r="D562" s="26" t="s">
        <v>23</v>
      </c>
      <c r="E562" s="25" t="s">
        <v>32</v>
      </c>
      <c r="F562" s="25" t="str">
        <f t="shared" si="60"/>
        <v>MT_3_0,1</v>
      </c>
      <c r="G562" s="25">
        <v>3</v>
      </c>
      <c r="H562" s="25">
        <f>24870/58730</f>
        <v>0.42346330665758558</v>
      </c>
      <c r="I562" s="25">
        <f>61090/86090</f>
        <v>0.70960622604251367</v>
      </c>
      <c r="J562" s="25">
        <f>71820/57630</f>
        <v>1.2462259239979177</v>
      </c>
      <c r="K562" s="25">
        <f>97100/53440</f>
        <v>1.8169910179640718</v>
      </c>
      <c r="L562" s="25">
        <f t="shared" si="64"/>
        <v>0.28614291938492808</v>
      </c>
      <c r="M562" s="25">
        <f t="shared" si="66"/>
        <v>0.82276261734033207</v>
      </c>
      <c r="N562" s="25">
        <f t="shared" si="65"/>
        <v>1.3935277113064863</v>
      </c>
      <c r="O562" s="25">
        <v>1</v>
      </c>
      <c r="P562" s="25">
        <f>20080/57630</f>
        <v>0.34842963734166232</v>
      </c>
      <c r="Q562" s="25">
        <f>34860/53440</f>
        <v>0.65232035928143717</v>
      </c>
      <c r="R562" s="25">
        <v>35.901132852729148</v>
      </c>
      <c r="S562" s="25">
        <v>0</v>
      </c>
    </row>
    <row r="563" spans="1:20" x14ac:dyDescent="0.25">
      <c r="A563" s="31" t="s">
        <v>34</v>
      </c>
      <c r="B563" s="26" t="s">
        <v>35</v>
      </c>
      <c r="C563" s="26">
        <v>3</v>
      </c>
      <c r="D563" s="26" t="s">
        <v>23</v>
      </c>
      <c r="E563" s="25" t="s">
        <v>32</v>
      </c>
      <c r="F563" s="25" t="str">
        <f t="shared" si="60"/>
        <v>MT_3_0,1</v>
      </c>
      <c r="G563" s="25">
        <v>4</v>
      </c>
      <c r="H563" s="25">
        <f>42090/86090</f>
        <v>0.48890695783482402</v>
      </c>
      <c r="I563" s="25">
        <f>44770/58730</f>
        <v>0.76230206027583858</v>
      </c>
      <c r="J563" s="25">
        <f>59010/57630</f>
        <v>1.0239458615304529</v>
      </c>
      <c r="K563" s="25">
        <f>132900/53440</f>
        <v>2.4869011976047903</v>
      </c>
      <c r="L563" s="25">
        <f t="shared" si="64"/>
        <v>0.27339510244101456</v>
      </c>
      <c r="M563" s="25">
        <f t="shared" si="66"/>
        <v>0.5350389036956289</v>
      </c>
      <c r="N563" s="25">
        <f t="shared" si="65"/>
        <v>1.9979942397699664</v>
      </c>
      <c r="O563" s="25">
        <v>1</v>
      </c>
      <c r="P563" s="25">
        <f>36540/53440</f>
        <v>0.68375748502994016</v>
      </c>
      <c r="Q563" s="25">
        <f>55370/53440</f>
        <v>1.0361152694610778</v>
      </c>
      <c r="R563" s="25">
        <v>41.662904439428139</v>
      </c>
      <c r="S563" s="25">
        <v>0</v>
      </c>
    </row>
    <row r="564" spans="1:20" x14ac:dyDescent="0.25">
      <c r="A564" s="31" t="s">
        <v>34</v>
      </c>
      <c r="B564" s="26" t="s">
        <v>35</v>
      </c>
      <c r="C564" s="26">
        <v>3</v>
      </c>
      <c r="D564" s="26" t="s">
        <v>23</v>
      </c>
      <c r="E564" s="25" t="s">
        <v>32</v>
      </c>
      <c r="F564" s="25" t="str">
        <f t="shared" si="60"/>
        <v>MT_3_0,1</v>
      </c>
      <c r="G564" s="25">
        <v>5</v>
      </c>
      <c r="H564" s="25">
        <f>37790/58730</f>
        <v>0.64345309041375787</v>
      </c>
      <c r="I564" s="25">
        <f>74290/86090</f>
        <v>0.86293413869206648</v>
      </c>
      <c r="J564" s="25">
        <f>84990/53440</f>
        <v>1.5903817365269461</v>
      </c>
      <c r="K564" s="25">
        <f>192600/57630</f>
        <v>3.3420093701197291</v>
      </c>
      <c r="L564" s="25">
        <f t="shared" si="64"/>
        <v>0.21948104827830861</v>
      </c>
      <c r="M564" s="25">
        <f t="shared" si="66"/>
        <v>0.94692864611318828</v>
      </c>
      <c r="N564" s="25">
        <f t="shared" si="65"/>
        <v>2.6985562797059712</v>
      </c>
      <c r="O564" s="25">
        <v>1</v>
      </c>
      <c r="P564" s="25">
        <f>37530/57630</f>
        <v>0.65122332118688186</v>
      </c>
      <c r="Q564" s="25">
        <f>84220/53440</f>
        <v>1.5759730538922156</v>
      </c>
      <c r="R564" s="25">
        <v>47.156452282351189</v>
      </c>
      <c r="S564" s="25">
        <v>0</v>
      </c>
    </row>
    <row r="565" spans="1:20" x14ac:dyDescent="0.25">
      <c r="A565" s="31" t="s">
        <v>34</v>
      </c>
      <c r="B565" s="26" t="s">
        <v>35</v>
      </c>
      <c r="C565" s="26">
        <v>3</v>
      </c>
      <c r="D565" s="26" t="s">
        <v>23</v>
      </c>
      <c r="E565" s="25" t="s">
        <v>32</v>
      </c>
      <c r="F565" s="25" t="str">
        <f t="shared" si="60"/>
        <v>MT_3_0,1</v>
      </c>
      <c r="G565" s="25">
        <v>5</v>
      </c>
      <c r="H565" s="25">
        <f>40170/58730</f>
        <v>0.68397752426357905</v>
      </c>
      <c r="I565" s="25">
        <f>67900/86090</f>
        <v>0.78870949006853297</v>
      </c>
      <c r="J565" s="25">
        <f>71720/57630</f>
        <v>1.2444907166406385</v>
      </c>
      <c r="K565" s="25">
        <f>74540/53440</f>
        <v>1.3948353293413174</v>
      </c>
      <c r="L565" s="25">
        <f t="shared" si="64"/>
        <v>0.10473196580495392</v>
      </c>
      <c r="M565" s="25">
        <f t="shared" si="66"/>
        <v>0.56051319237705943</v>
      </c>
      <c r="N565" s="25">
        <f t="shared" si="65"/>
        <v>0.71085780507773833</v>
      </c>
      <c r="O565" s="25">
        <v>1</v>
      </c>
      <c r="P565" s="25">
        <f>54500/57630</f>
        <v>0.94568800971716116</v>
      </c>
      <c r="Q565" s="25">
        <f>73300/53440</f>
        <v>1.3716317365269461</v>
      </c>
      <c r="R565" s="25">
        <v>98.336463643681242</v>
      </c>
      <c r="S565" s="25">
        <v>0</v>
      </c>
    </row>
    <row r="566" spans="1:20" x14ac:dyDescent="0.25">
      <c r="A566" s="31" t="s">
        <v>34</v>
      </c>
      <c r="B566" s="26" t="s">
        <v>35</v>
      </c>
      <c r="C566" s="26">
        <v>3</v>
      </c>
      <c r="D566" s="26" t="s">
        <v>23</v>
      </c>
      <c r="E566" s="25" t="s">
        <v>32</v>
      </c>
      <c r="F566" s="25" t="str">
        <f t="shared" si="60"/>
        <v>MT_3_0,1</v>
      </c>
      <c r="G566" s="25">
        <v>5</v>
      </c>
      <c r="H566" s="25">
        <f>38320/53440</f>
        <v>0.71706586826347307</v>
      </c>
      <c r="I566" s="25">
        <f>50240/58730</f>
        <v>0.85544014983824279</v>
      </c>
      <c r="J566" s="25">
        <f>49970/57630</f>
        <v>0.86708311643241365</v>
      </c>
      <c r="K566" s="25">
        <f>77300/86090</f>
        <v>0.89789754907654784</v>
      </c>
      <c r="L566" s="25">
        <f t="shared" si="64"/>
        <v>0.13837428157476972</v>
      </c>
      <c r="M566" s="25">
        <f t="shared" si="66"/>
        <v>0.15001724816894058</v>
      </c>
      <c r="N566" s="25">
        <f t="shared" si="65"/>
        <v>0.18083168081307477</v>
      </c>
      <c r="O566" s="25">
        <v>1</v>
      </c>
      <c r="P566" s="25">
        <f>30500/57630</f>
        <v>0.5292382439701544</v>
      </c>
      <c r="Q566" s="25">
        <f>42500/53440</f>
        <v>0.79528443113772451</v>
      </c>
      <c r="R566" s="25">
        <v>88.571845636024193</v>
      </c>
      <c r="S566" s="25">
        <v>0</v>
      </c>
    </row>
    <row r="567" spans="1:20" x14ac:dyDescent="0.25">
      <c r="A567" s="31" t="s">
        <v>34</v>
      </c>
      <c r="B567" s="26" t="s">
        <v>35</v>
      </c>
      <c r="C567" s="26">
        <v>3</v>
      </c>
      <c r="D567" s="26" t="s">
        <v>23</v>
      </c>
      <c r="E567" s="25" t="s">
        <v>32</v>
      </c>
      <c r="F567" s="25" t="str">
        <f t="shared" si="60"/>
        <v>MT_3_0,1</v>
      </c>
      <c r="G567" s="25">
        <v>5</v>
      </c>
      <c r="H567" s="25">
        <f>36590/58730</f>
        <v>0.62302060275838589</v>
      </c>
      <c r="I567" s="25">
        <f>65690/86090</f>
        <v>0.76303868045069112</v>
      </c>
      <c r="L567" s="25">
        <f t="shared" si="64"/>
        <v>0.14001807769230523</v>
      </c>
      <c r="O567" s="25">
        <v>0</v>
      </c>
    </row>
    <row r="568" spans="1:20" x14ac:dyDescent="0.25">
      <c r="A568" s="31" t="s">
        <v>34</v>
      </c>
      <c r="B568" s="26" t="s">
        <v>35</v>
      </c>
      <c r="C568" s="26">
        <v>3</v>
      </c>
      <c r="D568" s="26" t="s">
        <v>23</v>
      </c>
      <c r="E568" s="25" t="s">
        <v>32</v>
      </c>
      <c r="F568" s="25" t="str">
        <f t="shared" si="60"/>
        <v>MT_3_0,1</v>
      </c>
      <c r="G568" s="25">
        <v>5</v>
      </c>
      <c r="H568" s="25">
        <f>39600/58730</f>
        <v>0.67427209262727739</v>
      </c>
      <c r="I568" s="25">
        <f>75740/86090</f>
        <v>0.87977697758160067</v>
      </c>
      <c r="L568" s="25">
        <f t="shared" si="64"/>
        <v>0.20550488495432329</v>
      </c>
      <c r="O568" s="25">
        <v>0</v>
      </c>
    </row>
    <row r="569" spans="1:20" x14ac:dyDescent="0.25">
      <c r="A569" s="31" t="s">
        <v>34</v>
      </c>
      <c r="B569" s="26" t="s">
        <v>35</v>
      </c>
      <c r="C569" s="26">
        <v>3</v>
      </c>
      <c r="D569" s="26" t="s">
        <v>23</v>
      </c>
      <c r="E569" s="25" t="s">
        <v>32</v>
      </c>
      <c r="F569" s="25" t="str">
        <f t="shared" si="60"/>
        <v>MT_3_0,1</v>
      </c>
      <c r="G569" s="25">
        <v>5</v>
      </c>
      <c r="H569" s="25">
        <f>41720/58730</f>
        <v>0.71036948748510131</v>
      </c>
      <c r="I569" s="25">
        <f>112400/86090</f>
        <v>1.3056104077128587</v>
      </c>
      <c r="L569" s="25">
        <f t="shared" si="64"/>
        <v>0.59524092022775743</v>
      </c>
      <c r="O569" s="25">
        <v>0</v>
      </c>
    </row>
    <row r="570" spans="1:20" x14ac:dyDescent="0.25">
      <c r="A570" s="31" t="s">
        <v>34</v>
      </c>
      <c r="B570" s="26" t="s">
        <v>35</v>
      </c>
      <c r="C570" s="26">
        <v>3</v>
      </c>
      <c r="D570" s="26" t="s">
        <v>23</v>
      </c>
      <c r="E570" s="25" t="s">
        <v>32</v>
      </c>
      <c r="F570" s="25" t="str">
        <f t="shared" si="60"/>
        <v>MT_3_0,1</v>
      </c>
      <c r="G570" s="25">
        <v>6</v>
      </c>
      <c r="H570" s="25">
        <f>47740/58730</f>
        <v>0.81287246722288442</v>
      </c>
      <c r="I570" s="25">
        <f>43470/86090</f>
        <v>0.50493669415727727</v>
      </c>
      <c r="J570" s="25">
        <f>25100/57630</f>
        <v>0.43553704667707793</v>
      </c>
      <c r="L570" s="25">
        <f t="shared" si="64"/>
        <v>-0.30793577306560715</v>
      </c>
      <c r="M570" s="25">
        <f t="shared" ref="M570:M585" si="67">J570-H570</f>
        <v>-0.37733542054580649</v>
      </c>
      <c r="O570" s="25">
        <v>0</v>
      </c>
    </row>
    <row r="571" spans="1:20" s="27" customFormat="1" ht="15.75" thickBot="1" x14ac:dyDescent="0.3">
      <c r="A571" s="30" t="s">
        <v>34</v>
      </c>
      <c r="B571" s="29" t="s">
        <v>35</v>
      </c>
      <c r="C571" s="29">
        <v>3</v>
      </c>
      <c r="D571" s="29" t="s">
        <v>23</v>
      </c>
      <c r="E571" s="28" t="s">
        <v>32</v>
      </c>
      <c r="F571" s="28" t="str">
        <f t="shared" si="60"/>
        <v>MT_3_0,1</v>
      </c>
      <c r="G571" s="28">
        <v>6</v>
      </c>
      <c r="H571" s="28">
        <f>49190/58730</f>
        <v>0.83756172313979227</v>
      </c>
      <c r="I571" s="28">
        <f>51380/86090</f>
        <v>0.59681728423742597</v>
      </c>
      <c r="J571" s="28">
        <f>31510/53440</f>
        <v>0.58963323353293418</v>
      </c>
      <c r="K571" s="28"/>
      <c r="L571" s="28">
        <f t="shared" si="64"/>
        <v>-0.2407444389023663</v>
      </c>
      <c r="M571" s="28">
        <f t="shared" si="67"/>
        <v>-0.24792848960685809</v>
      </c>
      <c r="N571" s="28"/>
      <c r="O571" s="28">
        <v>0</v>
      </c>
      <c r="P571" s="28"/>
      <c r="Q571" s="28"/>
      <c r="R571" s="28"/>
      <c r="S571" s="28"/>
      <c r="T571" s="28"/>
    </row>
    <row r="572" spans="1:20" s="32" customFormat="1" x14ac:dyDescent="0.25">
      <c r="A572" s="35" t="s">
        <v>34</v>
      </c>
      <c r="B572" s="34" t="s">
        <v>35</v>
      </c>
      <c r="C572" s="34">
        <v>3</v>
      </c>
      <c r="D572" s="34" t="s">
        <v>26</v>
      </c>
      <c r="E572" s="33" t="s">
        <v>33</v>
      </c>
      <c r="F572" s="33" t="str">
        <f t="shared" si="60"/>
        <v>MT_3_0,5</v>
      </c>
      <c r="G572" s="33">
        <v>4</v>
      </c>
      <c r="H572" s="33">
        <f>28470/58730</f>
        <v>0.48476076962370168</v>
      </c>
      <c r="I572" s="33">
        <f>56400/86090</f>
        <v>0.65512835404808922</v>
      </c>
      <c r="J572" s="33">
        <f>56230/57630</f>
        <v>0.97570709699809122</v>
      </c>
      <c r="K572" s="33">
        <f>68330/55550</f>
        <v>1.2300630063006301</v>
      </c>
      <c r="L572" s="33">
        <f t="shared" si="64"/>
        <v>0.17036758442438754</v>
      </c>
      <c r="M572" s="33">
        <f t="shared" si="67"/>
        <v>0.49094632737438954</v>
      </c>
      <c r="N572" s="33">
        <f t="shared" ref="N572:N583" si="68">K572-H572</f>
        <v>0.74530223667692841</v>
      </c>
      <c r="O572" s="33">
        <v>1</v>
      </c>
      <c r="P572" s="33">
        <f>19971/57630</f>
        <v>0.34653826132222798</v>
      </c>
      <c r="Q572" s="33">
        <f>51580/53440</f>
        <v>0.96519461077844315</v>
      </c>
      <c r="R572" s="33">
        <v>78.467087119482684</v>
      </c>
      <c r="S572" s="33">
        <v>1</v>
      </c>
      <c r="T572" s="33">
        <v>3</v>
      </c>
    </row>
    <row r="573" spans="1:20" x14ac:dyDescent="0.25">
      <c r="A573" s="31" t="s">
        <v>34</v>
      </c>
      <c r="B573" s="26" t="s">
        <v>35</v>
      </c>
      <c r="C573" s="26">
        <v>3</v>
      </c>
      <c r="D573" s="26" t="s">
        <v>26</v>
      </c>
      <c r="E573" s="25" t="s">
        <v>33</v>
      </c>
      <c r="F573" s="25" t="str">
        <f t="shared" si="60"/>
        <v>MT_3_0,5</v>
      </c>
      <c r="G573" s="25">
        <v>3</v>
      </c>
      <c r="H573" s="25">
        <f>23850/58730</f>
        <v>0.40609569215051933</v>
      </c>
      <c r="I573" s="25">
        <f>90980/86090</f>
        <v>1.0568010221860844</v>
      </c>
      <c r="J573" s="25">
        <f>83900/57630</f>
        <v>1.4558389727572445</v>
      </c>
      <c r="K573" s="25">
        <f>88090/55550</f>
        <v>1.5857785778577858</v>
      </c>
      <c r="L573" s="25">
        <f t="shared" si="64"/>
        <v>0.65070533003556508</v>
      </c>
      <c r="M573" s="25">
        <f t="shared" si="67"/>
        <v>1.0497432806067253</v>
      </c>
      <c r="N573" s="25">
        <f t="shared" si="68"/>
        <v>1.1796828857072663</v>
      </c>
      <c r="O573" s="25">
        <v>1</v>
      </c>
      <c r="P573" s="25">
        <f>50233/57630</f>
        <v>0.87164671178205799</v>
      </c>
      <c r="Q573" s="25">
        <f>73280/53440</f>
        <v>1.3712574850299402</v>
      </c>
      <c r="R573" s="25">
        <v>86.472191274166406</v>
      </c>
      <c r="S573" s="25">
        <v>1</v>
      </c>
      <c r="T573" s="25">
        <v>2</v>
      </c>
    </row>
    <row r="574" spans="1:20" x14ac:dyDescent="0.25">
      <c r="A574" s="31" t="s">
        <v>34</v>
      </c>
      <c r="B574" s="26" t="s">
        <v>35</v>
      </c>
      <c r="C574" s="26">
        <v>3</v>
      </c>
      <c r="D574" s="26" t="s">
        <v>26</v>
      </c>
      <c r="E574" s="25" t="s">
        <v>33</v>
      </c>
      <c r="F574" s="25" t="str">
        <f t="shared" si="60"/>
        <v>MT_3_0,5</v>
      </c>
      <c r="G574" s="25">
        <v>3</v>
      </c>
      <c r="H574" s="25">
        <f>19700/58730</f>
        <v>0.33543333900902433</v>
      </c>
      <c r="I574" s="25">
        <f>70930/86090</f>
        <v>0.82390521547218032</v>
      </c>
      <c r="J574" s="25">
        <f>117300/56230</f>
        <v>2.0860750489062778</v>
      </c>
      <c r="K574" s="25">
        <f>148800/55550</f>
        <v>2.6786678667866788</v>
      </c>
      <c r="L574" s="25">
        <f t="shared" si="64"/>
        <v>0.48847187646315599</v>
      </c>
      <c r="M574" s="25">
        <f t="shared" si="67"/>
        <v>1.7506417098972535</v>
      </c>
      <c r="N574" s="25">
        <f t="shared" si="68"/>
        <v>2.3432345277776543</v>
      </c>
      <c r="O574" s="25">
        <v>1</v>
      </c>
      <c r="P574" s="25">
        <f>19910/57630</f>
        <v>0.34547978483428771</v>
      </c>
      <c r="Q574" s="25">
        <f>51030/53440</f>
        <v>0.95490269461077848</v>
      </c>
      <c r="R574" s="25">
        <v>35.64841712743867</v>
      </c>
      <c r="S574" s="25">
        <v>0</v>
      </c>
    </row>
    <row r="575" spans="1:20" x14ac:dyDescent="0.25">
      <c r="A575" s="31" t="s">
        <v>34</v>
      </c>
      <c r="B575" s="26" t="s">
        <v>35</v>
      </c>
      <c r="C575" s="26">
        <v>3</v>
      </c>
      <c r="D575" s="26" t="s">
        <v>26</v>
      </c>
      <c r="E575" s="25" t="s">
        <v>33</v>
      </c>
      <c r="F575" s="25" t="str">
        <f t="shared" si="60"/>
        <v>MT_3_0,5</v>
      </c>
      <c r="G575" s="25">
        <v>3</v>
      </c>
      <c r="H575" s="25">
        <f>21460/58730</f>
        <v>0.3654009875702367</v>
      </c>
      <c r="I575" s="25">
        <f>61930/86090</f>
        <v>0.71936345684748515</v>
      </c>
      <c r="J575" s="25">
        <f>62940/56230</f>
        <v>1.1193313178018851</v>
      </c>
      <c r="K575" s="25">
        <f>139800/55550</f>
        <v>2.5166516651665165</v>
      </c>
      <c r="L575" s="25">
        <f t="shared" si="64"/>
        <v>0.35396246927724845</v>
      </c>
      <c r="M575" s="25">
        <f t="shared" si="67"/>
        <v>0.75393033023164846</v>
      </c>
      <c r="N575" s="25">
        <f t="shared" si="68"/>
        <v>2.1512506775962796</v>
      </c>
      <c r="O575" s="25">
        <v>1</v>
      </c>
      <c r="P575" s="25">
        <f>13940/57630</f>
        <v>0.24188790560471976</v>
      </c>
      <c r="Q575" s="25">
        <f>30700/53440</f>
        <v>0.5744760479041916</v>
      </c>
      <c r="R575" s="25">
        <v>22.826998899197314</v>
      </c>
      <c r="S575" s="25">
        <v>0</v>
      </c>
    </row>
    <row r="576" spans="1:20" x14ac:dyDescent="0.25">
      <c r="A576" s="31" t="s">
        <v>34</v>
      </c>
      <c r="B576" s="26" t="s">
        <v>35</v>
      </c>
      <c r="C576" s="26">
        <v>3</v>
      </c>
      <c r="D576" s="26" t="s">
        <v>26</v>
      </c>
      <c r="E576" s="25" t="s">
        <v>33</v>
      </c>
      <c r="F576" s="25" t="str">
        <f t="shared" si="60"/>
        <v>MT_3_0,5</v>
      </c>
      <c r="G576" s="25">
        <v>3</v>
      </c>
      <c r="H576" s="25">
        <f>22440/58730</f>
        <v>0.38208751915545719</v>
      </c>
      <c r="I576" s="25">
        <f>66210/86090</f>
        <v>0.76907887094900684</v>
      </c>
      <c r="J576" s="25">
        <f>90190/56230</f>
        <v>1.60394807042504</v>
      </c>
      <c r="K576" s="25">
        <f>166800/55550</f>
        <v>3.0027002700270029</v>
      </c>
      <c r="L576" s="25">
        <f t="shared" si="64"/>
        <v>0.38699135179354965</v>
      </c>
      <c r="M576" s="25">
        <f t="shared" si="67"/>
        <v>1.2218605512695828</v>
      </c>
      <c r="N576" s="25">
        <f t="shared" si="68"/>
        <v>2.6206127508715458</v>
      </c>
      <c r="O576" s="25">
        <v>1</v>
      </c>
      <c r="P576" s="25">
        <f>40400/57630</f>
        <v>0.70102377234079472</v>
      </c>
      <c r="Q576" s="25">
        <f>78320/53440</f>
        <v>1.465568862275449</v>
      </c>
      <c r="R576" s="25">
        <v>48.808363488849629</v>
      </c>
      <c r="S576" s="25">
        <v>0</v>
      </c>
    </row>
    <row r="577" spans="1:20" x14ac:dyDescent="0.25">
      <c r="A577" s="31" t="s">
        <v>34</v>
      </c>
      <c r="B577" s="26" t="s">
        <v>35</v>
      </c>
      <c r="C577" s="26">
        <v>3</v>
      </c>
      <c r="D577" s="26" t="s">
        <v>26</v>
      </c>
      <c r="E577" s="25" t="s">
        <v>33</v>
      </c>
      <c r="F577" s="25" t="str">
        <f t="shared" si="60"/>
        <v>MT_3_0,5</v>
      </c>
      <c r="G577" s="25">
        <v>3</v>
      </c>
      <c r="H577" s="25">
        <f>24230/58730</f>
        <v>0.41256597990805383</v>
      </c>
      <c r="I577" s="25">
        <f>68630/86090</f>
        <v>0.79718898826809148</v>
      </c>
      <c r="J577" s="25">
        <f>120200/56230</f>
        <v>2.1376489418459896</v>
      </c>
      <c r="K577" s="25">
        <f>156300/55550</f>
        <v>2.8136813681368138</v>
      </c>
      <c r="L577" s="25">
        <f t="shared" si="64"/>
        <v>0.38462300836003765</v>
      </c>
      <c r="M577" s="25">
        <f t="shared" si="67"/>
        <v>1.7250829619379358</v>
      </c>
      <c r="N577" s="25">
        <f t="shared" si="68"/>
        <v>2.4011153882287601</v>
      </c>
      <c r="O577" s="25">
        <v>1</v>
      </c>
      <c r="P577" s="25">
        <f>59231/57630</f>
        <v>1.02778066979004</v>
      </c>
      <c r="Q577" s="25">
        <f>129200/53440</f>
        <v>2.4176646706586826</v>
      </c>
      <c r="R577" s="25">
        <v>85.925318269411264</v>
      </c>
      <c r="S577" s="25">
        <v>0</v>
      </c>
    </row>
    <row r="578" spans="1:20" x14ac:dyDescent="0.25">
      <c r="A578" s="31" t="s">
        <v>34</v>
      </c>
      <c r="B578" s="26" t="s">
        <v>35</v>
      </c>
      <c r="C578" s="26">
        <v>3</v>
      </c>
      <c r="D578" s="26" t="s">
        <v>26</v>
      </c>
      <c r="E578" s="25" t="s">
        <v>33</v>
      </c>
      <c r="F578" s="25" t="str">
        <f t="shared" ref="F578:F586" si="69">CONCATENATE(B578,"_",E578)</f>
        <v>MT_3_0,5</v>
      </c>
      <c r="G578" s="25">
        <v>4</v>
      </c>
      <c r="H578" s="25">
        <f>29680/58730</f>
        <v>0.50536352800953521</v>
      </c>
      <c r="I578" s="25">
        <f>58780/86090</f>
        <v>0.68277384132884189</v>
      </c>
      <c r="J578" s="25">
        <f>94160/56230</f>
        <v>1.6745509514494041</v>
      </c>
      <c r="K578" s="25">
        <f>148700/55550</f>
        <v>2.6768676867686767</v>
      </c>
      <c r="L578" s="25">
        <f t="shared" si="64"/>
        <v>0.17741031331930668</v>
      </c>
      <c r="M578" s="25">
        <f t="shared" si="67"/>
        <v>1.1691874234398689</v>
      </c>
      <c r="N578" s="25">
        <f t="shared" si="68"/>
        <v>2.1715041587591415</v>
      </c>
      <c r="O578" s="25">
        <v>1</v>
      </c>
      <c r="P578" s="25">
        <f>11943/57630</f>
        <v>0.20723581467985425</v>
      </c>
      <c r="Q578" s="25">
        <f>40410/53440</f>
        <v>0.75617514970059885</v>
      </c>
      <c r="R578" s="25">
        <v>28.24850676924564</v>
      </c>
      <c r="S578" s="25">
        <v>0</v>
      </c>
    </row>
    <row r="579" spans="1:20" x14ac:dyDescent="0.25">
      <c r="A579" s="31" t="s">
        <v>34</v>
      </c>
      <c r="B579" s="26" t="s">
        <v>35</v>
      </c>
      <c r="C579" s="26">
        <v>3</v>
      </c>
      <c r="D579" s="26" t="s">
        <v>26</v>
      </c>
      <c r="E579" s="25" t="s">
        <v>33</v>
      </c>
      <c r="F579" s="25" t="str">
        <f t="shared" si="69"/>
        <v>MT_3_0,5</v>
      </c>
      <c r="G579" s="25">
        <v>4</v>
      </c>
      <c r="H579" s="25">
        <f>31290/58730</f>
        <v>0.53277711561382601</v>
      </c>
      <c r="I579" s="25">
        <f>61690/86090</f>
        <v>0.71657567661749333</v>
      </c>
      <c r="J579" s="25">
        <f>56000/56230</f>
        <v>0.99590965676685039</v>
      </c>
      <c r="K579" s="25">
        <f>73810/55550</f>
        <v>1.3287128712871288</v>
      </c>
      <c r="L579" s="25">
        <f t="shared" si="64"/>
        <v>0.18379856100366732</v>
      </c>
      <c r="M579" s="25">
        <f t="shared" si="67"/>
        <v>0.46313254115302438</v>
      </c>
      <c r="N579" s="25">
        <f t="shared" si="68"/>
        <v>0.79593575567330277</v>
      </c>
      <c r="O579" s="25">
        <v>1</v>
      </c>
      <c r="P579" s="25">
        <f>19971/57630</f>
        <v>0.34653826132222798</v>
      </c>
      <c r="Q579" s="25">
        <f>50850/53440</f>
        <v>0.95153443113772451</v>
      </c>
      <c r="R579" s="25">
        <v>71.613247052839171</v>
      </c>
      <c r="S579" s="25">
        <v>0</v>
      </c>
    </row>
    <row r="580" spans="1:20" x14ac:dyDescent="0.25">
      <c r="A580" s="31" t="s">
        <v>34</v>
      </c>
      <c r="B580" s="26" t="s">
        <v>35</v>
      </c>
      <c r="C580" s="26">
        <v>3</v>
      </c>
      <c r="D580" s="26" t="s">
        <v>26</v>
      </c>
      <c r="E580" s="25" t="s">
        <v>33</v>
      </c>
      <c r="F580" s="25" t="str">
        <f t="shared" si="69"/>
        <v>MT_3_0,5</v>
      </c>
      <c r="G580" s="25">
        <v>4</v>
      </c>
      <c r="H580" s="25">
        <f>32740/58730</f>
        <v>0.55746637153073386</v>
      </c>
      <c r="I580" s="25">
        <f>54260/86090</f>
        <v>0.63027064699732838</v>
      </c>
      <c r="J580" s="25">
        <f>92150/56230</f>
        <v>1.6388049084118799</v>
      </c>
      <c r="K580" s="25">
        <f>103700/55550</f>
        <v>1.8667866786678669</v>
      </c>
      <c r="L580" s="25">
        <f t="shared" si="64"/>
        <v>7.2804275466594515E-2</v>
      </c>
      <c r="M580" s="25">
        <f t="shared" si="67"/>
        <v>1.0813385368811459</v>
      </c>
      <c r="N580" s="25">
        <f t="shared" si="68"/>
        <v>1.3093203071371331</v>
      </c>
      <c r="O580" s="25">
        <v>1</v>
      </c>
      <c r="P580" s="25">
        <f>68230/57630</f>
        <v>1.1839319798715946</v>
      </c>
      <c r="Q580" s="25">
        <f>94900/53440</f>
        <v>1.7758233532934131</v>
      </c>
      <c r="R580" s="25">
        <v>95.127277989825558</v>
      </c>
      <c r="S580" s="25">
        <v>0</v>
      </c>
    </row>
    <row r="581" spans="1:20" x14ac:dyDescent="0.25">
      <c r="A581" s="31" t="s">
        <v>34</v>
      </c>
      <c r="B581" s="26" t="s">
        <v>35</v>
      </c>
      <c r="C581" s="26">
        <v>3</v>
      </c>
      <c r="D581" s="26" t="s">
        <v>26</v>
      </c>
      <c r="E581" s="25" t="s">
        <v>33</v>
      </c>
      <c r="F581" s="25" t="str">
        <f t="shared" si="69"/>
        <v>MT_3_0,5</v>
      </c>
      <c r="G581" s="25">
        <v>4</v>
      </c>
      <c r="H581" s="25">
        <f>34600/58730</f>
        <v>0.58913672739656053</v>
      </c>
      <c r="I581" s="25">
        <f>55250/86090</f>
        <v>0.6417702404460448</v>
      </c>
      <c r="J581" s="25">
        <f>88510/56230</f>
        <v>1.5740707807220344</v>
      </c>
      <c r="K581" s="25">
        <f>121000/55550</f>
        <v>2.1782178217821784</v>
      </c>
      <c r="L581" s="25">
        <f t="shared" si="64"/>
        <v>5.2633513049484271E-2</v>
      </c>
      <c r="M581" s="25">
        <f t="shared" si="67"/>
        <v>0.9849340533254739</v>
      </c>
      <c r="N581" s="25">
        <f t="shared" si="68"/>
        <v>1.5890810943856177</v>
      </c>
      <c r="O581" s="25">
        <v>1</v>
      </c>
      <c r="P581" s="25">
        <f>12972/57630</f>
        <v>0.22509109838625715</v>
      </c>
      <c r="Q581" s="25">
        <f>25840/53440</f>
        <v>0.48353293413173654</v>
      </c>
      <c r="R581" s="25">
        <v>22.198557430593358</v>
      </c>
      <c r="S581" s="25">
        <v>0</v>
      </c>
    </row>
    <row r="582" spans="1:20" x14ac:dyDescent="0.25">
      <c r="A582" s="31" t="s">
        <v>34</v>
      </c>
      <c r="B582" s="26" t="s">
        <v>35</v>
      </c>
      <c r="C582" s="26">
        <v>3</v>
      </c>
      <c r="D582" s="26" t="s">
        <v>26</v>
      </c>
      <c r="E582" s="25" t="s">
        <v>33</v>
      </c>
      <c r="F582" s="25" t="str">
        <f t="shared" si="69"/>
        <v>MT_3_0,5</v>
      </c>
      <c r="G582" s="25">
        <v>4</v>
      </c>
      <c r="H582" s="25">
        <f>34810/58730</f>
        <v>0.59271241273625064</v>
      </c>
      <c r="I582" s="25">
        <f>72120/86090</f>
        <v>0.8377279591125566</v>
      </c>
      <c r="J582" s="25">
        <f>100700/56230</f>
        <v>1.7908589720789614</v>
      </c>
      <c r="K582" s="25">
        <f>138400/55550</f>
        <v>2.4914491449144913</v>
      </c>
      <c r="L582" s="25">
        <f t="shared" si="64"/>
        <v>0.24501554637630596</v>
      </c>
      <c r="M582" s="25">
        <f t="shared" si="67"/>
        <v>1.1981465593427107</v>
      </c>
      <c r="N582" s="25">
        <f t="shared" si="68"/>
        <v>1.8987367321782407</v>
      </c>
      <c r="O582" s="25">
        <v>1</v>
      </c>
      <c r="P582" s="25">
        <f>10940/57630</f>
        <v>0.18983168488634392</v>
      </c>
      <c r="Q582" s="25">
        <f>16660/53440</f>
        <v>0.31175149700598803</v>
      </c>
      <c r="R582" s="25">
        <v>12.512858134886299</v>
      </c>
      <c r="S582" s="25">
        <v>0</v>
      </c>
    </row>
    <row r="583" spans="1:20" x14ac:dyDescent="0.25">
      <c r="A583" s="31" t="s">
        <v>34</v>
      </c>
      <c r="B583" s="26" t="s">
        <v>35</v>
      </c>
      <c r="C583" s="26">
        <v>3</v>
      </c>
      <c r="D583" s="26" t="s">
        <v>26</v>
      </c>
      <c r="E583" s="25" t="s">
        <v>33</v>
      </c>
      <c r="F583" s="25" t="str">
        <f t="shared" si="69"/>
        <v>MT_3_0,5</v>
      </c>
      <c r="G583" s="25">
        <v>4</v>
      </c>
      <c r="H583" s="25">
        <f>34640/58730</f>
        <v>0.5898178103184063</v>
      </c>
      <c r="I583" s="25">
        <f>61460/86090</f>
        <v>0.71390405389708445</v>
      </c>
      <c r="J583" s="25">
        <f>91000/56230</f>
        <v>1.6183531922461321</v>
      </c>
      <c r="K583" s="25">
        <f>99600/55550</f>
        <v>1.7929792979297929</v>
      </c>
      <c r="L583" s="25">
        <f t="shared" si="64"/>
        <v>0.12408624357867815</v>
      </c>
      <c r="M583" s="25">
        <f t="shared" si="67"/>
        <v>1.0285353819277256</v>
      </c>
      <c r="N583" s="25">
        <f t="shared" si="68"/>
        <v>1.2031614876113865</v>
      </c>
      <c r="O583" s="25">
        <v>0</v>
      </c>
    </row>
    <row r="584" spans="1:20" x14ac:dyDescent="0.25">
      <c r="A584" s="31" t="s">
        <v>34</v>
      </c>
      <c r="B584" s="26" t="s">
        <v>35</v>
      </c>
      <c r="C584" s="26">
        <v>3</v>
      </c>
      <c r="D584" s="26" t="s">
        <v>26</v>
      </c>
      <c r="E584" s="25" t="s">
        <v>33</v>
      </c>
      <c r="F584" s="25" t="str">
        <f t="shared" si="69"/>
        <v>MT_3_0,5</v>
      </c>
      <c r="G584" s="25">
        <v>5</v>
      </c>
      <c r="H584" s="25">
        <f>39440/58730</f>
        <v>0.67154776093989443</v>
      </c>
      <c r="I584" s="25">
        <f>67600/86090</f>
        <v>0.78522476478104308</v>
      </c>
      <c r="J584" s="25">
        <f>47480/56230</f>
        <v>0.84438911613017964</v>
      </c>
      <c r="L584" s="25">
        <f t="shared" si="64"/>
        <v>0.11367700384114865</v>
      </c>
      <c r="M584" s="25">
        <f t="shared" si="67"/>
        <v>0.17284135519028521</v>
      </c>
      <c r="O584" s="25">
        <v>0</v>
      </c>
    </row>
    <row r="585" spans="1:20" x14ac:dyDescent="0.25">
      <c r="A585" s="31" t="s">
        <v>34</v>
      </c>
      <c r="B585" s="26" t="s">
        <v>35</v>
      </c>
      <c r="C585" s="26">
        <v>3</v>
      </c>
      <c r="D585" s="26" t="s">
        <v>26</v>
      </c>
      <c r="E585" s="25" t="s">
        <v>33</v>
      </c>
      <c r="F585" s="25" t="str">
        <f t="shared" si="69"/>
        <v>MT_3_0,5</v>
      </c>
      <c r="G585" s="25">
        <v>5</v>
      </c>
      <c r="H585" s="25">
        <f>40160/58730</f>
        <v>0.68380725353311766</v>
      </c>
      <c r="I585" s="25">
        <f>67960/86090</f>
        <v>0.78940643512603093</v>
      </c>
      <c r="J585" s="25">
        <f>75710/56230</f>
        <v>1.3464342877467543</v>
      </c>
      <c r="L585" s="25">
        <f t="shared" si="64"/>
        <v>0.10559918159291326</v>
      </c>
      <c r="M585" s="25">
        <f t="shared" si="67"/>
        <v>0.66262703421363667</v>
      </c>
      <c r="O585" s="25">
        <v>0</v>
      </c>
    </row>
    <row r="586" spans="1:20" s="27" customFormat="1" ht="15.75" thickBot="1" x14ac:dyDescent="0.3">
      <c r="A586" s="30" t="s">
        <v>34</v>
      </c>
      <c r="B586" s="29" t="s">
        <v>35</v>
      </c>
      <c r="C586" s="29">
        <v>3</v>
      </c>
      <c r="D586" s="29" t="s">
        <v>26</v>
      </c>
      <c r="E586" s="28" t="s">
        <v>33</v>
      </c>
      <c r="F586" s="28" t="str">
        <f t="shared" si="69"/>
        <v>MT_3_0,5</v>
      </c>
      <c r="G586" s="28">
        <v>6</v>
      </c>
      <c r="H586" s="28">
        <f>53560/58730</f>
        <v>0.91197003235143881</v>
      </c>
      <c r="I586" s="28">
        <f>67800/86090</f>
        <v>0.78754791497270293</v>
      </c>
      <c r="J586" s="28"/>
      <c r="K586" s="28"/>
      <c r="L586" s="28"/>
      <c r="M586" s="28"/>
      <c r="N586" s="28"/>
      <c r="O586" s="28">
        <v>0</v>
      </c>
      <c r="P586" s="28"/>
      <c r="Q586" s="28"/>
      <c r="R586" s="28"/>
      <c r="S586" s="28"/>
      <c r="T586" s="28"/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0B69E-7BF1-4F97-90CA-3141674237B6}">
  <dimension ref="A1:W434"/>
  <sheetViews>
    <sheetView zoomScale="60" zoomScaleNormal="60" workbookViewId="0"/>
  </sheetViews>
  <sheetFormatPr baseColWidth="10" defaultColWidth="11.42578125" defaultRowHeight="15.75" x14ac:dyDescent="0.25"/>
  <cols>
    <col min="1" max="1" width="5.85546875" style="5" bestFit="1" customWidth="1"/>
    <col min="2" max="2" width="15.42578125" style="5" bestFit="1" customWidth="1"/>
    <col min="3" max="3" width="11.85546875" style="5" bestFit="1" customWidth="1"/>
    <col min="4" max="4" width="11.28515625" style="5" bestFit="1" customWidth="1"/>
    <col min="5" max="5" width="14.42578125" style="5" bestFit="1" customWidth="1"/>
    <col min="6" max="6" width="26.85546875" style="5" bestFit="1" customWidth="1"/>
    <col min="7" max="7" width="26.28515625" style="5" bestFit="1" customWidth="1"/>
    <col min="8" max="8" width="38" style="5" bestFit="1" customWidth="1"/>
    <col min="9" max="9" width="25.5703125" style="1" bestFit="1" customWidth="1"/>
    <col min="10" max="10" width="25.140625" style="1" bestFit="1" customWidth="1"/>
    <col min="11" max="12" width="25.5703125" style="1" bestFit="1" customWidth="1"/>
    <col min="13" max="13" width="34.7109375" style="1" bestFit="1" customWidth="1"/>
    <col min="14" max="14" width="37" style="1" bestFit="1" customWidth="1"/>
    <col min="15" max="15" width="33.7109375" style="1" bestFit="1" customWidth="1"/>
    <col min="16" max="16" width="24" style="1" bestFit="1" customWidth="1"/>
    <col min="17" max="17" width="25.5703125" style="1" bestFit="1" customWidth="1"/>
    <col min="18" max="18" width="41.5703125" style="1" bestFit="1" customWidth="1"/>
    <col min="19" max="19" width="38" style="1" bestFit="1" customWidth="1"/>
    <col min="20" max="20" width="33.42578125" style="1" bestFit="1" customWidth="1"/>
    <col min="21" max="21" width="35.85546875" style="1" bestFit="1" customWidth="1"/>
    <col min="22" max="22" width="32.7109375" style="1" bestFit="1" customWidth="1"/>
    <col min="23" max="23" width="24.7109375" style="1" bestFit="1" customWidth="1"/>
    <col min="24" max="16384" width="11.42578125" style="2"/>
  </cols>
  <sheetData>
    <row r="1" spans="1:23" s="14" customFormat="1" x14ac:dyDescent="0.25">
      <c r="A1" s="11" t="s">
        <v>37</v>
      </c>
      <c r="B1" s="12" t="s">
        <v>1</v>
      </c>
      <c r="C1" s="12" t="s">
        <v>38</v>
      </c>
      <c r="D1" s="12" t="s">
        <v>39</v>
      </c>
      <c r="E1" s="12" t="s">
        <v>2</v>
      </c>
      <c r="F1" s="12" t="s">
        <v>4</v>
      </c>
      <c r="G1" s="12" t="str">
        <f t="shared" ref="G1:G64" si="0">CONCATENATE(B1,"_",D1)</f>
        <v>Genotype_Region</v>
      </c>
      <c r="H1" s="12" t="s">
        <v>40</v>
      </c>
      <c r="I1" s="13" t="s">
        <v>5</v>
      </c>
      <c r="J1" s="13" t="s">
        <v>6</v>
      </c>
      <c r="K1" s="13" t="s">
        <v>7</v>
      </c>
      <c r="L1" s="13" t="s">
        <v>8</v>
      </c>
      <c r="M1" s="13" t="s">
        <v>41</v>
      </c>
      <c r="N1" s="13" t="s">
        <v>12</v>
      </c>
      <c r="O1" s="13" t="s">
        <v>42</v>
      </c>
      <c r="P1" s="13" t="s">
        <v>43</v>
      </c>
      <c r="Q1" s="13" t="s">
        <v>15</v>
      </c>
      <c r="R1" s="13" t="s">
        <v>44</v>
      </c>
      <c r="S1" s="13" t="s">
        <v>45</v>
      </c>
      <c r="T1" s="13" t="s">
        <v>46</v>
      </c>
      <c r="U1" s="13" t="s">
        <v>47</v>
      </c>
      <c r="V1" s="13" t="s">
        <v>17</v>
      </c>
      <c r="W1" s="13" t="s">
        <v>48</v>
      </c>
    </row>
    <row r="2" spans="1:23" s="15" customFormat="1" x14ac:dyDescent="0.25">
      <c r="A2" s="19">
        <v>1</v>
      </c>
      <c r="B2" s="19" t="s">
        <v>49</v>
      </c>
      <c r="C2" s="20">
        <v>1</v>
      </c>
      <c r="D2" s="20" t="s">
        <v>50</v>
      </c>
      <c r="E2" s="20">
        <v>1</v>
      </c>
      <c r="F2" s="20">
        <v>1</v>
      </c>
      <c r="G2" s="20" t="str">
        <f t="shared" si="0"/>
        <v>MM_A</v>
      </c>
      <c r="H2" s="20" t="s">
        <v>51</v>
      </c>
      <c r="I2" s="7">
        <v>4.2588071154516918E-2</v>
      </c>
      <c r="J2" s="21">
        <v>0.23770491803278687</v>
      </c>
      <c r="K2" s="21">
        <v>0.17165270101622393</v>
      </c>
      <c r="L2" s="21">
        <v>0.49306122448979589</v>
      </c>
      <c r="M2" s="21">
        <f t="shared" ref="M2:M61" si="1">L2-I2</f>
        <v>0.45047315333527899</v>
      </c>
      <c r="N2" s="7">
        <v>1</v>
      </c>
      <c r="O2" s="7">
        <v>21</v>
      </c>
      <c r="P2" s="7">
        <v>5.0122448979591838E-2</v>
      </c>
      <c r="Q2" s="7">
        <f t="shared" ref="Q2:Q7" si="2">P2/L2</f>
        <v>0.10165562913907286</v>
      </c>
      <c r="R2" s="7">
        <v>1</v>
      </c>
      <c r="S2" s="7">
        <v>21</v>
      </c>
      <c r="T2" s="7">
        <v>27</v>
      </c>
      <c r="U2" s="7">
        <v>15</v>
      </c>
      <c r="V2" s="7">
        <v>9</v>
      </c>
      <c r="W2" s="22">
        <f t="shared" ref="W2:W7" si="3">V2/U2</f>
        <v>0.6</v>
      </c>
    </row>
    <row r="3" spans="1:23" x14ac:dyDescent="0.25">
      <c r="A3" s="4">
        <v>2</v>
      </c>
      <c r="B3" s="4" t="s">
        <v>49</v>
      </c>
      <c r="C3" s="5">
        <v>1</v>
      </c>
      <c r="D3" s="5" t="s">
        <v>52</v>
      </c>
      <c r="E3" s="5">
        <v>1</v>
      </c>
      <c r="F3" s="5">
        <v>4</v>
      </c>
      <c r="G3" s="5" t="str">
        <f t="shared" si="0"/>
        <v>MM_B</v>
      </c>
      <c r="H3" s="5" t="s">
        <v>53</v>
      </c>
      <c r="I3" s="1">
        <v>0.39867457272410184</v>
      </c>
      <c r="J3" s="3">
        <v>0.62155563306592254</v>
      </c>
      <c r="K3" s="3">
        <v>1.2900695311107149</v>
      </c>
      <c r="L3" s="3">
        <v>1.2184489795918367</v>
      </c>
      <c r="M3" s="3">
        <f t="shared" si="1"/>
        <v>0.81977440686773484</v>
      </c>
      <c r="N3" s="1">
        <v>1</v>
      </c>
      <c r="O3" s="1">
        <v>20</v>
      </c>
      <c r="P3" s="1">
        <v>0.81959183673469382</v>
      </c>
      <c r="Q3" s="1">
        <f t="shared" si="2"/>
        <v>0.67265174862655763</v>
      </c>
      <c r="R3" s="1">
        <v>1</v>
      </c>
      <c r="S3" s="1">
        <v>26</v>
      </c>
      <c r="T3" s="1">
        <v>31</v>
      </c>
      <c r="U3" s="1">
        <v>10</v>
      </c>
      <c r="V3" s="1">
        <v>7</v>
      </c>
      <c r="W3" s="16">
        <f t="shared" si="3"/>
        <v>0.7</v>
      </c>
    </row>
    <row r="4" spans="1:23" x14ac:dyDescent="0.25">
      <c r="A4" s="4">
        <v>3</v>
      </c>
      <c r="B4" s="4" t="s">
        <v>49</v>
      </c>
      <c r="C4" s="5">
        <v>1</v>
      </c>
      <c r="D4" s="5" t="s">
        <v>54</v>
      </c>
      <c r="E4" s="5">
        <v>1</v>
      </c>
      <c r="F4" s="5">
        <v>3</v>
      </c>
      <c r="G4" s="5" t="str">
        <f t="shared" si="0"/>
        <v>MM_C</v>
      </c>
      <c r="H4" s="5" t="s">
        <v>55</v>
      </c>
      <c r="I4" s="1">
        <v>0.29700034879665155</v>
      </c>
      <c r="J4" s="3">
        <v>0.314963376351587</v>
      </c>
      <c r="K4" s="3">
        <v>0.92262435371724016</v>
      </c>
      <c r="L4" s="3">
        <v>1.2878367346938775</v>
      </c>
      <c r="M4" s="3">
        <f t="shared" si="1"/>
        <v>0.990836385897226</v>
      </c>
      <c r="N4" s="1">
        <v>1</v>
      </c>
      <c r="O4" s="1">
        <v>17</v>
      </c>
      <c r="P4" s="1">
        <v>0.45208163265306123</v>
      </c>
      <c r="Q4" s="1">
        <f t="shared" si="2"/>
        <v>0.35103955375253554</v>
      </c>
      <c r="R4" s="1">
        <v>1</v>
      </c>
      <c r="S4" s="1">
        <v>28</v>
      </c>
      <c r="T4" s="1">
        <v>34</v>
      </c>
      <c r="U4" s="1">
        <v>14</v>
      </c>
      <c r="V4" s="1">
        <v>12</v>
      </c>
      <c r="W4" s="16">
        <f t="shared" si="3"/>
        <v>0.8571428571428571</v>
      </c>
    </row>
    <row r="5" spans="1:23" x14ac:dyDescent="0.25">
      <c r="A5" s="4">
        <v>4</v>
      </c>
      <c r="B5" s="4" t="s">
        <v>49</v>
      </c>
      <c r="C5" s="5">
        <v>2</v>
      </c>
      <c r="D5" s="5" t="s">
        <v>50</v>
      </c>
      <c r="E5" s="5">
        <v>1</v>
      </c>
      <c r="F5" s="5">
        <v>2</v>
      </c>
      <c r="G5" s="5" t="str">
        <f t="shared" si="0"/>
        <v>MM_A</v>
      </c>
      <c r="H5" s="5" t="s">
        <v>56</v>
      </c>
      <c r="I5" s="1">
        <v>0.14028601325427276</v>
      </c>
      <c r="J5" s="3">
        <v>8.9030345308685033E-2</v>
      </c>
      <c r="K5" s="3">
        <v>5.7407737564628275E-3</v>
      </c>
      <c r="L5" s="3">
        <v>0.33861224489795916</v>
      </c>
      <c r="M5" s="3">
        <f t="shared" si="1"/>
        <v>0.1983262316436864</v>
      </c>
      <c r="N5" s="1">
        <v>1</v>
      </c>
      <c r="O5" s="1">
        <v>19</v>
      </c>
      <c r="P5" s="1">
        <v>6.6938775510204079E-2</v>
      </c>
      <c r="Q5" s="1">
        <f t="shared" si="2"/>
        <v>0.19768563162970107</v>
      </c>
      <c r="R5" s="1">
        <v>1</v>
      </c>
      <c r="S5" s="1">
        <v>20</v>
      </c>
      <c r="T5" s="1">
        <v>26</v>
      </c>
      <c r="U5" s="1">
        <v>18</v>
      </c>
      <c r="V5" s="1">
        <v>14</v>
      </c>
      <c r="W5" s="16">
        <f t="shared" si="3"/>
        <v>0.77777777777777779</v>
      </c>
    </row>
    <row r="6" spans="1:23" x14ac:dyDescent="0.25">
      <c r="A6" s="4">
        <v>5</v>
      </c>
      <c r="B6" s="4" t="s">
        <v>49</v>
      </c>
      <c r="C6" s="5">
        <v>2</v>
      </c>
      <c r="D6" s="5" t="s">
        <v>52</v>
      </c>
      <c r="E6" s="5">
        <v>1</v>
      </c>
      <c r="F6" s="5">
        <v>2</v>
      </c>
      <c r="G6" s="5" t="str">
        <f t="shared" si="0"/>
        <v>MM_B</v>
      </c>
      <c r="H6" s="5" t="s">
        <v>57</v>
      </c>
      <c r="I6" s="1">
        <v>0.14175095919079178</v>
      </c>
      <c r="J6" s="3">
        <v>0.26194628531566094</v>
      </c>
      <c r="K6" s="3">
        <v>0.60545551791763241</v>
      </c>
      <c r="L6" s="3">
        <v>0.93338775510204086</v>
      </c>
      <c r="M6" s="3">
        <f t="shared" si="1"/>
        <v>0.79163679591124914</v>
      </c>
      <c r="N6" s="1">
        <v>1</v>
      </c>
      <c r="O6" s="1">
        <v>21</v>
      </c>
      <c r="P6" s="1">
        <v>0.22873469387755102</v>
      </c>
      <c r="Q6" s="1">
        <f t="shared" si="2"/>
        <v>0.24505859716634598</v>
      </c>
      <c r="R6" s="1">
        <v>1</v>
      </c>
      <c r="S6" s="1">
        <v>24</v>
      </c>
      <c r="T6" s="1">
        <v>29</v>
      </c>
      <c r="U6" s="1">
        <v>11</v>
      </c>
      <c r="V6" s="1">
        <v>9</v>
      </c>
      <c r="W6" s="16">
        <f t="shared" si="3"/>
        <v>0.81818181818181823</v>
      </c>
    </row>
    <row r="7" spans="1:23" x14ac:dyDescent="0.25">
      <c r="A7" s="4">
        <v>6</v>
      </c>
      <c r="B7" s="4" t="s">
        <v>49</v>
      </c>
      <c r="C7" s="5">
        <v>2</v>
      </c>
      <c r="D7" s="5" t="s">
        <v>54</v>
      </c>
      <c r="E7" s="5">
        <v>1</v>
      </c>
      <c r="F7" s="5">
        <v>3</v>
      </c>
      <c r="G7" s="5" t="str">
        <f t="shared" si="0"/>
        <v>MM_C</v>
      </c>
      <c r="H7" s="5" t="s">
        <v>55</v>
      </c>
      <c r="I7" s="1">
        <v>0.34373910010463898</v>
      </c>
      <c r="J7" s="3">
        <v>0.57324729682595044</v>
      </c>
      <c r="K7" s="3">
        <v>1.0980566945979675</v>
      </c>
      <c r="L7" s="3">
        <v>1.2692244897959184</v>
      </c>
      <c r="M7" s="3">
        <f t="shared" si="1"/>
        <v>0.92548538969127936</v>
      </c>
      <c r="N7" s="1">
        <v>1</v>
      </c>
      <c r="O7" s="1">
        <v>20</v>
      </c>
      <c r="P7" s="1">
        <v>0.56065306122448977</v>
      </c>
      <c r="Q7" s="1">
        <f t="shared" si="2"/>
        <v>0.44172883972215071</v>
      </c>
      <c r="R7" s="1">
        <v>1</v>
      </c>
      <c r="S7" s="1">
        <v>29</v>
      </c>
      <c r="T7" s="1">
        <v>33</v>
      </c>
      <c r="U7" s="1">
        <v>8</v>
      </c>
      <c r="V7" s="1">
        <v>6</v>
      </c>
      <c r="W7" s="16">
        <f t="shared" si="3"/>
        <v>0.75</v>
      </c>
    </row>
    <row r="8" spans="1:23" x14ac:dyDescent="0.25">
      <c r="A8" s="4">
        <v>7</v>
      </c>
      <c r="B8" s="4" t="s">
        <v>49</v>
      </c>
      <c r="C8" s="5">
        <v>3</v>
      </c>
      <c r="D8" s="5" t="s">
        <v>50</v>
      </c>
      <c r="E8" s="5">
        <v>1</v>
      </c>
      <c r="F8" s="5">
        <v>2</v>
      </c>
      <c r="G8" s="5" t="str">
        <f t="shared" si="0"/>
        <v>MM_A</v>
      </c>
      <c r="H8" s="5" t="s">
        <v>56</v>
      </c>
      <c r="I8" s="1">
        <v>0.1446982908964074</v>
      </c>
      <c r="J8" s="3">
        <v>0.25549354726194629</v>
      </c>
      <c r="K8" s="3">
        <v>0.81101800677482616</v>
      </c>
      <c r="L8" s="3">
        <v>0.62563265306122451</v>
      </c>
      <c r="M8" s="3">
        <f t="shared" si="1"/>
        <v>0.48093436216481711</v>
      </c>
      <c r="N8" s="1">
        <v>0</v>
      </c>
      <c r="W8" s="16"/>
    </row>
    <row r="9" spans="1:23" x14ac:dyDescent="0.25">
      <c r="A9" s="4">
        <v>8</v>
      </c>
      <c r="B9" s="4" t="s">
        <v>49</v>
      </c>
      <c r="C9" s="5">
        <v>3</v>
      </c>
      <c r="D9" s="5" t="s">
        <v>52</v>
      </c>
      <c r="E9" s="5">
        <v>1</v>
      </c>
      <c r="F9" s="5">
        <v>4</v>
      </c>
      <c r="G9" s="5" t="str">
        <f t="shared" si="0"/>
        <v>MM_B</v>
      </c>
      <c r="H9" s="5" t="s">
        <v>53</v>
      </c>
      <c r="I9" s="1">
        <v>0.37896756191140563</v>
      </c>
      <c r="J9" s="3">
        <v>0.56644576212068365</v>
      </c>
      <c r="K9" s="3">
        <v>1.4942057407737566</v>
      </c>
      <c r="L9" s="3">
        <v>1.4909387755102042</v>
      </c>
      <c r="M9" s="3">
        <f t="shared" si="1"/>
        <v>1.1119712135987985</v>
      </c>
      <c r="N9" s="1">
        <v>1</v>
      </c>
      <c r="O9" s="1">
        <v>16</v>
      </c>
      <c r="P9" s="1">
        <v>0.24946938775510205</v>
      </c>
      <c r="Q9" s="1">
        <f>P9/L9</f>
        <v>0.16732369689005694</v>
      </c>
      <c r="R9" s="1">
        <v>1</v>
      </c>
      <c r="S9" s="1">
        <v>26</v>
      </c>
      <c r="T9" s="1">
        <v>31</v>
      </c>
      <c r="U9" s="1">
        <v>7</v>
      </c>
      <c r="V9" s="1">
        <v>6</v>
      </c>
      <c r="W9" s="16">
        <f>V9/U9</f>
        <v>0.8571428571428571</v>
      </c>
    </row>
    <row r="10" spans="1:23" x14ac:dyDescent="0.25">
      <c r="A10" s="4">
        <v>9</v>
      </c>
      <c r="B10" s="4" t="s">
        <v>49</v>
      </c>
      <c r="C10" s="5">
        <v>3</v>
      </c>
      <c r="D10" s="5" t="s">
        <v>54</v>
      </c>
      <c r="E10" s="5">
        <v>1</v>
      </c>
      <c r="F10" s="5">
        <v>1</v>
      </c>
      <c r="G10" s="5" t="str">
        <f t="shared" si="0"/>
        <v>MM_C</v>
      </c>
      <c r="H10" s="5" t="s">
        <v>58</v>
      </c>
      <c r="I10" s="1">
        <v>0.12382281130101151</v>
      </c>
      <c r="J10" s="3">
        <v>0.25863271712591557</v>
      </c>
      <c r="K10" s="3">
        <v>1.0442146550187199</v>
      </c>
      <c r="L10" s="3">
        <v>1.0448979591836736</v>
      </c>
      <c r="M10" s="3">
        <f t="shared" si="1"/>
        <v>0.92107514788266209</v>
      </c>
      <c r="N10" s="1">
        <v>1</v>
      </c>
      <c r="O10" s="1">
        <v>18</v>
      </c>
      <c r="P10" s="1">
        <v>0.22106122448979593</v>
      </c>
      <c r="Q10" s="1">
        <f>P10/L10</f>
        <v>0.21156249999999999</v>
      </c>
      <c r="R10" s="1">
        <v>1</v>
      </c>
      <c r="S10" s="1">
        <v>23</v>
      </c>
      <c r="T10" s="1">
        <v>29</v>
      </c>
      <c r="U10" s="1">
        <v>9</v>
      </c>
      <c r="V10" s="1">
        <v>6</v>
      </c>
      <c r="W10" s="16">
        <f>V10/U10</f>
        <v>0.66666666666666663</v>
      </c>
    </row>
    <row r="11" spans="1:23" x14ac:dyDescent="0.25">
      <c r="A11" s="4">
        <v>10</v>
      </c>
      <c r="B11" s="4" t="s">
        <v>49</v>
      </c>
      <c r="C11" s="5">
        <v>4</v>
      </c>
      <c r="D11" s="5" t="s">
        <v>50</v>
      </c>
      <c r="E11" s="5">
        <v>1</v>
      </c>
      <c r="F11" s="5">
        <v>2</v>
      </c>
      <c r="G11" s="5" t="str">
        <f t="shared" si="0"/>
        <v>MM_A</v>
      </c>
      <c r="H11" s="5" t="s">
        <v>56</v>
      </c>
      <c r="I11" s="1">
        <v>0.15369724450645275</v>
      </c>
      <c r="J11" s="3">
        <v>0.30240669689570981</v>
      </c>
      <c r="K11" s="3">
        <v>0.87359600641825641</v>
      </c>
      <c r="L11" s="3">
        <v>0.92718367346938779</v>
      </c>
      <c r="M11" s="3">
        <f t="shared" si="1"/>
        <v>0.77348642896293507</v>
      </c>
      <c r="N11" s="1">
        <v>1</v>
      </c>
      <c r="O11" s="1">
        <v>20</v>
      </c>
      <c r="P11" s="1">
        <v>0.27477551020408164</v>
      </c>
      <c r="Q11" s="1">
        <f>P11/L11</f>
        <v>0.29635499207606975</v>
      </c>
      <c r="R11" s="1">
        <v>0</v>
      </c>
      <c r="W11" s="16"/>
    </row>
    <row r="12" spans="1:23" x14ac:dyDescent="0.25">
      <c r="A12" s="4">
        <v>11</v>
      </c>
      <c r="B12" s="4" t="s">
        <v>49</v>
      </c>
      <c r="C12" s="5">
        <v>4</v>
      </c>
      <c r="D12" s="5" t="s">
        <v>52</v>
      </c>
      <c r="E12" s="5">
        <v>1</v>
      </c>
      <c r="F12" s="5">
        <v>3</v>
      </c>
      <c r="G12" s="5" t="str">
        <f t="shared" si="0"/>
        <v>MM_B</v>
      </c>
      <c r="H12" s="5" t="s">
        <v>59</v>
      </c>
      <c r="I12" s="1">
        <v>0.28217649110568538</v>
      </c>
      <c r="J12" s="3">
        <v>0.44087896756191142</v>
      </c>
      <c r="K12" s="3">
        <v>1.7413086111606346</v>
      </c>
      <c r="L12" s="3">
        <v>1.9853061224489796</v>
      </c>
      <c r="M12" s="3">
        <f t="shared" si="1"/>
        <v>1.7031296313432942</v>
      </c>
      <c r="N12" s="1">
        <v>1</v>
      </c>
      <c r="O12" s="1">
        <v>19</v>
      </c>
      <c r="P12" s="1">
        <v>0.83640816326530609</v>
      </c>
      <c r="Q12" s="1">
        <f>P12/L12</f>
        <v>0.42129934210526315</v>
      </c>
      <c r="R12" s="1">
        <v>1</v>
      </c>
      <c r="S12" s="1">
        <v>21</v>
      </c>
      <c r="T12" s="1">
        <v>27</v>
      </c>
      <c r="U12" s="1">
        <v>6</v>
      </c>
      <c r="V12" s="1">
        <v>6</v>
      </c>
      <c r="W12" s="16">
        <f>V12/U12</f>
        <v>1</v>
      </c>
    </row>
    <row r="13" spans="1:23" x14ac:dyDescent="0.25">
      <c r="A13" s="4">
        <v>12</v>
      </c>
      <c r="B13" s="4" t="s">
        <v>49</v>
      </c>
      <c r="C13" s="5">
        <v>4</v>
      </c>
      <c r="D13" s="5" t="s">
        <v>54</v>
      </c>
      <c r="E13" s="5">
        <v>1</v>
      </c>
      <c r="F13" s="5">
        <v>4</v>
      </c>
      <c r="G13" s="5" t="str">
        <f t="shared" si="0"/>
        <v>MM_C</v>
      </c>
      <c r="H13" s="5" t="s">
        <v>60</v>
      </c>
      <c r="I13" s="1">
        <v>0.44820369724450643</v>
      </c>
      <c r="J13" s="3">
        <v>0.69881409138472272</v>
      </c>
      <c r="K13" s="3">
        <v>1.3068283116420039</v>
      </c>
      <c r="L13" s="3">
        <v>1.3910204081632653</v>
      </c>
      <c r="M13" s="3">
        <f t="shared" si="1"/>
        <v>0.94281671091875885</v>
      </c>
      <c r="N13" s="1">
        <v>1</v>
      </c>
      <c r="O13" s="1">
        <v>18</v>
      </c>
      <c r="P13" s="1">
        <v>0.27363265306122447</v>
      </c>
      <c r="Q13" s="1">
        <f>P13/L13</f>
        <v>0.19671361502347418</v>
      </c>
      <c r="R13" s="1">
        <v>1</v>
      </c>
      <c r="S13" s="1">
        <v>28</v>
      </c>
      <c r="T13" s="1">
        <v>35</v>
      </c>
      <c r="U13" s="1">
        <v>17</v>
      </c>
      <c r="V13" s="1">
        <v>12</v>
      </c>
      <c r="W13" s="16">
        <f>V13/U13</f>
        <v>0.70588235294117652</v>
      </c>
    </row>
    <row r="14" spans="1:23" x14ac:dyDescent="0.25">
      <c r="A14" s="4">
        <v>13</v>
      </c>
      <c r="B14" s="4" t="s">
        <v>49</v>
      </c>
      <c r="C14" s="5">
        <v>5</v>
      </c>
      <c r="D14" s="5" t="s">
        <v>50</v>
      </c>
      <c r="E14" s="5">
        <v>1</v>
      </c>
      <c r="F14" s="5">
        <v>2</v>
      </c>
      <c r="G14" s="5" t="str">
        <f t="shared" si="0"/>
        <v>MM_A</v>
      </c>
      <c r="H14" s="5" t="s">
        <v>56</v>
      </c>
      <c r="I14" s="1">
        <v>0.20055807464248343</v>
      </c>
      <c r="J14" s="3">
        <v>0.42152075340076733</v>
      </c>
      <c r="K14" s="3">
        <v>0.94009627384560523</v>
      </c>
      <c r="L14" s="3">
        <v>0.87526530612244902</v>
      </c>
      <c r="M14" s="3">
        <f t="shared" si="1"/>
        <v>0.67470723147996559</v>
      </c>
      <c r="N14" s="1">
        <v>0</v>
      </c>
      <c r="W14" s="16"/>
    </row>
    <row r="15" spans="1:23" x14ac:dyDescent="0.25">
      <c r="A15" s="4">
        <v>14</v>
      </c>
      <c r="B15" s="4" t="s">
        <v>49</v>
      </c>
      <c r="C15" s="5">
        <v>5</v>
      </c>
      <c r="D15" s="5" t="s">
        <v>52</v>
      </c>
      <c r="E15" s="5">
        <v>1</v>
      </c>
      <c r="F15" s="5">
        <v>4</v>
      </c>
      <c r="G15" s="5" t="str">
        <f t="shared" si="0"/>
        <v>MM_B</v>
      </c>
      <c r="H15" s="5" t="s">
        <v>53</v>
      </c>
      <c r="I15" s="1">
        <v>0.4250087199162888</v>
      </c>
      <c r="J15" s="3">
        <v>0.65207534007673529</v>
      </c>
      <c r="K15" s="3">
        <v>2.0591905865573188</v>
      </c>
      <c r="L15" s="3">
        <v>2.1453061224489796</v>
      </c>
      <c r="M15" s="3">
        <f t="shared" si="1"/>
        <v>1.7202974025326907</v>
      </c>
      <c r="N15" s="1">
        <v>1</v>
      </c>
      <c r="O15" s="1">
        <v>16</v>
      </c>
      <c r="P15" s="1">
        <v>0.82693877551020412</v>
      </c>
      <c r="Q15" s="1">
        <f t="shared" ref="Q15:Q30" si="4">P15/L15</f>
        <v>0.38546423135464236</v>
      </c>
      <c r="R15" s="1">
        <v>1</v>
      </c>
      <c r="S15" s="1">
        <v>30</v>
      </c>
      <c r="T15" s="1">
        <v>36</v>
      </c>
      <c r="U15" s="1">
        <v>4</v>
      </c>
      <c r="V15" s="1">
        <v>4</v>
      </c>
      <c r="W15" s="16">
        <f t="shared" ref="W15:W22" si="5">V15/U15</f>
        <v>1</v>
      </c>
    </row>
    <row r="16" spans="1:23" x14ac:dyDescent="0.25">
      <c r="A16" s="4">
        <v>15</v>
      </c>
      <c r="B16" s="4" t="s">
        <v>49</v>
      </c>
      <c r="C16" s="5">
        <v>5</v>
      </c>
      <c r="D16" s="5" t="s">
        <v>54</v>
      </c>
      <c r="E16" s="5">
        <v>1</v>
      </c>
      <c r="F16" s="5">
        <v>5</v>
      </c>
      <c r="G16" s="5" t="str">
        <f t="shared" si="0"/>
        <v>MM_C</v>
      </c>
      <c r="H16" s="5" t="s">
        <v>61</v>
      </c>
      <c r="I16" s="1">
        <v>0.59522148587373558</v>
      </c>
      <c r="J16" s="3">
        <v>0.74119288454830834</v>
      </c>
      <c r="K16" s="3">
        <v>1.6865751470850419</v>
      </c>
      <c r="L16" s="3">
        <v>1.8057142857142856</v>
      </c>
      <c r="M16" s="3">
        <f t="shared" si="1"/>
        <v>1.2104927998405501</v>
      </c>
      <c r="N16" s="1">
        <v>1</v>
      </c>
      <c r="O16" s="1">
        <v>17</v>
      </c>
      <c r="P16" s="1">
        <v>0.41142857142857142</v>
      </c>
      <c r="Q16" s="1">
        <f t="shared" si="4"/>
        <v>0.22784810126582281</v>
      </c>
      <c r="R16" s="1">
        <v>1</v>
      </c>
      <c r="S16" s="1">
        <v>25</v>
      </c>
      <c r="T16" s="1">
        <v>31</v>
      </c>
      <c r="U16" s="1">
        <v>14</v>
      </c>
      <c r="V16" s="1">
        <v>11</v>
      </c>
      <c r="W16" s="16">
        <f t="shared" si="5"/>
        <v>0.7857142857142857</v>
      </c>
    </row>
    <row r="17" spans="1:23" x14ac:dyDescent="0.25">
      <c r="A17" s="4">
        <v>16</v>
      </c>
      <c r="B17" s="4" t="s">
        <v>49</v>
      </c>
      <c r="C17" s="5">
        <v>6</v>
      </c>
      <c r="D17" s="5" t="s">
        <v>50</v>
      </c>
      <c r="E17" s="5">
        <v>1</v>
      </c>
      <c r="F17" s="5">
        <v>3</v>
      </c>
      <c r="G17" s="5" t="str">
        <f t="shared" si="0"/>
        <v>MM_A</v>
      </c>
      <c r="H17" s="5" t="s">
        <v>62</v>
      </c>
      <c r="I17" s="1">
        <v>0.29665155214509942</v>
      </c>
      <c r="J17" s="3">
        <v>0.38402511335891176</v>
      </c>
      <c r="K17" s="3">
        <v>1.0046354073809949</v>
      </c>
      <c r="L17" s="3">
        <v>1.0045714285714287</v>
      </c>
      <c r="M17" s="3">
        <f t="shared" si="1"/>
        <v>0.70791987642632925</v>
      </c>
      <c r="N17" s="1">
        <v>1</v>
      </c>
      <c r="P17" s="1">
        <v>0.25583673469387758</v>
      </c>
      <c r="Q17" s="1">
        <f t="shared" si="4"/>
        <v>0.25467251747115227</v>
      </c>
      <c r="R17" s="1">
        <v>1</v>
      </c>
      <c r="U17" s="1">
        <v>2</v>
      </c>
      <c r="V17" s="1">
        <v>2</v>
      </c>
      <c r="W17" s="16">
        <f t="shared" si="5"/>
        <v>1</v>
      </c>
    </row>
    <row r="18" spans="1:23" x14ac:dyDescent="0.25">
      <c r="A18" s="4">
        <v>17</v>
      </c>
      <c r="B18" s="4" t="s">
        <v>49</v>
      </c>
      <c r="C18" s="5">
        <v>6</v>
      </c>
      <c r="D18" s="5" t="s">
        <v>52</v>
      </c>
      <c r="E18" s="5">
        <v>1</v>
      </c>
      <c r="F18" s="5">
        <v>3</v>
      </c>
      <c r="G18" s="5" t="str">
        <f t="shared" si="0"/>
        <v>MM_B</v>
      </c>
      <c r="H18" s="5" t="s">
        <v>59</v>
      </c>
      <c r="I18" s="1">
        <v>0.33833275200558077</v>
      </c>
      <c r="J18" s="3">
        <v>0.63934426229508201</v>
      </c>
      <c r="K18" s="3">
        <v>1.9201283651274736</v>
      </c>
      <c r="L18" s="3">
        <v>2.1746938775510203</v>
      </c>
      <c r="M18" s="3">
        <f t="shared" si="1"/>
        <v>1.8363611255454395</v>
      </c>
      <c r="N18" s="1">
        <v>1</v>
      </c>
      <c r="O18" s="1">
        <v>16</v>
      </c>
      <c r="P18" s="1">
        <v>0.55771428571428572</v>
      </c>
      <c r="Q18" s="1">
        <f t="shared" si="4"/>
        <v>0.25645645645645648</v>
      </c>
      <c r="R18" s="1">
        <v>1</v>
      </c>
      <c r="S18" s="1">
        <v>27</v>
      </c>
      <c r="T18" s="1">
        <v>33</v>
      </c>
      <c r="U18" s="1">
        <v>10</v>
      </c>
      <c r="V18" s="1">
        <v>6</v>
      </c>
      <c r="W18" s="16">
        <f t="shared" si="5"/>
        <v>0.6</v>
      </c>
    </row>
    <row r="19" spans="1:23" x14ac:dyDescent="0.25">
      <c r="A19" s="4">
        <v>18</v>
      </c>
      <c r="B19" s="4" t="s">
        <v>49</v>
      </c>
      <c r="C19" s="5">
        <v>6</v>
      </c>
      <c r="D19" s="5" t="s">
        <v>54</v>
      </c>
      <c r="E19" s="5">
        <v>1</v>
      </c>
      <c r="F19" s="5">
        <v>4</v>
      </c>
      <c r="G19" s="5" t="str">
        <f t="shared" si="0"/>
        <v>MM_C</v>
      </c>
      <c r="H19" s="5" t="s">
        <v>60</v>
      </c>
      <c r="I19" s="1">
        <v>0.38733868154865714</v>
      </c>
      <c r="J19" s="3">
        <v>0.65800488315312178</v>
      </c>
      <c r="K19" s="3">
        <v>1.5460866464610448</v>
      </c>
      <c r="L19" s="3">
        <v>1.5492244897959184</v>
      </c>
      <c r="M19" s="3">
        <f t="shared" si="1"/>
        <v>1.1618858082472614</v>
      </c>
      <c r="N19" s="1">
        <v>1</v>
      </c>
      <c r="O19" s="1">
        <v>20</v>
      </c>
      <c r="P19" s="1">
        <v>0.4697142857142857</v>
      </c>
      <c r="Q19" s="1">
        <f t="shared" si="4"/>
        <v>0.30319317104015175</v>
      </c>
      <c r="R19" s="1">
        <v>1</v>
      </c>
      <c r="S19" s="1">
        <v>23</v>
      </c>
      <c r="T19" s="1">
        <v>30</v>
      </c>
      <c r="U19" s="1">
        <v>19</v>
      </c>
      <c r="V19" s="1">
        <v>13</v>
      </c>
      <c r="W19" s="16">
        <f t="shared" si="5"/>
        <v>0.68421052631578949</v>
      </c>
    </row>
    <row r="20" spans="1:23" x14ac:dyDescent="0.25">
      <c r="A20" s="4">
        <v>19</v>
      </c>
      <c r="B20" s="4" t="s">
        <v>49</v>
      </c>
      <c r="C20" s="5">
        <v>7</v>
      </c>
      <c r="D20" s="5" t="s">
        <v>50</v>
      </c>
      <c r="E20" s="5">
        <v>1</v>
      </c>
      <c r="F20" s="5">
        <v>2</v>
      </c>
      <c r="G20" s="5" t="str">
        <f t="shared" si="0"/>
        <v>MM_A</v>
      </c>
      <c r="H20" s="5" t="s">
        <v>56</v>
      </c>
      <c r="I20" s="1">
        <v>0.20683641437042205</v>
      </c>
      <c r="J20" s="3">
        <v>0.32839204743634459</v>
      </c>
      <c r="K20" s="3">
        <v>0.43305402032447854</v>
      </c>
      <c r="L20" s="3">
        <v>0.47951020408163264</v>
      </c>
      <c r="M20" s="3">
        <f t="shared" si="1"/>
        <v>0.27267378971121059</v>
      </c>
      <c r="N20" s="1">
        <v>1</v>
      </c>
      <c r="O20" s="1">
        <v>18</v>
      </c>
      <c r="P20" s="1">
        <v>0.27853061224489795</v>
      </c>
      <c r="Q20" s="1">
        <f t="shared" si="4"/>
        <v>0.58086482805583928</v>
      </c>
      <c r="R20" s="1">
        <v>1</v>
      </c>
      <c r="S20" s="1">
        <v>27</v>
      </c>
      <c r="T20" s="1">
        <v>33</v>
      </c>
      <c r="U20" s="1">
        <v>9</v>
      </c>
      <c r="V20" s="1">
        <v>8</v>
      </c>
      <c r="W20" s="16">
        <f t="shared" si="5"/>
        <v>0.88888888888888884</v>
      </c>
    </row>
    <row r="21" spans="1:23" x14ac:dyDescent="0.25">
      <c r="A21" s="4">
        <v>20</v>
      </c>
      <c r="B21" s="4" t="s">
        <v>49</v>
      </c>
      <c r="C21" s="5">
        <v>7</v>
      </c>
      <c r="D21" s="5" t="s">
        <v>52</v>
      </c>
      <c r="E21" s="5">
        <v>1</v>
      </c>
      <c r="F21" s="5">
        <v>4</v>
      </c>
      <c r="G21" s="5" t="str">
        <f t="shared" si="0"/>
        <v>MM_B</v>
      </c>
      <c r="H21" s="5" t="s">
        <v>53</v>
      </c>
      <c r="I21" s="1">
        <v>0.40722009068712939</v>
      </c>
      <c r="J21" s="3">
        <v>0.6384722706662016</v>
      </c>
      <c r="K21" s="3">
        <v>0.90087359600641825</v>
      </c>
      <c r="L21" s="3">
        <v>1.1645714285714286</v>
      </c>
      <c r="M21" s="3">
        <f t="shared" si="1"/>
        <v>0.7573513378842992</v>
      </c>
      <c r="N21" s="1">
        <v>1</v>
      </c>
      <c r="O21" s="1">
        <v>19</v>
      </c>
      <c r="P21" s="1">
        <v>0.47004081632653061</v>
      </c>
      <c r="Q21" s="1">
        <f t="shared" si="4"/>
        <v>0.40361699144819851</v>
      </c>
      <c r="R21" s="1">
        <v>1</v>
      </c>
      <c r="S21" s="1">
        <v>29</v>
      </c>
      <c r="T21" s="1">
        <v>35</v>
      </c>
      <c r="U21" s="1">
        <v>5</v>
      </c>
      <c r="V21" s="1">
        <v>5</v>
      </c>
      <c r="W21" s="16">
        <f t="shared" si="5"/>
        <v>1</v>
      </c>
    </row>
    <row r="22" spans="1:23" x14ac:dyDescent="0.25">
      <c r="A22" s="4">
        <v>21</v>
      </c>
      <c r="B22" s="4" t="s">
        <v>49</v>
      </c>
      <c r="C22" s="5">
        <v>7</v>
      </c>
      <c r="D22" s="5" t="s">
        <v>54</v>
      </c>
      <c r="E22" s="5">
        <v>1</v>
      </c>
      <c r="F22" s="5">
        <v>3</v>
      </c>
      <c r="G22" s="5" t="str">
        <f t="shared" si="0"/>
        <v>MM_C</v>
      </c>
      <c r="H22" s="5" t="s">
        <v>55</v>
      </c>
      <c r="I22" s="1">
        <v>0.34339030345308685</v>
      </c>
      <c r="J22" s="3">
        <v>0.5901639344262295</v>
      </c>
      <c r="K22" s="3">
        <v>1.0406489570333393</v>
      </c>
      <c r="L22" s="3">
        <v>1.2522448979591836</v>
      </c>
      <c r="M22" s="3">
        <f t="shared" si="1"/>
        <v>0.90885459450609674</v>
      </c>
      <c r="N22" s="1">
        <v>1</v>
      </c>
      <c r="O22" s="1">
        <v>21</v>
      </c>
      <c r="P22" s="1">
        <v>0.10922448979591837</v>
      </c>
      <c r="Q22" s="1">
        <f t="shared" si="4"/>
        <v>8.7222946544980445E-2</v>
      </c>
      <c r="R22" s="1">
        <v>1</v>
      </c>
      <c r="S22" s="1">
        <v>24</v>
      </c>
      <c r="T22" s="1">
        <v>30</v>
      </c>
      <c r="U22" s="1">
        <v>10</v>
      </c>
      <c r="V22" s="1">
        <v>8</v>
      </c>
      <c r="W22" s="16">
        <f t="shared" si="5"/>
        <v>0.8</v>
      </c>
    </row>
    <row r="23" spans="1:23" x14ac:dyDescent="0.25">
      <c r="A23" s="4">
        <v>22</v>
      </c>
      <c r="B23" s="4" t="s">
        <v>49</v>
      </c>
      <c r="C23" s="5">
        <v>8</v>
      </c>
      <c r="D23" s="5" t="s">
        <v>50</v>
      </c>
      <c r="E23" s="5">
        <v>1</v>
      </c>
      <c r="F23" s="5">
        <v>3</v>
      </c>
      <c r="G23" s="5" t="str">
        <f t="shared" si="0"/>
        <v>MM_A</v>
      </c>
      <c r="H23" s="5" t="s">
        <v>62</v>
      </c>
      <c r="I23" s="1">
        <v>0.26648064178583886</v>
      </c>
      <c r="J23" s="3">
        <v>0.43791419602371817</v>
      </c>
      <c r="K23" s="3">
        <v>0.59119272597610983</v>
      </c>
      <c r="L23" s="3">
        <v>0.58612244897959187</v>
      </c>
      <c r="M23" s="3">
        <f t="shared" si="1"/>
        <v>0.31964180719375301</v>
      </c>
      <c r="N23" s="1">
        <v>1</v>
      </c>
      <c r="O23" s="1">
        <v>18</v>
      </c>
      <c r="P23" s="6">
        <f>28670/61250</f>
        <v>0.46808163265306124</v>
      </c>
      <c r="Q23" s="1">
        <f t="shared" si="4"/>
        <v>0.79860724233983282</v>
      </c>
      <c r="R23" s="1">
        <v>0</v>
      </c>
      <c r="W23" s="16"/>
    </row>
    <row r="24" spans="1:23" x14ac:dyDescent="0.25">
      <c r="A24" s="4">
        <v>23</v>
      </c>
      <c r="B24" s="4" t="s">
        <v>49</v>
      </c>
      <c r="C24" s="5">
        <v>8</v>
      </c>
      <c r="D24" s="5" t="s">
        <v>52</v>
      </c>
      <c r="E24" s="5">
        <v>1</v>
      </c>
      <c r="F24" s="5">
        <v>2</v>
      </c>
      <c r="G24" s="5" t="str">
        <f t="shared" si="0"/>
        <v>MM_B</v>
      </c>
      <c r="H24" s="5" t="s">
        <v>57</v>
      </c>
      <c r="I24" s="1">
        <v>0.22532263690268572</v>
      </c>
      <c r="J24" s="3">
        <v>0.35228461806766653</v>
      </c>
      <c r="K24" s="3">
        <v>0.51399536459261896</v>
      </c>
      <c r="L24" s="3">
        <v>0.54236734693877553</v>
      </c>
      <c r="M24" s="3">
        <f t="shared" si="1"/>
        <v>0.31704471003608981</v>
      </c>
      <c r="N24" s="1">
        <v>1</v>
      </c>
      <c r="O24" s="1">
        <v>19</v>
      </c>
      <c r="P24" s="1">
        <v>3.7061224489795916E-2</v>
      </c>
      <c r="Q24" s="1">
        <f t="shared" si="4"/>
        <v>6.8332329921733895E-2</v>
      </c>
      <c r="R24" s="1">
        <v>1</v>
      </c>
      <c r="S24" s="1">
        <v>28</v>
      </c>
      <c r="T24" s="1">
        <v>33</v>
      </c>
      <c r="U24" s="1">
        <v>11</v>
      </c>
      <c r="V24" s="1">
        <v>8</v>
      </c>
      <c r="W24" s="16">
        <f t="shared" ref="W24:W31" si="6">V24/U24</f>
        <v>0.72727272727272729</v>
      </c>
    </row>
    <row r="25" spans="1:23" x14ac:dyDescent="0.25">
      <c r="A25" s="4">
        <v>24</v>
      </c>
      <c r="B25" s="4" t="s">
        <v>49</v>
      </c>
      <c r="C25" s="5">
        <v>8</v>
      </c>
      <c r="D25" s="5" t="s">
        <v>54</v>
      </c>
      <c r="E25" s="5">
        <v>1</v>
      </c>
      <c r="F25" s="5">
        <v>4</v>
      </c>
      <c r="G25" s="5" t="str">
        <f t="shared" si="0"/>
        <v>MM_C</v>
      </c>
      <c r="H25" s="5" t="s">
        <v>60</v>
      </c>
      <c r="I25" s="1">
        <v>0.4677363097314266</v>
      </c>
      <c r="J25" s="3">
        <v>0.67980467387513077</v>
      </c>
      <c r="K25" s="3">
        <v>1.4603316099126404</v>
      </c>
      <c r="L25" s="3">
        <v>1.6124081632653062</v>
      </c>
      <c r="M25" s="3">
        <f t="shared" si="1"/>
        <v>1.1446718535338796</v>
      </c>
      <c r="N25" s="1">
        <v>1</v>
      </c>
      <c r="O25" s="1">
        <v>16</v>
      </c>
      <c r="P25" s="1">
        <v>0.10964897959183674</v>
      </c>
      <c r="Q25" s="1">
        <f t="shared" si="4"/>
        <v>6.8003240178209801E-2</v>
      </c>
      <c r="R25" s="1">
        <v>1</v>
      </c>
      <c r="S25" s="1">
        <v>25</v>
      </c>
      <c r="T25" s="1">
        <v>31</v>
      </c>
      <c r="U25" s="1">
        <v>15</v>
      </c>
      <c r="V25" s="1">
        <v>11</v>
      </c>
      <c r="W25" s="16">
        <f t="shared" si="6"/>
        <v>0.73333333333333328</v>
      </c>
    </row>
    <row r="26" spans="1:23" x14ac:dyDescent="0.25">
      <c r="A26" s="4">
        <v>25</v>
      </c>
      <c r="B26" s="4" t="s">
        <v>49</v>
      </c>
      <c r="C26" s="5">
        <v>9</v>
      </c>
      <c r="D26" s="5" t="s">
        <v>50</v>
      </c>
      <c r="E26" s="5">
        <v>1</v>
      </c>
      <c r="F26" s="5">
        <v>1</v>
      </c>
      <c r="G26" s="5" t="str">
        <f t="shared" si="0"/>
        <v>MM_A</v>
      </c>
      <c r="H26" s="5" t="s">
        <v>51</v>
      </c>
      <c r="I26" s="1">
        <v>9.6407394489012907E-2</v>
      </c>
      <c r="J26" s="3">
        <v>0.19567492152075341</v>
      </c>
      <c r="K26" s="3">
        <v>0.77928329470493851</v>
      </c>
      <c r="L26" s="3">
        <v>1.0595918367346939</v>
      </c>
      <c r="M26" s="3">
        <f t="shared" si="1"/>
        <v>0.96318444224568101</v>
      </c>
      <c r="N26" s="1">
        <v>1</v>
      </c>
      <c r="O26" s="1">
        <v>20</v>
      </c>
      <c r="P26" s="1">
        <v>0.41142857142857142</v>
      </c>
      <c r="Q26" s="1">
        <f t="shared" si="4"/>
        <v>0.38828967642526963</v>
      </c>
      <c r="R26" s="1">
        <v>1</v>
      </c>
      <c r="S26" s="1">
        <v>21</v>
      </c>
      <c r="T26" s="1">
        <v>27</v>
      </c>
      <c r="U26" s="1">
        <v>34</v>
      </c>
      <c r="V26" s="1">
        <v>22</v>
      </c>
      <c r="W26" s="16">
        <f t="shared" si="6"/>
        <v>0.6470588235294118</v>
      </c>
    </row>
    <row r="27" spans="1:23" x14ac:dyDescent="0.25">
      <c r="A27" s="4">
        <v>26</v>
      </c>
      <c r="B27" s="4" t="s">
        <v>49</v>
      </c>
      <c r="C27" s="5">
        <v>9</v>
      </c>
      <c r="D27" s="5" t="s">
        <v>52</v>
      </c>
      <c r="E27" s="5">
        <v>1</v>
      </c>
      <c r="F27" s="5">
        <v>2</v>
      </c>
      <c r="G27" s="5" t="str">
        <f t="shared" si="0"/>
        <v>MM_B</v>
      </c>
      <c r="H27" s="5" t="s">
        <v>57</v>
      </c>
      <c r="I27" s="1">
        <v>0.13133937914196023</v>
      </c>
      <c r="J27" s="3">
        <v>0.24450645273805371</v>
      </c>
      <c r="K27" s="3">
        <v>0.63023711891602785</v>
      </c>
      <c r="L27" s="3">
        <v>0.61322448979591837</v>
      </c>
      <c r="M27" s="3">
        <f t="shared" si="1"/>
        <v>0.48188511065395812</v>
      </c>
      <c r="N27" s="1">
        <v>1</v>
      </c>
      <c r="O27" s="1">
        <v>21</v>
      </c>
      <c r="P27" s="1">
        <v>0.3640816326530612</v>
      </c>
      <c r="Q27" s="1">
        <f t="shared" si="4"/>
        <v>0.5937167199148029</v>
      </c>
      <c r="R27" s="1">
        <v>1</v>
      </c>
      <c r="S27" s="1">
        <v>25</v>
      </c>
      <c r="T27" s="1">
        <v>32</v>
      </c>
      <c r="U27" s="1">
        <v>19</v>
      </c>
      <c r="V27" s="1">
        <v>15</v>
      </c>
      <c r="W27" s="16">
        <f t="shared" si="6"/>
        <v>0.78947368421052633</v>
      </c>
    </row>
    <row r="28" spans="1:23" x14ac:dyDescent="0.25">
      <c r="A28" s="4">
        <v>27</v>
      </c>
      <c r="B28" s="4" t="s">
        <v>49</v>
      </c>
      <c r="C28" s="5">
        <v>9</v>
      </c>
      <c r="D28" s="5" t="s">
        <v>54</v>
      </c>
      <c r="E28" s="5">
        <v>1</v>
      </c>
      <c r="F28" s="5">
        <v>2</v>
      </c>
      <c r="G28" s="5" t="str">
        <f t="shared" si="0"/>
        <v>MM_C</v>
      </c>
      <c r="H28" s="5" t="s">
        <v>63</v>
      </c>
      <c r="I28" s="1">
        <v>0.20143006627136378</v>
      </c>
      <c r="J28" s="3">
        <v>0.31426578304848274</v>
      </c>
      <c r="K28" s="3">
        <v>0.62274915314672852</v>
      </c>
      <c r="L28" s="3">
        <v>0.59771428571428575</v>
      </c>
      <c r="M28" s="3">
        <f t="shared" si="1"/>
        <v>0.39628421944292197</v>
      </c>
      <c r="N28" s="1">
        <v>1</v>
      </c>
      <c r="O28" s="1">
        <v>16</v>
      </c>
      <c r="P28" s="1">
        <v>0.23918367346938776</v>
      </c>
      <c r="Q28" s="1">
        <f t="shared" si="4"/>
        <v>0.40016388964763727</v>
      </c>
      <c r="R28" s="1">
        <v>1</v>
      </c>
      <c r="S28" s="1">
        <v>22</v>
      </c>
      <c r="T28" s="1">
        <v>29</v>
      </c>
      <c r="U28" s="1">
        <v>20</v>
      </c>
      <c r="V28" s="1">
        <v>15</v>
      </c>
      <c r="W28" s="16">
        <f t="shared" si="6"/>
        <v>0.75</v>
      </c>
    </row>
    <row r="29" spans="1:23" x14ac:dyDescent="0.25">
      <c r="A29" s="4">
        <v>28</v>
      </c>
      <c r="B29" s="4" t="s">
        <v>49</v>
      </c>
      <c r="C29" s="5">
        <v>10</v>
      </c>
      <c r="D29" s="5" t="s">
        <v>50</v>
      </c>
      <c r="E29" s="5">
        <v>1</v>
      </c>
      <c r="F29" s="5">
        <v>1</v>
      </c>
      <c r="G29" s="5" t="str">
        <f t="shared" si="0"/>
        <v>MM_A</v>
      </c>
      <c r="H29" s="5" t="s">
        <v>51</v>
      </c>
      <c r="I29" s="1">
        <v>0.11494593651900942</v>
      </c>
      <c r="J29" s="3">
        <v>0.22776421346355075</v>
      </c>
      <c r="K29" s="3">
        <v>0.71706186486004631</v>
      </c>
      <c r="L29" s="3">
        <v>0.8342857142857143</v>
      </c>
      <c r="M29" s="3">
        <f t="shared" si="1"/>
        <v>0.71933977776670488</v>
      </c>
      <c r="N29" s="1">
        <v>1</v>
      </c>
      <c r="O29" s="1">
        <v>18</v>
      </c>
      <c r="P29" s="1">
        <v>0.30677551020408161</v>
      </c>
      <c r="Q29" s="1">
        <f t="shared" si="4"/>
        <v>0.36771037181996086</v>
      </c>
      <c r="R29" s="1">
        <v>1</v>
      </c>
      <c r="S29" s="1">
        <v>26</v>
      </c>
      <c r="T29" s="1">
        <v>33</v>
      </c>
      <c r="U29" s="1">
        <v>9</v>
      </c>
      <c r="V29" s="1">
        <v>8</v>
      </c>
      <c r="W29" s="16">
        <f t="shared" si="6"/>
        <v>0.88888888888888884</v>
      </c>
    </row>
    <row r="30" spans="1:23" x14ac:dyDescent="0.25">
      <c r="A30" s="4">
        <v>29</v>
      </c>
      <c r="B30" s="4" t="s">
        <v>49</v>
      </c>
      <c r="C30" s="5">
        <v>10</v>
      </c>
      <c r="D30" s="5" t="s">
        <v>52</v>
      </c>
      <c r="E30" s="5">
        <v>1</v>
      </c>
      <c r="F30" s="5">
        <v>2</v>
      </c>
      <c r="G30" s="5" t="str">
        <f t="shared" si="0"/>
        <v>MM_B</v>
      </c>
      <c r="H30" s="5" t="s">
        <v>57</v>
      </c>
      <c r="I30" s="1">
        <v>0.18538542029996513</v>
      </c>
      <c r="J30" s="3">
        <v>0.29682595047087545</v>
      </c>
      <c r="K30" s="3">
        <v>1.1488678908896417</v>
      </c>
      <c r="L30" s="3">
        <v>1.2168163265306122</v>
      </c>
      <c r="M30" s="3">
        <f t="shared" si="1"/>
        <v>1.031430906230647</v>
      </c>
      <c r="N30" s="1">
        <v>1</v>
      </c>
      <c r="O30" s="1">
        <v>21</v>
      </c>
      <c r="P30" s="1">
        <v>0.38204081632653059</v>
      </c>
      <c r="Q30" s="1">
        <f t="shared" si="4"/>
        <v>0.31396752985375015</v>
      </c>
      <c r="R30" s="1">
        <v>1</v>
      </c>
      <c r="S30" s="1">
        <v>32</v>
      </c>
      <c r="T30" s="1">
        <v>40</v>
      </c>
      <c r="U30" s="1">
        <v>8</v>
      </c>
      <c r="V30" s="1">
        <v>8</v>
      </c>
      <c r="W30" s="16">
        <f t="shared" si="6"/>
        <v>1</v>
      </c>
    </row>
    <row r="31" spans="1:23" x14ac:dyDescent="0.25">
      <c r="A31" s="4">
        <v>30</v>
      </c>
      <c r="B31" s="4" t="s">
        <v>49</v>
      </c>
      <c r="C31" s="5">
        <v>10</v>
      </c>
      <c r="D31" s="5" t="s">
        <v>54</v>
      </c>
      <c r="E31" s="5">
        <v>1</v>
      </c>
      <c r="F31" s="5">
        <v>3</v>
      </c>
      <c r="G31" s="5" t="str">
        <f t="shared" si="0"/>
        <v>MM_C</v>
      </c>
      <c r="H31" s="5" t="s">
        <v>55</v>
      </c>
      <c r="I31" s="1">
        <v>0.28200209277990929</v>
      </c>
      <c r="J31" s="3">
        <v>0.44750610394140217</v>
      </c>
      <c r="K31" s="3">
        <v>1.5516134783383848</v>
      </c>
      <c r="L31" s="3">
        <v>1.6767346938775509</v>
      </c>
      <c r="M31" s="3">
        <f t="shared" si="1"/>
        <v>1.3947326010976417</v>
      </c>
      <c r="N31" s="1">
        <v>1</v>
      </c>
      <c r="O31" s="1">
        <v>18</v>
      </c>
      <c r="R31" s="1">
        <v>1</v>
      </c>
      <c r="S31" s="1">
        <v>26</v>
      </c>
      <c r="T31" s="1">
        <v>32</v>
      </c>
      <c r="U31" s="1">
        <v>12</v>
      </c>
      <c r="V31" s="1">
        <v>10</v>
      </c>
      <c r="W31" s="16">
        <f t="shared" si="6"/>
        <v>0.83333333333333337</v>
      </c>
    </row>
    <row r="32" spans="1:23" x14ac:dyDescent="0.25">
      <c r="A32" s="4">
        <v>31</v>
      </c>
      <c r="B32" s="4" t="s">
        <v>49</v>
      </c>
      <c r="C32" s="5">
        <v>11</v>
      </c>
      <c r="D32" s="5" t="s">
        <v>50</v>
      </c>
      <c r="E32" s="5">
        <v>1</v>
      </c>
      <c r="F32" s="5">
        <v>1</v>
      </c>
      <c r="G32" s="5" t="str">
        <f t="shared" si="0"/>
        <v>MM_A</v>
      </c>
      <c r="H32" s="5" t="s">
        <v>51</v>
      </c>
      <c r="I32" s="1">
        <v>8.1792814788978027E-2</v>
      </c>
      <c r="J32" s="3">
        <v>0.19323334495988839</v>
      </c>
      <c r="K32" s="3">
        <v>0.38598680691745407</v>
      </c>
      <c r="L32" s="3">
        <v>0.72326530612244899</v>
      </c>
      <c r="M32" s="3">
        <f t="shared" si="1"/>
        <v>0.64147249133347095</v>
      </c>
      <c r="N32" s="1">
        <v>0</v>
      </c>
      <c r="W32" s="16"/>
    </row>
    <row r="33" spans="1:23" x14ac:dyDescent="0.25">
      <c r="A33" s="4">
        <v>32</v>
      </c>
      <c r="B33" s="4" t="s">
        <v>49</v>
      </c>
      <c r="C33" s="5">
        <v>11</v>
      </c>
      <c r="D33" s="5" t="s">
        <v>52</v>
      </c>
      <c r="E33" s="5">
        <v>1</v>
      </c>
      <c r="F33" s="5">
        <v>3</v>
      </c>
      <c r="G33" s="5" t="str">
        <f t="shared" si="0"/>
        <v>MM_B</v>
      </c>
      <c r="H33" s="5" t="s">
        <v>59</v>
      </c>
      <c r="I33" s="1">
        <v>0.29455877223578653</v>
      </c>
      <c r="J33" s="3">
        <v>0.42204394837809556</v>
      </c>
      <c r="K33" s="3">
        <v>1.5400249598858977</v>
      </c>
      <c r="L33" s="3">
        <v>1.8726530612244898</v>
      </c>
      <c r="M33" s="3">
        <f t="shared" si="1"/>
        <v>1.5780942889887033</v>
      </c>
      <c r="N33" s="1">
        <v>0</v>
      </c>
      <c r="P33" s="1">
        <v>0.40522448979591835</v>
      </c>
      <c r="Q33" s="1">
        <f>P33/L33</f>
        <v>0.2163905841325196</v>
      </c>
      <c r="W33" s="16"/>
    </row>
    <row r="34" spans="1:23" x14ac:dyDescent="0.25">
      <c r="A34" s="4">
        <v>33</v>
      </c>
      <c r="B34" s="4" t="s">
        <v>49</v>
      </c>
      <c r="C34" s="5">
        <v>11</v>
      </c>
      <c r="D34" s="5" t="s">
        <v>54</v>
      </c>
      <c r="E34" s="5">
        <v>1</v>
      </c>
      <c r="F34" s="5">
        <v>4</v>
      </c>
      <c r="G34" s="5" t="str">
        <f t="shared" si="0"/>
        <v>MM_C</v>
      </c>
      <c r="H34" s="5" t="s">
        <v>60</v>
      </c>
      <c r="I34" s="1">
        <v>0.4677363097314266</v>
      </c>
      <c r="J34" s="3">
        <v>0.67300313916986398</v>
      </c>
      <c r="K34" s="3">
        <v>1.3308967730433232</v>
      </c>
      <c r="L34" s="3">
        <v>1.7681632653061226</v>
      </c>
      <c r="M34" s="3">
        <f t="shared" si="1"/>
        <v>1.3004269555746959</v>
      </c>
      <c r="N34" s="1">
        <v>1</v>
      </c>
      <c r="O34" s="1">
        <v>19</v>
      </c>
      <c r="R34" s="1">
        <v>1</v>
      </c>
      <c r="S34" s="1">
        <v>26</v>
      </c>
      <c r="T34" s="1">
        <v>32</v>
      </c>
      <c r="U34" s="1">
        <v>8</v>
      </c>
      <c r="V34" s="1">
        <v>6</v>
      </c>
      <c r="W34" s="16">
        <f>V34/U34</f>
        <v>0.75</v>
      </c>
    </row>
    <row r="35" spans="1:23" x14ac:dyDescent="0.25">
      <c r="A35" s="4">
        <v>34</v>
      </c>
      <c r="B35" s="4" t="s">
        <v>49</v>
      </c>
      <c r="C35" s="5">
        <v>12</v>
      </c>
      <c r="D35" s="5" t="s">
        <v>50</v>
      </c>
      <c r="E35" s="5">
        <v>1</v>
      </c>
      <c r="F35" s="5">
        <v>1</v>
      </c>
      <c r="G35" s="5" t="str">
        <f t="shared" si="0"/>
        <v>MM_A</v>
      </c>
      <c r="H35" s="5" t="s">
        <v>51</v>
      </c>
      <c r="I35" s="1">
        <v>0.10664457621206837</v>
      </c>
      <c r="J35" s="3">
        <v>0.18887338681548657</v>
      </c>
      <c r="K35" s="3">
        <v>0.57158138705651629</v>
      </c>
      <c r="L35" s="3">
        <v>0.74906122448979595</v>
      </c>
      <c r="M35" s="3">
        <f t="shared" si="1"/>
        <v>0.6424166482777276</v>
      </c>
      <c r="N35" s="1">
        <v>0</v>
      </c>
      <c r="W35" s="16"/>
    </row>
    <row r="36" spans="1:23" x14ac:dyDescent="0.25">
      <c r="A36" s="4">
        <v>35</v>
      </c>
      <c r="B36" s="4" t="s">
        <v>49</v>
      </c>
      <c r="C36" s="5">
        <v>12</v>
      </c>
      <c r="D36" s="5" t="s">
        <v>52</v>
      </c>
      <c r="E36" s="5">
        <v>1</v>
      </c>
      <c r="F36" s="5">
        <v>3</v>
      </c>
      <c r="G36" s="5" t="str">
        <f t="shared" si="0"/>
        <v>MM_B</v>
      </c>
      <c r="H36" s="5" t="s">
        <v>59</v>
      </c>
      <c r="I36" s="1">
        <v>0.29368678060690617</v>
      </c>
      <c r="J36" s="3">
        <v>0.42047436344611094</v>
      </c>
      <c r="K36" s="3">
        <v>1.1707969334997326</v>
      </c>
      <c r="L36" s="3">
        <v>1.5601632653061224</v>
      </c>
      <c r="M36" s="3">
        <f t="shared" si="1"/>
        <v>1.2664764846992163</v>
      </c>
      <c r="N36" s="1">
        <v>0</v>
      </c>
      <c r="P36" s="1">
        <v>0.46857142857142858</v>
      </c>
      <c r="Q36" s="1">
        <f>P36/L36</f>
        <v>0.30033486814566768</v>
      </c>
      <c r="W36" s="16"/>
    </row>
    <row r="37" spans="1:23" s="10" customFormat="1" x14ac:dyDescent="0.25">
      <c r="A37" s="23">
        <v>36</v>
      </c>
      <c r="B37" s="23" t="s">
        <v>49</v>
      </c>
      <c r="C37" s="17">
        <v>12</v>
      </c>
      <c r="D37" s="17" t="s">
        <v>54</v>
      </c>
      <c r="E37" s="17">
        <v>1</v>
      </c>
      <c r="F37" s="17">
        <v>5</v>
      </c>
      <c r="G37" s="17" t="str">
        <f t="shared" si="0"/>
        <v>MM_C</v>
      </c>
      <c r="H37" s="17" t="s">
        <v>61</v>
      </c>
      <c r="I37" s="9">
        <v>0.53697244506452735</v>
      </c>
      <c r="J37" s="8">
        <v>0.72724101848622258</v>
      </c>
      <c r="K37" s="8">
        <v>2.4906400427883759</v>
      </c>
      <c r="L37" s="8">
        <v>2.3787755102040817</v>
      </c>
      <c r="M37" s="8">
        <f t="shared" si="1"/>
        <v>1.8418030651395543</v>
      </c>
      <c r="N37" s="9">
        <v>1</v>
      </c>
      <c r="O37" s="9">
        <v>18</v>
      </c>
      <c r="P37" s="9">
        <v>0.21371428571428572</v>
      </c>
      <c r="Q37" s="9">
        <f>P37/L37</f>
        <v>8.9842141386410432E-2</v>
      </c>
      <c r="R37" s="9">
        <v>1</v>
      </c>
      <c r="S37" s="9">
        <v>27</v>
      </c>
      <c r="T37" s="9">
        <v>33</v>
      </c>
      <c r="U37" s="9">
        <v>10</v>
      </c>
      <c r="V37" s="9">
        <v>7</v>
      </c>
      <c r="W37" s="18">
        <f>V37/U37</f>
        <v>0.7</v>
      </c>
    </row>
    <row r="38" spans="1:23" x14ac:dyDescent="0.25">
      <c r="A38" s="5">
        <v>37</v>
      </c>
      <c r="B38" s="4" t="s">
        <v>49</v>
      </c>
      <c r="C38" s="5">
        <v>1</v>
      </c>
      <c r="D38" s="5" t="s">
        <v>50</v>
      </c>
      <c r="E38" s="5">
        <v>2</v>
      </c>
      <c r="F38" s="5">
        <v>4</v>
      </c>
      <c r="G38" s="5" t="str">
        <f t="shared" si="0"/>
        <v>MM_A</v>
      </c>
      <c r="H38" s="5" t="s">
        <v>64</v>
      </c>
      <c r="I38" s="1">
        <v>0.36885245901639346</v>
      </c>
      <c r="J38" s="3">
        <v>0.82420648761771886</v>
      </c>
      <c r="K38" s="3">
        <v>0.96790871813157431</v>
      </c>
      <c r="L38" s="6">
        <v>0.8550204081632653</v>
      </c>
      <c r="M38" s="6">
        <f t="shared" si="1"/>
        <v>0.48616794914687184</v>
      </c>
      <c r="N38" s="1">
        <v>0</v>
      </c>
      <c r="W38" s="16"/>
    </row>
    <row r="39" spans="1:23" x14ac:dyDescent="0.25">
      <c r="A39" s="5">
        <v>38</v>
      </c>
      <c r="B39" s="4" t="s">
        <v>49</v>
      </c>
      <c r="C39" s="5">
        <v>1</v>
      </c>
      <c r="D39" s="5" t="s">
        <v>52</v>
      </c>
      <c r="E39" s="5">
        <v>2</v>
      </c>
      <c r="F39" s="5">
        <v>3</v>
      </c>
      <c r="G39" s="5" t="str">
        <f t="shared" si="0"/>
        <v>MM_B</v>
      </c>
      <c r="H39" s="5" t="s">
        <v>59</v>
      </c>
      <c r="I39" s="1">
        <v>0.34356470177886295</v>
      </c>
      <c r="J39" s="3">
        <v>0.50676665504011198</v>
      </c>
      <c r="K39" s="3">
        <v>0.69103226956676767</v>
      </c>
      <c r="L39" s="6">
        <v>1.2390204081632652</v>
      </c>
      <c r="M39" s="6">
        <f t="shared" si="1"/>
        <v>0.89545570638440219</v>
      </c>
      <c r="N39" s="1">
        <v>1</v>
      </c>
      <c r="O39" s="1">
        <v>20</v>
      </c>
      <c r="P39" s="1">
        <v>0.28212244897959182</v>
      </c>
      <c r="Q39" s="1">
        <f>P39/L39</f>
        <v>0.22769798392410068</v>
      </c>
      <c r="R39" s="1">
        <v>1</v>
      </c>
      <c r="S39" s="1">
        <v>25</v>
      </c>
      <c r="T39" s="1">
        <v>31</v>
      </c>
      <c r="U39" s="1">
        <v>7</v>
      </c>
      <c r="V39" s="1">
        <v>6</v>
      </c>
      <c r="W39" s="16">
        <f>V39/U39</f>
        <v>0.8571428571428571</v>
      </c>
    </row>
    <row r="40" spans="1:23" x14ac:dyDescent="0.25">
      <c r="A40" s="5">
        <v>39</v>
      </c>
      <c r="B40" s="4" t="s">
        <v>49</v>
      </c>
      <c r="C40" s="5">
        <v>1</v>
      </c>
      <c r="D40" s="5" t="s">
        <v>54</v>
      </c>
      <c r="E40" s="5">
        <v>2</v>
      </c>
      <c r="F40" s="5">
        <v>5</v>
      </c>
      <c r="G40" s="5" t="str">
        <f t="shared" si="0"/>
        <v>MM_C</v>
      </c>
      <c r="H40" s="5" t="s">
        <v>61</v>
      </c>
      <c r="I40" s="1">
        <v>0.52110219741890473</v>
      </c>
      <c r="J40" s="3">
        <v>0.64637600279037299</v>
      </c>
      <c r="K40" s="3">
        <v>1.0891424496345159</v>
      </c>
      <c r="L40" s="6">
        <v>1.3118367346938775</v>
      </c>
      <c r="M40" s="6">
        <f t="shared" si="1"/>
        <v>0.79073453727497278</v>
      </c>
      <c r="N40" s="1">
        <v>1</v>
      </c>
      <c r="O40" s="1">
        <v>19</v>
      </c>
      <c r="P40" s="1">
        <v>0.20930612244897959</v>
      </c>
      <c r="Q40" s="1">
        <f>P40/L40</f>
        <v>0.1595519601742377</v>
      </c>
      <c r="R40" s="1">
        <v>1</v>
      </c>
      <c r="S40" s="1">
        <v>29</v>
      </c>
      <c r="T40" s="1">
        <v>33</v>
      </c>
      <c r="U40" s="1">
        <v>4</v>
      </c>
      <c r="V40" s="1">
        <v>4</v>
      </c>
      <c r="W40" s="16">
        <f>V40/U40</f>
        <v>1</v>
      </c>
    </row>
    <row r="41" spans="1:23" x14ac:dyDescent="0.25">
      <c r="A41" s="5">
        <v>40</v>
      </c>
      <c r="B41" s="4" t="s">
        <v>49</v>
      </c>
      <c r="C41" s="5">
        <v>2</v>
      </c>
      <c r="D41" s="5" t="s">
        <v>50</v>
      </c>
      <c r="E41" s="5">
        <v>2</v>
      </c>
      <c r="F41" s="5">
        <v>4</v>
      </c>
      <c r="G41" s="5" t="str">
        <f t="shared" si="0"/>
        <v>MM_A</v>
      </c>
      <c r="H41" s="5" t="s">
        <v>64</v>
      </c>
      <c r="I41" s="1">
        <v>0.41663760027903735</v>
      </c>
      <c r="J41" s="3">
        <v>0.400104638995466</v>
      </c>
      <c r="K41" s="3">
        <v>0.92939917988946341</v>
      </c>
      <c r="L41" s="6">
        <v>1.060734693877551</v>
      </c>
      <c r="M41" s="6">
        <f t="shared" si="1"/>
        <v>0.64409709359851375</v>
      </c>
      <c r="N41" s="1">
        <v>0</v>
      </c>
      <c r="W41" s="16"/>
    </row>
    <row r="42" spans="1:23" x14ac:dyDescent="0.25">
      <c r="A42" s="5">
        <v>41</v>
      </c>
      <c r="B42" s="4" t="s">
        <v>49</v>
      </c>
      <c r="C42" s="5">
        <v>2</v>
      </c>
      <c r="D42" s="5" t="s">
        <v>52</v>
      </c>
      <c r="E42" s="5">
        <v>2</v>
      </c>
      <c r="F42" s="5">
        <v>6</v>
      </c>
      <c r="G42" s="5" t="str">
        <f t="shared" si="0"/>
        <v>MM_B</v>
      </c>
      <c r="H42" s="5" t="s">
        <v>65</v>
      </c>
      <c r="I42" s="1">
        <v>0.79630275549354723</v>
      </c>
      <c r="J42" s="3">
        <v>1.10690617370073</v>
      </c>
      <c r="K42" s="3">
        <v>1.586557318595115</v>
      </c>
      <c r="L42" s="6">
        <v>1.8906122448979592</v>
      </c>
      <c r="M42" s="6">
        <f t="shared" si="1"/>
        <v>1.0943094894044121</v>
      </c>
      <c r="N42" s="1">
        <v>1</v>
      </c>
      <c r="O42" s="1">
        <v>18</v>
      </c>
      <c r="P42" s="1">
        <v>0.39363265306122447</v>
      </c>
      <c r="Q42" s="1">
        <f>P42/L42</f>
        <v>0.20820379965457683</v>
      </c>
      <c r="R42" s="1">
        <v>0</v>
      </c>
      <c r="W42" s="16"/>
    </row>
    <row r="43" spans="1:23" x14ac:dyDescent="0.25">
      <c r="A43" s="5">
        <v>42</v>
      </c>
      <c r="B43" s="4" t="s">
        <v>49</v>
      </c>
      <c r="C43" s="5">
        <v>2</v>
      </c>
      <c r="D43" s="5" t="s">
        <v>54</v>
      </c>
      <c r="E43" s="5">
        <v>2</v>
      </c>
      <c r="F43" s="5">
        <v>4</v>
      </c>
      <c r="G43" s="5" t="str">
        <f t="shared" si="0"/>
        <v>MM_C</v>
      </c>
      <c r="H43" s="5" t="s">
        <v>60</v>
      </c>
      <c r="I43" s="1">
        <v>0.45866759679107083</v>
      </c>
      <c r="J43" s="3">
        <v>0.64597139867457276</v>
      </c>
      <c r="K43" s="3">
        <v>0.63398110180067746</v>
      </c>
      <c r="L43" s="6">
        <v>0.75787755102040821</v>
      </c>
      <c r="M43" s="6">
        <f t="shared" si="1"/>
        <v>0.29920995422933738</v>
      </c>
      <c r="N43" s="1">
        <v>1</v>
      </c>
      <c r="O43" s="1">
        <v>19</v>
      </c>
      <c r="P43" s="1">
        <v>0.18987755102040815</v>
      </c>
      <c r="Q43" s="1">
        <f>P43/L43</f>
        <v>0.25053856096510124</v>
      </c>
      <c r="R43" s="1">
        <v>1</v>
      </c>
      <c r="S43" s="1">
        <v>28</v>
      </c>
      <c r="T43" s="1">
        <v>33</v>
      </c>
      <c r="U43" s="1">
        <v>9</v>
      </c>
      <c r="V43" s="1">
        <v>8</v>
      </c>
      <c r="W43" s="16">
        <f>V43/U43</f>
        <v>0.88888888888888884</v>
      </c>
    </row>
    <row r="44" spans="1:23" x14ac:dyDescent="0.25">
      <c r="A44" s="5">
        <v>43</v>
      </c>
      <c r="B44" s="4" t="s">
        <v>49</v>
      </c>
      <c r="C44" s="5">
        <v>3</v>
      </c>
      <c r="D44" s="5" t="s">
        <v>50</v>
      </c>
      <c r="E44" s="5">
        <v>2</v>
      </c>
      <c r="F44" s="5">
        <v>2</v>
      </c>
      <c r="G44" s="5" t="str">
        <f t="shared" si="0"/>
        <v>MM_A</v>
      </c>
      <c r="H44" s="5" t="s">
        <v>56</v>
      </c>
      <c r="I44" s="1">
        <v>0.23142657830484828</v>
      </c>
      <c r="J44" s="3">
        <v>0.36431810254621555</v>
      </c>
      <c r="K44" s="3">
        <v>0.55090033874130862</v>
      </c>
      <c r="L44" s="6">
        <v>0.45093877551020406</v>
      </c>
      <c r="M44" s="6">
        <f t="shared" si="1"/>
        <v>0.21951219720535578</v>
      </c>
      <c r="N44" s="1">
        <v>1</v>
      </c>
      <c r="O44" s="1">
        <v>20</v>
      </c>
      <c r="P44" s="1">
        <v>0.48751020408163265</v>
      </c>
      <c r="Q44" s="1">
        <f>P44/L44</f>
        <v>1.0811006517016655</v>
      </c>
      <c r="R44" s="1">
        <v>0</v>
      </c>
      <c r="W44" s="16"/>
    </row>
    <row r="45" spans="1:23" x14ac:dyDescent="0.25">
      <c r="A45" s="5">
        <v>44</v>
      </c>
      <c r="B45" s="4" t="s">
        <v>49</v>
      </c>
      <c r="C45" s="5">
        <v>3</v>
      </c>
      <c r="D45" s="5" t="s">
        <v>52</v>
      </c>
      <c r="E45" s="5">
        <v>2</v>
      </c>
      <c r="F45" s="5">
        <v>3</v>
      </c>
      <c r="G45" s="5" t="str">
        <f t="shared" si="0"/>
        <v>MM_B</v>
      </c>
      <c r="H45" s="5" t="s">
        <v>59</v>
      </c>
      <c r="I45" s="1">
        <v>0.31531217300313918</v>
      </c>
      <c r="J45" s="3">
        <v>0.47296825950470878</v>
      </c>
      <c r="K45" s="3">
        <v>1.3428418612943485</v>
      </c>
      <c r="L45" s="6">
        <v>1.68</v>
      </c>
      <c r="M45" s="6">
        <f t="shared" si="1"/>
        <v>1.3646878269968608</v>
      </c>
      <c r="N45" s="1">
        <v>1</v>
      </c>
      <c r="O45" s="1">
        <v>17</v>
      </c>
      <c r="R45" s="1">
        <v>1</v>
      </c>
      <c r="S45" s="1">
        <v>25</v>
      </c>
      <c r="T45" s="1">
        <v>32</v>
      </c>
      <c r="U45" s="1">
        <v>4</v>
      </c>
      <c r="V45" s="1">
        <v>4</v>
      </c>
      <c r="W45" s="16">
        <f>V45/U45</f>
        <v>1</v>
      </c>
    </row>
    <row r="46" spans="1:23" x14ac:dyDescent="0.25">
      <c r="A46" s="5">
        <v>45</v>
      </c>
      <c r="B46" s="4" t="s">
        <v>49</v>
      </c>
      <c r="C46" s="5">
        <v>3</v>
      </c>
      <c r="D46" s="5" t="s">
        <v>54</v>
      </c>
      <c r="E46" s="5">
        <v>2</v>
      </c>
      <c r="F46" s="5">
        <v>4</v>
      </c>
      <c r="G46" s="5" t="str">
        <f t="shared" si="0"/>
        <v>MM_C</v>
      </c>
      <c r="H46" s="5" t="s">
        <v>60</v>
      </c>
      <c r="I46" s="1">
        <v>0.40809208231600974</v>
      </c>
      <c r="J46" s="3">
        <v>0.49284966864318103</v>
      </c>
      <c r="K46" s="3">
        <v>0.83134248529149579</v>
      </c>
      <c r="L46" s="6">
        <v>1.074938775510204</v>
      </c>
      <c r="M46" s="6">
        <f t="shared" si="1"/>
        <v>0.66684669319419432</v>
      </c>
      <c r="N46" s="1">
        <v>1</v>
      </c>
      <c r="O46" s="1">
        <v>18</v>
      </c>
      <c r="P46" s="1">
        <v>0.17077551020408163</v>
      </c>
      <c r="Q46" s="1">
        <f>P46/L46</f>
        <v>0.15886998784933173</v>
      </c>
      <c r="R46" s="1">
        <v>1</v>
      </c>
      <c r="S46" s="1">
        <v>31</v>
      </c>
      <c r="T46" s="1">
        <v>37</v>
      </c>
      <c r="U46" s="1">
        <v>5</v>
      </c>
      <c r="V46" s="1">
        <v>5</v>
      </c>
      <c r="W46" s="16">
        <f>V46/U46</f>
        <v>1</v>
      </c>
    </row>
    <row r="47" spans="1:23" x14ac:dyDescent="0.25">
      <c r="A47" s="5">
        <v>46</v>
      </c>
      <c r="B47" s="4" t="s">
        <v>49</v>
      </c>
      <c r="C47" s="5">
        <v>4</v>
      </c>
      <c r="D47" s="5" t="s">
        <v>50</v>
      </c>
      <c r="E47" s="5">
        <v>2</v>
      </c>
      <c r="F47" s="5">
        <v>3</v>
      </c>
      <c r="G47" s="5" t="str">
        <f t="shared" si="0"/>
        <v>MM_A</v>
      </c>
      <c r="H47" s="5" t="s">
        <v>62</v>
      </c>
      <c r="I47" s="1">
        <v>0.25497035228461806</v>
      </c>
      <c r="J47" s="3">
        <v>0.50191838158353674</v>
      </c>
      <c r="K47" s="3">
        <v>0.51239080049919772</v>
      </c>
      <c r="L47" s="6">
        <v>0.46612244897959182</v>
      </c>
      <c r="M47" s="6">
        <f t="shared" si="1"/>
        <v>0.21115209669497376</v>
      </c>
      <c r="N47" s="1">
        <v>1</v>
      </c>
      <c r="O47" s="1">
        <v>19</v>
      </c>
      <c r="P47" s="1">
        <v>0.4336326530612245</v>
      </c>
      <c r="Q47" s="1">
        <f>P47/L47</f>
        <v>0.9302977232924694</v>
      </c>
      <c r="R47" s="1">
        <v>0</v>
      </c>
      <c r="W47" s="16"/>
    </row>
    <row r="48" spans="1:23" x14ac:dyDescent="0.25">
      <c r="A48" s="5">
        <v>47</v>
      </c>
      <c r="B48" s="4" t="s">
        <v>49</v>
      </c>
      <c r="C48" s="5">
        <v>4</v>
      </c>
      <c r="D48" s="5" t="s">
        <v>52</v>
      </c>
      <c r="E48" s="5">
        <v>2</v>
      </c>
      <c r="F48" s="5">
        <v>4</v>
      </c>
      <c r="G48" s="5" t="str">
        <f t="shared" si="0"/>
        <v>MM_B</v>
      </c>
      <c r="H48" s="5" t="s">
        <v>53</v>
      </c>
      <c r="I48" s="1">
        <v>0.423090338332752</v>
      </c>
      <c r="J48" s="3">
        <v>0.61911405650505758</v>
      </c>
      <c r="K48" s="3">
        <v>1.2021750757710823</v>
      </c>
      <c r="L48" s="6">
        <v>1.6816326530612244</v>
      </c>
      <c r="M48" s="6">
        <f t="shared" si="1"/>
        <v>1.2585423147284724</v>
      </c>
      <c r="N48" s="1">
        <v>1</v>
      </c>
      <c r="O48" s="1">
        <v>17</v>
      </c>
      <c r="R48" s="1">
        <v>0</v>
      </c>
      <c r="W48" s="16"/>
    </row>
    <row r="49" spans="1:23" x14ac:dyDescent="0.25">
      <c r="A49" s="5">
        <v>48</v>
      </c>
      <c r="B49" s="4" t="s">
        <v>49</v>
      </c>
      <c r="C49" s="5">
        <v>4</v>
      </c>
      <c r="D49" s="5" t="s">
        <v>54</v>
      </c>
      <c r="E49" s="5">
        <v>2</v>
      </c>
      <c r="F49" s="5">
        <v>6</v>
      </c>
      <c r="G49" s="5" t="str">
        <f t="shared" si="0"/>
        <v>MM_C</v>
      </c>
      <c r="H49" s="5" t="s">
        <v>66</v>
      </c>
      <c r="I49" s="1">
        <v>0.63916986396930586</v>
      </c>
      <c r="J49" s="3">
        <v>0.84321590512731082</v>
      </c>
      <c r="K49" s="3">
        <v>1.6894277054733464</v>
      </c>
      <c r="L49" s="6">
        <v>2.1959183673469389</v>
      </c>
      <c r="M49" s="6">
        <f t="shared" si="1"/>
        <v>1.5567485033776332</v>
      </c>
      <c r="N49" s="1">
        <v>1</v>
      </c>
      <c r="O49" s="1">
        <v>18</v>
      </c>
      <c r="P49" s="1">
        <v>0.3510204081632653</v>
      </c>
      <c r="Q49" s="1">
        <f t="shared" ref="Q49:Q54" si="7">P49/L49</f>
        <v>0.15985130111524162</v>
      </c>
      <c r="R49" s="1">
        <v>1</v>
      </c>
      <c r="S49" s="1">
        <v>26</v>
      </c>
      <c r="T49" s="1">
        <v>32</v>
      </c>
      <c r="U49" s="1">
        <v>5</v>
      </c>
      <c r="V49" s="1">
        <v>5</v>
      </c>
      <c r="W49" s="16">
        <f>V49/U49</f>
        <v>1</v>
      </c>
    </row>
    <row r="50" spans="1:23" x14ac:dyDescent="0.25">
      <c r="A50" s="5">
        <v>49</v>
      </c>
      <c r="B50" s="4" t="s">
        <v>49</v>
      </c>
      <c r="C50" s="5">
        <v>5</v>
      </c>
      <c r="D50" s="5" t="s">
        <v>50</v>
      </c>
      <c r="E50" s="5">
        <v>2</v>
      </c>
      <c r="F50" s="5">
        <v>2</v>
      </c>
      <c r="G50" s="5" t="str">
        <f t="shared" si="0"/>
        <v>MM_A</v>
      </c>
      <c r="H50" s="5" t="s">
        <v>56</v>
      </c>
      <c r="I50" s="1">
        <v>0.22758981513777468</v>
      </c>
      <c r="J50" s="3">
        <v>0.37077084059993026</v>
      </c>
      <c r="K50" s="3">
        <v>0.90176502050276341</v>
      </c>
      <c r="L50" s="6">
        <v>0.83477551020408158</v>
      </c>
      <c r="M50" s="6">
        <f t="shared" si="1"/>
        <v>0.60718569506630693</v>
      </c>
      <c r="N50" s="1">
        <v>1</v>
      </c>
      <c r="O50" s="1">
        <v>19</v>
      </c>
      <c r="P50" s="1">
        <v>0.15518367346938775</v>
      </c>
      <c r="Q50" s="1">
        <f t="shared" si="7"/>
        <v>0.1858986896147076</v>
      </c>
      <c r="R50" s="1">
        <v>1</v>
      </c>
      <c r="S50" s="1">
        <v>34</v>
      </c>
      <c r="T50" s="1">
        <v>40</v>
      </c>
      <c r="U50" s="1">
        <v>3</v>
      </c>
      <c r="V50" s="1">
        <v>3</v>
      </c>
      <c r="W50" s="16">
        <f>V50/U50</f>
        <v>1</v>
      </c>
    </row>
    <row r="51" spans="1:23" x14ac:dyDescent="0.25">
      <c r="A51" s="5">
        <v>50</v>
      </c>
      <c r="B51" s="4" t="s">
        <v>49</v>
      </c>
      <c r="C51" s="5">
        <v>5</v>
      </c>
      <c r="D51" s="5" t="s">
        <v>52</v>
      </c>
      <c r="E51" s="5">
        <v>2</v>
      </c>
      <c r="F51" s="5">
        <v>2</v>
      </c>
      <c r="G51" s="5" t="str">
        <f t="shared" si="0"/>
        <v>MM_B</v>
      </c>
      <c r="H51" s="5" t="s">
        <v>57</v>
      </c>
      <c r="I51" s="1">
        <v>0.23229856993372863</v>
      </c>
      <c r="J51" s="3">
        <v>0.32804325078479246</v>
      </c>
      <c r="K51" s="3">
        <v>0.59226243537172396</v>
      </c>
      <c r="L51" s="6">
        <v>0.80473469387755103</v>
      </c>
      <c r="M51" s="6">
        <f t="shared" si="1"/>
        <v>0.57243612394382237</v>
      </c>
      <c r="N51" s="1">
        <v>1</v>
      </c>
      <c r="O51" s="1">
        <v>20</v>
      </c>
      <c r="P51" s="1">
        <v>0.19657142857142856</v>
      </c>
      <c r="Q51" s="1">
        <f t="shared" si="7"/>
        <v>0.24426861432339217</v>
      </c>
      <c r="R51" s="1">
        <v>0</v>
      </c>
      <c r="W51" s="16"/>
    </row>
    <row r="52" spans="1:23" x14ac:dyDescent="0.25">
      <c r="A52" s="5">
        <v>51</v>
      </c>
      <c r="B52" s="4" t="s">
        <v>49</v>
      </c>
      <c r="C52" s="5">
        <v>5</v>
      </c>
      <c r="D52" s="5" t="s">
        <v>54</v>
      </c>
      <c r="E52" s="5">
        <v>2</v>
      </c>
      <c r="F52" s="5">
        <v>3</v>
      </c>
      <c r="G52" s="5" t="str">
        <f t="shared" si="0"/>
        <v>MM_C</v>
      </c>
      <c r="H52" s="5" t="s">
        <v>55</v>
      </c>
      <c r="I52" s="1">
        <v>0.34600627833972791</v>
      </c>
      <c r="J52" s="3">
        <v>0.51273107778165328</v>
      </c>
      <c r="K52" s="3">
        <v>1.3342841861294348</v>
      </c>
      <c r="L52" s="6">
        <v>1.3444897959183673</v>
      </c>
      <c r="M52" s="6">
        <f t="shared" si="1"/>
        <v>0.99848351757863929</v>
      </c>
      <c r="N52" s="1">
        <v>1</v>
      </c>
      <c r="O52" s="1">
        <v>18</v>
      </c>
      <c r="P52" s="1">
        <v>0.23738775510204083</v>
      </c>
      <c r="Q52" s="1">
        <f t="shared" si="7"/>
        <v>0.17656344869459625</v>
      </c>
      <c r="R52" s="1">
        <v>1</v>
      </c>
      <c r="S52" s="1">
        <v>35</v>
      </c>
      <c r="T52" s="1">
        <v>41</v>
      </c>
      <c r="U52" s="1">
        <v>4</v>
      </c>
      <c r="V52" s="1">
        <v>4</v>
      </c>
      <c r="W52" s="16">
        <f>V52/U52</f>
        <v>1</v>
      </c>
    </row>
    <row r="53" spans="1:23" x14ac:dyDescent="0.25">
      <c r="A53" s="5">
        <v>52</v>
      </c>
      <c r="B53" s="4" t="s">
        <v>49</v>
      </c>
      <c r="C53" s="5">
        <v>6</v>
      </c>
      <c r="D53" s="5" t="s">
        <v>50</v>
      </c>
      <c r="E53" s="5">
        <v>2</v>
      </c>
      <c r="F53" s="5">
        <v>2</v>
      </c>
      <c r="G53" s="5" t="str">
        <f t="shared" si="0"/>
        <v>MM_A</v>
      </c>
      <c r="H53" s="5" t="s">
        <v>56</v>
      </c>
      <c r="I53" s="1">
        <v>0.15441227764213464</v>
      </c>
      <c r="J53" s="3">
        <v>0.22270666201604464</v>
      </c>
      <c r="K53" s="3">
        <v>0.36298805491174896</v>
      </c>
      <c r="L53" s="6">
        <v>0.40832653061224489</v>
      </c>
      <c r="M53" s="6">
        <f t="shared" si="1"/>
        <v>0.25391425297011028</v>
      </c>
      <c r="N53" s="1">
        <v>1</v>
      </c>
      <c r="O53" s="1">
        <v>17</v>
      </c>
      <c r="P53" s="1">
        <v>6.1583673469387756E-2</v>
      </c>
      <c r="Q53" s="1">
        <f t="shared" si="7"/>
        <v>0.15081967213114755</v>
      </c>
      <c r="R53" s="1">
        <v>1</v>
      </c>
      <c r="S53" s="1">
        <v>27</v>
      </c>
      <c r="T53" s="1">
        <v>33</v>
      </c>
      <c r="U53" s="1">
        <v>2</v>
      </c>
      <c r="V53" s="1">
        <v>2</v>
      </c>
      <c r="W53" s="16">
        <f>V53/U53</f>
        <v>1</v>
      </c>
    </row>
    <row r="54" spans="1:23" x14ac:dyDescent="0.25">
      <c r="A54" s="5">
        <v>53</v>
      </c>
      <c r="B54" s="4" t="s">
        <v>49</v>
      </c>
      <c r="C54" s="5">
        <v>6</v>
      </c>
      <c r="D54" s="5" t="s">
        <v>52</v>
      </c>
      <c r="E54" s="5">
        <v>2</v>
      </c>
      <c r="F54" s="5">
        <v>4</v>
      </c>
      <c r="G54" s="5" t="str">
        <f t="shared" si="0"/>
        <v>MM_B</v>
      </c>
      <c r="H54" s="5" t="s">
        <v>53</v>
      </c>
      <c r="I54" s="1">
        <v>0.40024415765608651</v>
      </c>
      <c r="J54" s="3">
        <v>0.50244157656086497</v>
      </c>
      <c r="K54" s="3">
        <v>1.1633089677304331</v>
      </c>
      <c r="L54" s="6">
        <v>1.4706938775510203</v>
      </c>
      <c r="M54" s="6">
        <f t="shared" si="1"/>
        <v>1.0704497198949339</v>
      </c>
      <c r="N54" s="1">
        <v>1</v>
      </c>
      <c r="O54" s="1">
        <v>16</v>
      </c>
      <c r="P54" s="1">
        <v>0.17093877551020409</v>
      </c>
      <c r="Q54" s="1">
        <f t="shared" si="7"/>
        <v>0.11623001776198935</v>
      </c>
      <c r="R54" s="1">
        <v>1</v>
      </c>
      <c r="S54" s="1">
        <v>29</v>
      </c>
      <c r="T54" s="1">
        <v>35</v>
      </c>
      <c r="U54" s="1">
        <v>2</v>
      </c>
      <c r="V54" s="1">
        <v>2</v>
      </c>
      <c r="W54" s="16">
        <f>V54/U54</f>
        <v>1</v>
      </c>
    </row>
    <row r="55" spans="1:23" x14ac:dyDescent="0.25">
      <c r="A55" s="5">
        <v>54</v>
      </c>
      <c r="B55" s="4" t="s">
        <v>49</v>
      </c>
      <c r="C55" s="5">
        <v>6</v>
      </c>
      <c r="D55" s="5" t="s">
        <v>54</v>
      </c>
      <c r="E55" s="5">
        <v>2</v>
      </c>
      <c r="F55" s="5">
        <v>4</v>
      </c>
      <c r="G55" s="5" t="str">
        <f t="shared" si="0"/>
        <v>MM_C</v>
      </c>
      <c r="H55" s="5" t="s">
        <v>60</v>
      </c>
      <c r="I55" s="1">
        <v>0.43669340774328569</v>
      </c>
      <c r="J55" s="3">
        <v>0.60952214858737352</v>
      </c>
      <c r="K55" s="3">
        <v>1.5113210911035835</v>
      </c>
      <c r="L55" s="6">
        <v>1.5928163265306123</v>
      </c>
      <c r="M55" s="6">
        <f t="shared" si="1"/>
        <v>1.1561229187873265</v>
      </c>
      <c r="N55" s="1">
        <v>0</v>
      </c>
      <c r="W55" s="16"/>
    </row>
    <row r="56" spans="1:23" x14ac:dyDescent="0.25">
      <c r="A56" s="5">
        <v>55</v>
      </c>
      <c r="B56" s="4" t="s">
        <v>49</v>
      </c>
      <c r="C56" s="5">
        <v>7</v>
      </c>
      <c r="D56" s="5" t="s">
        <v>50</v>
      </c>
      <c r="E56" s="5">
        <v>2</v>
      </c>
      <c r="F56" s="5">
        <v>1</v>
      </c>
      <c r="G56" s="5" t="str">
        <f t="shared" si="0"/>
        <v>MM_A</v>
      </c>
      <c r="H56" s="5" t="s">
        <v>51</v>
      </c>
      <c r="I56" s="1">
        <v>5.8493198465294736E-2</v>
      </c>
      <c r="J56" s="3">
        <v>0.19602371817230554</v>
      </c>
      <c r="K56" s="3">
        <v>0.31592084150472455</v>
      </c>
      <c r="L56" s="6">
        <v>0.42448979591836733</v>
      </c>
      <c r="M56" s="6">
        <f t="shared" si="1"/>
        <v>0.36599659745307261</v>
      </c>
      <c r="N56" s="1">
        <v>1</v>
      </c>
      <c r="O56" s="1">
        <v>20</v>
      </c>
      <c r="P56" s="1">
        <v>0.12911020408163265</v>
      </c>
      <c r="Q56" s="1">
        <f t="shared" ref="Q56:Q61" si="8">P56/L56</f>
        <v>0.30415384615384616</v>
      </c>
      <c r="R56" s="1">
        <v>1</v>
      </c>
      <c r="S56" s="1">
        <v>34</v>
      </c>
      <c r="T56" s="1">
        <v>40</v>
      </c>
      <c r="U56" s="1">
        <v>2</v>
      </c>
      <c r="V56" s="1">
        <v>2</v>
      </c>
      <c r="W56" s="16">
        <f t="shared" ref="W56:W61" si="9">V56/U56</f>
        <v>1</v>
      </c>
    </row>
    <row r="57" spans="1:23" x14ac:dyDescent="0.25">
      <c r="A57" s="5">
        <v>56</v>
      </c>
      <c r="B57" s="4" t="s">
        <v>49</v>
      </c>
      <c r="C57" s="5">
        <v>7</v>
      </c>
      <c r="D57" s="5" t="s">
        <v>52</v>
      </c>
      <c r="E57" s="5">
        <v>2</v>
      </c>
      <c r="F57" s="5">
        <v>2</v>
      </c>
      <c r="G57" s="5" t="str">
        <f t="shared" si="0"/>
        <v>MM_B</v>
      </c>
      <c r="H57" s="5" t="s">
        <v>57</v>
      </c>
      <c r="I57" s="1">
        <v>0.17840948726892222</v>
      </c>
      <c r="J57" s="3">
        <v>0.30048831531217302</v>
      </c>
      <c r="K57" s="3">
        <v>0.76127651987876632</v>
      </c>
      <c r="L57" s="6">
        <v>0.97975510204081628</v>
      </c>
      <c r="M57" s="6">
        <f t="shared" si="1"/>
        <v>0.80134561477189403</v>
      </c>
      <c r="N57" s="1">
        <v>1</v>
      </c>
      <c r="O57" s="1">
        <v>21</v>
      </c>
      <c r="P57" s="1">
        <v>0.41730612244897958</v>
      </c>
      <c r="Q57" s="1">
        <f t="shared" si="8"/>
        <v>0.42592901183136145</v>
      </c>
      <c r="R57" s="1">
        <v>1</v>
      </c>
      <c r="S57" s="1">
        <v>19</v>
      </c>
      <c r="T57" s="1">
        <v>25</v>
      </c>
      <c r="U57" s="1">
        <v>16</v>
      </c>
      <c r="V57" s="1">
        <v>14</v>
      </c>
      <c r="W57" s="16">
        <f t="shared" si="9"/>
        <v>0.875</v>
      </c>
    </row>
    <row r="58" spans="1:23" x14ac:dyDescent="0.25">
      <c r="A58" s="5">
        <v>57</v>
      </c>
      <c r="B58" s="4" t="s">
        <v>49</v>
      </c>
      <c r="C58" s="5">
        <v>7</v>
      </c>
      <c r="D58" s="5" t="s">
        <v>54</v>
      </c>
      <c r="E58" s="5">
        <v>2</v>
      </c>
      <c r="F58" s="5">
        <v>1</v>
      </c>
      <c r="G58" s="5" t="str">
        <f t="shared" si="0"/>
        <v>MM_C</v>
      </c>
      <c r="H58" s="5" t="s">
        <v>58</v>
      </c>
      <c r="I58" s="1">
        <v>0.10849319846529473</v>
      </c>
      <c r="J58" s="3">
        <v>0.22410184862225321</v>
      </c>
      <c r="K58" s="3">
        <v>0.96273845605277231</v>
      </c>
      <c r="L58" s="6">
        <v>1.2161632653061225</v>
      </c>
      <c r="M58" s="6">
        <f t="shared" si="1"/>
        <v>1.1076700668408277</v>
      </c>
      <c r="N58" s="1">
        <v>1</v>
      </c>
      <c r="O58" s="1">
        <v>18</v>
      </c>
      <c r="P58" s="1">
        <v>0.27673469387755101</v>
      </c>
      <c r="Q58" s="1">
        <f t="shared" si="8"/>
        <v>0.22754732178815945</v>
      </c>
      <c r="R58" s="1">
        <v>1</v>
      </c>
      <c r="S58" s="1">
        <v>22</v>
      </c>
      <c r="T58" s="1">
        <v>27</v>
      </c>
      <c r="U58" s="1">
        <v>10</v>
      </c>
      <c r="V58" s="1">
        <v>9</v>
      </c>
      <c r="W58" s="16">
        <f t="shared" si="9"/>
        <v>0.9</v>
      </c>
    </row>
    <row r="59" spans="1:23" x14ac:dyDescent="0.25">
      <c r="A59" s="5">
        <v>58</v>
      </c>
      <c r="B59" s="4" t="s">
        <v>49</v>
      </c>
      <c r="C59" s="5">
        <v>8</v>
      </c>
      <c r="D59" s="5" t="s">
        <v>50</v>
      </c>
      <c r="E59" s="5">
        <v>2</v>
      </c>
      <c r="F59" s="5">
        <v>1</v>
      </c>
      <c r="G59" s="5" t="str">
        <f t="shared" si="0"/>
        <v>MM_A</v>
      </c>
      <c r="H59" s="5" t="s">
        <v>51</v>
      </c>
      <c r="I59" s="1">
        <v>6.4771538193233349E-2</v>
      </c>
      <c r="J59" s="3">
        <v>0.18922218346703873</v>
      </c>
      <c r="K59" s="3">
        <v>0.4596184703155643</v>
      </c>
      <c r="L59" s="6">
        <v>0.41959183673469386</v>
      </c>
      <c r="M59" s="6">
        <f t="shared" si="1"/>
        <v>0.35482029854146052</v>
      </c>
      <c r="N59" s="1">
        <v>1</v>
      </c>
      <c r="O59" s="1">
        <v>17</v>
      </c>
      <c r="P59" s="1">
        <v>0.14308571428571429</v>
      </c>
      <c r="Q59" s="1">
        <f t="shared" si="8"/>
        <v>0.34101167315175102</v>
      </c>
      <c r="R59" s="1">
        <v>1</v>
      </c>
      <c r="S59" s="1">
        <v>27</v>
      </c>
      <c r="T59" s="1">
        <v>34</v>
      </c>
      <c r="U59" s="1">
        <v>13</v>
      </c>
      <c r="V59" s="1">
        <v>9</v>
      </c>
      <c r="W59" s="16">
        <f t="shared" si="9"/>
        <v>0.69230769230769229</v>
      </c>
    </row>
    <row r="60" spans="1:23" x14ac:dyDescent="0.25">
      <c r="A60" s="5">
        <v>59</v>
      </c>
      <c r="B60" s="4" t="s">
        <v>49</v>
      </c>
      <c r="C60" s="5">
        <v>8</v>
      </c>
      <c r="D60" s="5" t="s">
        <v>52</v>
      </c>
      <c r="E60" s="5">
        <v>2</v>
      </c>
      <c r="F60" s="5">
        <v>1</v>
      </c>
      <c r="G60" s="5" t="str">
        <f t="shared" si="0"/>
        <v>MM_B</v>
      </c>
      <c r="H60" s="5" t="s">
        <v>67</v>
      </c>
      <c r="I60" s="1">
        <v>6.7963027554935468E-2</v>
      </c>
      <c r="J60" s="3">
        <v>0.15912103243808859</v>
      </c>
      <c r="K60" s="3">
        <v>0.4704938491709752</v>
      </c>
      <c r="L60" s="6">
        <v>0.58857142857142852</v>
      </c>
      <c r="M60" s="6">
        <f t="shared" si="1"/>
        <v>0.52060840101649308</v>
      </c>
      <c r="N60" s="1">
        <v>1</v>
      </c>
      <c r="O60" s="1">
        <v>20</v>
      </c>
      <c r="P60" s="1">
        <v>0.11026938775510205</v>
      </c>
      <c r="Q60" s="1">
        <f t="shared" si="8"/>
        <v>0.18735090152565884</v>
      </c>
      <c r="R60" s="1">
        <v>1</v>
      </c>
      <c r="S60" s="1">
        <v>29</v>
      </c>
      <c r="T60" s="1">
        <v>34</v>
      </c>
      <c r="U60" s="1">
        <v>15</v>
      </c>
      <c r="V60" s="1">
        <v>10</v>
      </c>
      <c r="W60" s="16">
        <f t="shared" si="9"/>
        <v>0.66666666666666663</v>
      </c>
    </row>
    <row r="61" spans="1:23" x14ac:dyDescent="0.25">
      <c r="A61" s="5">
        <v>60</v>
      </c>
      <c r="B61" s="4" t="s">
        <v>49</v>
      </c>
      <c r="C61" s="5">
        <v>8</v>
      </c>
      <c r="D61" s="5" t="s">
        <v>54</v>
      </c>
      <c r="E61" s="5">
        <v>2</v>
      </c>
      <c r="F61" s="5">
        <v>2</v>
      </c>
      <c r="G61" s="5" t="str">
        <f t="shared" si="0"/>
        <v>MM_C</v>
      </c>
      <c r="H61" s="5" t="s">
        <v>63</v>
      </c>
      <c r="I61" s="1">
        <v>0.14925008719916288</v>
      </c>
      <c r="J61" s="3">
        <v>0.15395884199511684</v>
      </c>
      <c r="K61" s="3">
        <v>1.1274737029773578</v>
      </c>
      <c r="L61" s="6">
        <v>1.4269387755102041</v>
      </c>
      <c r="M61" s="6">
        <f t="shared" si="1"/>
        <v>1.2776886883110412</v>
      </c>
      <c r="N61" s="1">
        <v>1</v>
      </c>
      <c r="O61" s="1">
        <v>21</v>
      </c>
      <c r="P61" s="1">
        <v>0.38448979591836735</v>
      </c>
      <c r="Q61" s="1">
        <f t="shared" si="8"/>
        <v>0.2694508009153318</v>
      </c>
      <c r="R61" s="1">
        <v>1</v>
      </c>
      <c r="S61" s="1">
        <v>23</v>
      </c>
      <c r="T61" s="1">
        <v>30</v>
      </c>
      <c r="U61" s="1">
        <v>11</v>
      </c>
      <c r="V61" s="1">
        <v>10</v>
      </c>
      <c r="W61" s="16">
        <f t="shared" si="9"/>
        <v>0.90909090909090906</v>
      </c>
    </row>
    <row r="62" spans="1:23" x14ac:dyDescent="0.25">
      <c r="A62" s="5">
        <v>61</v>
      </c>
      <c r="B62" s="4" t="s">
        <v>49</v>
      </c>
      <c r="C62" s="5">
        <v>9</v>
      </c>
      <c r="D62" s="5" t="s">
        <v>50</v>
      </c>
      <c r="E62" s="5">
        <v>2</v>
      </c>
      <c r="G62" s="5" t="str">
        <f t="shared" si="0"/>
        <v>MM_A</v>
      </c>
      <c r="J62" s="3"/>
      <c r="K62" s="3"/>
      <c r="L62" s="3"/>
      <c r="M62" s="3"/>
      <c r="W62" s="16"/>
    </row>
    <row r="63" spans="1:23" x14ac:dyDescent="0.25">
      <c r="A63" s="5">
        <v>62</v>
      </c>
      <c r="B63" s="4" t="s">
        <v>49</v>
      </c>
      <c r="C63" s="5">
        <v>9</v>
      </c>
      <c r="D63" s="5" t="s">
        <v>52</v>
      </c>
      <c r="E63" s="5">
        <v>2</v>
      </c>
      <c r="G63" s="5" t="str">
        <f t="shared" si="0"/>
        <v>MM_B</v>
      </c>
      <c r="J63" s="3"/>
      <c r="K63" s="3"/>
      <c r="L63" s="3"/>
      <c r="M63" s="3"/>
      <c r="W63" s="16"/>
    </row>
    <row r="64" spans="1:23" x14ac:dyDescent="0.25">
      <c r="A64" s="5">
        <v>63</v>
      </c>
      <c r="B64" s="4" t="s">
        <v>49</v>
      </c>
      <c r="C64" s="5">
        <v>9</v>
      </c>
      <c r="D64" s="5" t="s">
        <v>54</v>
      </c>
      <c r="E64" s="5">
        <v>2</v>
      </c>
      <c r="G64" s="5" t="str">
        <f t="shared" si="0"/>
        <v>MM_C</v>
      </c>
      <c r="J64" s="3"/>
      <c r="K64" s="3"/>
      <c r="L64" s="3"/>
      <c r="M64" s="3"/>
      <c r="W64" s="16"/>
    </row>
    <row r="65" spans="1:23" x14ac:dyDescent="0.25">
      <c r="A65" s="5">
        <v>64</v>
      </c>
      <c r="B65" s="4" t="s">
        <v>49</v>
      </c>
      <c r="C65" s="5">
        <v>10</v>
      </c>
      <c r="D65" s="5" t="s">
        <v>50</v>
      </c>
      <c r="E65" s="5">
        <v>2</v>
      </c>
      <c r="G65" s="5" t="str">
        <f t="shared" ref="G65:G128" si="10">CONCATENATE(B65,"_",D65)</f>
        <v>MM_A</v>
      </c>
      <c r="J65" s="3"/>
      <c r="K65" s="3"/>
      <c r="L65" s="3"/>
      <c r="M65" s="3"/>
      <c r="W65" s="16"/>
    </row>
    <row r="66" spans="1:23" x14ac:dyDescent="0.25">
      <c r="A66" s="5">
        <v>65</v>
      </c>
      <c r="B66" s="4" t="s">
        <v>49</v>
      </c>
      <c r="C66" s="5">
        <v>10</v>
      </c>
      <c r="D66" s="5" t="s">
        <v>52</v>
      </c>
      <c r="E66" s="5">
        <v>2</v>
      </c>
      <c r="G66" s="5" t="str">
        <f t="shared" si="10"/>
        <v>MM_B</v>
      </c>
      <c r="J66" s="3"/>
      <c r="K66" s="3"/>
      <c r="L66" s="3"/>
      <c r="M66" s="3"/>
      <c r="W66" s="16"/>
    </row>
    <row r="67" spans="1:23" x14ac:dyDescent="0.25">
      <c r="A67" s="5">
        <v>66</v>
      </c>
      <c r="B67" s="4" t="s">
        <v>49</v>
      </c>
      <c r="C67" s="5">
        <v>10</v>
      </c>
      <c r="D67" s="5" t="s">
        <v>54</v>
      </c>
      <c r="E67" s="5">
        <v>2</v>
      </c>
      <c r="G67" s="5" t="str">
        <f t="shared" si="10"/>
        <v>MM_C</v>
      </c>
      <c r="J67" s="3"/>
      <c r="K67" s="3"/>
      <c r="L67" s="3"/>
      <c r="M67" s="3"/>
      <c r="W67" s="16"/>
    </row>
    <row r="68" spans="1:23" x14ac:dyDescent="0.25">
      <c r="A68" s="5">
        <v>67</v>
      </c>
      <c r="B68" s="4" t="s">
        <v>49</v>
      </c>
      <c r="C68" s="5">
        <v>11</v>
      </c>
      <c r="D68" s="5" t="s">
        <v>50</v>
      </c>
      <c r="E68" s="5">
        <v>2</v>
      </c>
      <c r="G68" s="5" t="str">
        <f t="shared" si="10"/>
        <v>MM_A</v>
      </c>
      <c r="J68" s="3"/>
      <c r="K68" s="3"/>
      <c r="L68" s="3"/>
      <c r="M68" s="3"/>
      <c r="W68" s="16"/>
    </row>
    <row r="69" spans="1:23" x14ac:dyDescent="0.25">
      <c r="A69" s="5">
        <v>68</v>
      </c>
      <c r="B69" s="4" t="s">
        <v>49</v>
      </c>
      <c r="C69" s="5">
        <v>11</v>
      </c>
      <c r="D69" s="5" t="s">
        <v>52</v>
      </c>
      <c r="E69" s="5">
        <v>2</v>
      </c>
      <c r="G69" s="5" t="str">
        <f t="shared" si="10"/>
        <v>MM_B</v>
      </c>
      <c r="J69" s="3"/>
      <c r="K69" s="3"/>
      <c r="L69" s="3"/>
      <c r="M69" s="3"/>
      <c r="W69" s="16"/>
    </row>
    <row r="70" spans="1:23" x14ac:dyDescent="0.25">
      <c r="A70" s="5">
        <v>69</v>
      </c>
      <c r="B70" s="4" t="s">
        <v>49</v>
      </c>
      <c r="C70" s="5">
        <v>11</v>
      </c>
      <c r="D70" s="5" t="s">
        <v>54</v>
      </c>
      <c r="E70" s="5">
        <v>2</v>
      </c>
      <c r="G70" s="5" t="str">
        <f t="shared" si="10"/>
        <v>MM_C</v>
      </c>
      <c r="J70" s="3"/>
      <c r="K70" s="3"/>
      <c r="L70" s="3"/>
      <c r="M70" s="3"/>
      <c r="W70" s="16"/>
    </row>
    <row r="71" spans="1:23" x14ac:dyDescent="0.25">
      <c r="A71" s="5">
        <v>70</v>
      </c>
      <c r="B71" s="4" t="s">
        <v>49</v>
      </c>
      <c r="C71" s="5">
        <v>12</v>
      </c>
      <c r="D71" s="5" t="s">
        <v>50</v>
      </c>
      <c r="E71" s="5">
        <v>2</v>
      </c>
      <c r="G71" s="5" t="str">
        <f t="shared" si="10"/>
        <v>MM_A</v>
      </c>
      <c r="J71" s="3"/>
      <c r="K71" s="3"/>
      <c r="L71" s="3"/>
      <c r="M71" s="3"/>
      <c r="W71" s="16"/>
    </row>
    <row r="72" spans="1:23" x14ac:dyDescent="0.25">
      <c r="A72" s="5">
        <v>71</v>
      </c>
      <c r="B72" s="4" t="s">
        <v>49</v>
      </c>
      <c r="C72" s="5">
        <v>12</v>
      </c>
      <c r="D72" s="5" t="s">
        <v>52</v>
      </c>
      <c r="E72" s="5">
        <v>2</v>
      </c>
      <c r="G72" s="5" t="str">
        <f t="shared" si="10"/>
        <v>MM_B</v>
      </c>
      <c r="J72" s="3"/>
      <c r="K72" s="3"/>
      <c r="L72" s="3"/>
      <c r="M72" s="3"/>
      <c r="W72" s="16"/>
    </row>
    <row r="73" spans="1:23" s="10" customFormat="1" x14ac:dyDescent="0.25">
      <c r="A73" s="17">
        <v>72</v>
      </c>
      <c r="B73" s="23" t="s">
        <v>49</v>
      </c>
      <c r="C73" s="17">
        <v>12</v>
      </c>
      <c r="D73" s="17" t="s">
        <v>54</v>
      </c>
      <c r="E73" s="17">
        <v>2</v>
      </c>
      <c r="F73" s="17"/>
      <c r="G73" s="17" t="str">
        <f t="shared" si="10"/>
        <v>MM_C</v>
      </c>
      <c r="H73" s="17"/>
      <c r="I73" s="9"/>
      <c r="J73" s="8"/>
      <c r="K73" s="8"/>
      <c r="L73" s="8"/>
      <c r="M73" s="8"/>
      <c r="N73" s="9"/>
      <c r="O73" s="9"/>
      <c r="P73" s="9"/>
      <c r="Q73" s="9"/>
      <c r="R73" s="9"/>
      <c r="S73" s="9"/>
      <c r="T73" s="9"/>
      <c r="U73" s="9"/>
      <c r="V73" s="9"/>
      <c r="W73" s="18"/>
    </row>
    <row r="74" spans="1:23" s="15" customFormat="1" x14ac:dyDescent="0.25">
      <c r="A74" s="19">
        <v>73</v>
      </c>
      <c r="B74" s="19" t="s">
        <v>68</v>
      </c>
      <c r="C74" s="20">
        <v>1</v>
      </c>
      <c r="D74" s="20" t="s">
        <v>50</v>
      </c>
      <c r="E74" s="20">
        <v>1</v>
      </c>
      <c r="F74" s="20">
        <v>1</v>
      </c>
      <c r="G74" s="20" t="str">
        <f t="shared" si="10"/>
        <v>BGV007927_A</v>
      </c>
      <c r="H74" s="20" t="s">
        <v>51</v>
      </c>
      <c r="I74" s="15">
        <f>12470/104800</f>
        <v>0.11898854961832062</v>
      </c>
      <c r="J74" s="15">
        <f>12470/104800</f>
        <v>0.11898854961832062</v>
      </c>
      <c r="K74" s="15">
        <f>11770/57720</f>
        <v>0.2039154539154539</v>
      </c>
      <c r="L74" s="15">
        <f>11730/56610</f>
        <v>0.2072072072072072</v>
      </c>
      <c r="M74" s="15">
        <f t="shared" ref="M74:M103" si="11">L74-I74</f>
        <v>8.8218657588886584E-2</v>
      </c>
      <c r="N74" s="7">
        <v>0</v>
      </c>
      <c r="O74" s="7"/>
      <c r="P74" s="7"/>
      <c r="Q74" s="7"/>
      <c r="R74" s="7"/>
      <c r="S74" s="7"/>
      <c r="T74" s="7"/>
      <c r="U74" s="7"/>
      <c r="V74" s="7"/>
      <c r="W74" s="22"/>
    </row>
    <row r="75" spans="1:23" x14ac:dyDescent="0.25">
      <c r="A75" s="4">
        <v>74</v>
      </c>
      <c r="B75" s="4" t="s">
        <v>68</v>
      </c>
      <c r="C75" s="5">
        <v>1</v>
      </c>
      <c r="D75" s="5" t="s">
        <v>52</v>
      </c>
      <c r="E75" s="5">
        <v>1</v>
      </c>
      <c r="F75" s="5">
        <v>3</v>
      </c>
      <c r="G75" s="5" t="str">
        <f t="shared" si="10"/>
        <v>BGV007927_B</v>
      </c>
      <c r="H75" s="5" t="s">
        <v>59</v>
      </c>
      <c r="I75" s="2">
        <f>30100/104800</f>
        <v>0.28721374045801529</v>
      </c>
      <c r="J75" s="2">
        <f>18080/62750</f>
        <v>0.28812749003984062</v>
      </c>
      <c r="K75" s="2">
        <f>46870/57720</f>
        <v>0.81202356202356207</v>
      </c>
      <c r="L75" s="2">
        <f>67100/56610</f>
        <v>1.1853029500088323</v>
      </c>
      <c r="M75" s="2">
        <f t="shared" si="11"/>
        <v>0.89808920955081706</v>
      </c>
      <c r="N75" s="1">
        <v>0</v>
      </c>
      <c r="W75" s="16"/>
    </row>
    <row r="76" spans="1:23" x14ac:dyDescent="0.25">
      <c r="A76" s="4">
        <v>75</v>
      </c>
      <c r="B76" s="4" t="s">
        <v>68</v>
      </c>
      <c r="C76" s="5">
        <v>1</v>
      </c>
      <c r="D76" s="5" t="s">
        <v>54</v>
      </c>
      <c r="E76" s="5">
        <v>1</v>
      </c>
      <c r="F76" s="5">
        <v>3</v>
      </c>
      <c r="G76" s="5" t="str">
        <f t="shared" si="10"/>
        <v>BGV007927_C</v>
      </c>
      <c r="H76" s="5" t="s">
        <v>55</v>
      </c>
      <c r="I76" s="2">
        <f>19060/62750</f>
        <v>0.30374501992031872</v>
      </c>
      <c r="J76" s="2">
        <f>33470/104800</f>
        <v>0.31937022900763357</v>
      </c>
      <c r="K76" s="2">
        <f>53190/57720</f>
        <v>0.9215176715176715</v>
      </c>
      <c r="L76" s="2">
        <f>71320/56610</f>
        <v>1.2598480833774952</v>
      </c>
      <c r="M76" s="2">
        <f t="shared" si="11"/>
        <v>0.95610306345717655</v>
      </c>
      <c r="N76" s="1">
        <v>1</v>
      </c>
      <c r="O76" s="1">
        <v>20</v>
      </c>
      <c r="P76" s="2">
        <f>26580/57730</f>
        <v>0.4604191927940412</v>
      </c>
      <c r="Q76" s="1">
        <f>P76/L76</f>
        <v>0.36545612035993652</v>
      </c>
      <c r="R76" s="1">
        <v>0</v>
      </c>
      <c r="W76" s="16"/>
    </row>
    <row r="77" spans="1:23" x14ac:dyDescent="0.25">
      <c r="A77" s="4">
        <v>76</v>
      </c>
      <c r="B77" s="4" t="s">
        <v>68</v>
      </c>
      <c r="C77" s="5">
        <v>2</v>
      </c>
      <c r="D77" s="5" t="s">
        <v>50</v>
      </c>
      <c r="E77" s="5">
        <v>1</v>
      </c>
      <c r="F77" s="5">
        <v>1</v>
      </c>
      <c r="G77" s="5" t="str">
        <f t="shared" si="10"/>
        <v>BGV007927_A</v>
      </c>
      <c r="H77" s="5" t="s">
        <v>51</v>
      </c>
      <c r="I77" s="2">
        <f>5935/57720</f>
        <v>0.10282397782397783</v>
      </c>
      <c r="J77" s="2">
        <f>17000/104800</f>
        <v>0.16221374045801526</v>
      </c>
      <c r="K77" s="2">
        <f>11020/62750</f>
        <v>0.17561752988047807</v>
      </c>
      <c r="L77" s="2">
        <f>11290/56610</f>
        <v>0.19943472884649355</v>
      </c>
      <c r="M77" s="2">
        <f t="shared" si="11"/>
        <v>9.661075102251572E-2</v>
      </c>
      <c r="N77" s="1">
        <v>0</v>
      </c>
      <c r="W77" s="16"/>
    </row>
    <row r="78" spans="1:23" x14ac:dyDescent="0.25">
      <c r="A78" s="4">
        <v>77</v>
      </c>
      <c r="B78" s="4" t="s">
        <v>68</v>
      </c>
      <c r="C78" s="5">
        <v>2</v>
      </c>
      <c r="D78" s="5" t="s">
        <v>52</v>
      </c>
      <c r="E78" s="5">
        <v>1</v>
      </c>
      <c r="F78" s="5">
        <v>1</v>
      </c>
      <c r="G78" s="5" t="str">
        <f t="shared" si="10"/>
        <v>BGV007927_B</v>
      </c>
      <c r="H78" s="5" t="s">
        <v>67</v>
      </c>
      <c r="I78" s="2">
        <f>8686/104800</f>
        <v>8.2881679389312971E-2</v>
      </c>
      <c r="J78" s="2">
        <f>7056/62750</f>
        <v>0.11244621513944224</v>
      </c>
      <c r="K78" s="2">
        <f>16250/57720</f>
        <v>0.28153153153153154</v>
      </c>
      <c r="L78" s="2">
        <f>22180/56610</f>
        <v>0.39180356827415652</v>
      </c>
      <c r="M78" s="2">
        <f t="shared" si="11"/>
        <v>0.30892188888484357</v>
      </c>
      <c r="N78" s="1">
        <v>0</v>
      </c>
      <c r="W78" s="16"/>
    </row>
    <row r="79" spans="1:23" x14ac:dyDescent="0.25">
      <c r="A79" s="4">
        <v>78</v>
      </c>
      <c r="B79" s="4" t="s">
        <v>68</v>
      </c>
      <c r="C79" s="5">
        <v>2</v>
      </c>
      <c r="D79" s="5" t="s">
        <v>54</v>
      </c>
      <c r="E79" s="5">
        <v>1</v>
      </c>
      <c r="F79" s="5">
        <v>1</v>
      </c>
      <c r="G79" s="5" t="str">
        <f t="shared" si="10"/>
        <v>BGV007927_C</v>
      </c>
      <c r="H79" s="5" t="s">
        <v>58</v>
      </c>
      <c r="I79" s="2">
        <f>3987/57720</f>
        <v>6.9074844074844072E-2</v>
      </c>
      <c r="J79" s="2">
        <f>4923/56610</f>
        <v>8.6963434022257549E-2</v>
      </c>
      <c r="K79" s="2">
        <f>12780/62750</f>
        <v>0.20366533864541833</v>
      </c>
      <c r="L79" s="2">
        <f>35780/104800</f>
        <v>0.34141221374045799</v>
      </c>
      <c r="M79" s="2">
        <f t="shared" si="11"/>
        <v>0.27233736966561395</v>
      </c>
      <c r="N79" s="1">
        <v>1</v>
      </c>
      <c r="O79" s="1">
        <v>19</v>
      </c>
      <c r="P79" s="2">
        <f>17660/57730</f>
        <v>0.30590680755239907</v>
      </c>
      <c r="Q79" s="1">
        <f>P79/L79</f>
        <v>0.89600428819148759</v>
      </c>
      <c r="R79" s="1">
        <v>1</v>
      </c>
      <c r="S79" s="1">
        <v>28</v>
      </c>
      <c r="T79" s="1">
        <v>33</v>
      </c>
      <c r="U79" s="1">
        <v>3</v>
      </c>
      <c r="V79" s="1">
        <v>3</v>
      </c>
      <c r="W79" s="16">
        <f>V79/U79</f>
        <v>1</v>
      </c>
    </row>
    <row r="80" spans="1:23" x14ac:dyDescent="0.25">
      <c r="A80" s="4">
        <v>79</v>
      </c>
      <c r="B80" s="4" t="s">
        <v>68</v>
      </c>
      <c r="C80" s="5">
        <v>3</v>
      </c>
      <c r="D80" s="5" t="s">
        <v>50</v>
      </c>
      <c r="E80" s="5">
        <v>1</v>
      </c>
      <c r="F80" s="5">
        <v>1</v>
      </c>
      <c r="G80" s="5" t="str">
        <f t="shared" si="10"/>
        <v>BGV007927_A</v>
      </c>
      <c r="H80" s="5" t="s">
        <v>51</v>
      </c>
      <c r="I80" s="2">
        <f>4710/62750</f>
        <v>7.5059760956175295E-2</v>
      </c>
      <c r="J80" s="2">
        <f>14970/104800</f>
        <v>0.14284351145038168</v>
      </c>
      <c r="K80" s="2">
        <f>11260/57720</f>
        <v>0.19507969507969508</v>
      </c>
      <c r="L80" s="2">
        <f>12060/56610</f>
        <v>0.21303656597774245</v>
      </c>
      <c r="M80" s="2">
        <f t="shared" si="11"/>
        <v>0.13797680502156717</v>
      </c>
      <c r="N80" s="1">
        <v>0</v>
      </c>
      <c r="W80" s="16"/>
    </row>
    <row r="81" spans="1:23" x14ac:dyDescent="0.25">
      <c r="A81" s="4">
        <v>80</v>
      </c>
      <c r="B81" s="4" t="s">
        <v>68</v>
      </c>
      <c r="C81" s="5">
        <v>3</v>
      </c>
      <c r="D81" s="5" t="s">
        <v>52</v>
      </c>
      <c r="E81" s="5">
        <v>1</v>
      </c>
      <c r="F81" s="5">
        <v>1</v>
      </c>
      <c r="G81" s="5" t="str">
        <f t="shared" si="10"/>
        <v>BGV007927_B</v>
      </c>
      <c r="H81" s="5" t="s">
        <v>67</v>
      </c>
      <c r="I81" s="2">
        <f>8490/104800</f>
        <v>8.1011450381679395E-2</v>
      </c>
      <c r="J81" s="2">
        <f>9587/62750</f>
        <v>0.15278087649402392</v>
      </c>
      <c r="K81" s="2">
        <f>12120/57720</f>
        <v>0.20997920997920999</v>
      </c>
      <c r="L81" s="2">
        <f>13160/56610</f>
        <v>0.23246776187952659</v>
      </c>
      <c r="M81" s="2">
        <f t="shared" si="11"/>
        <v>0.15145631149784719</v>
      </c>
      <c r="N81" s="1">
        <v>0</v>
      </c>
      <c r="O81" s="1">
        <v>19</v>
      </c>
      <c r="P81" s="2">
        <f>13030/57730</f>
        <v>0.22570587216351984</v>
      </c>
      <c r="Q81" s="1">
        <f>P81/L81</f>
        <v>0.97091257015021715</v>
      </c>
      <c r="W81" s="16"/>
    </row>
    <row r="82" spans="1:23" x14ac:dyDescent="0.25">
      <c r="A82" s="4">
        <v>81</v>
      </c>
      <c r="B82" s="4" t="s">
        <v>68</v>
      </c>
      <c r="C82" s="5">
        <v>3</v>
      </c>
      <c r="D82" s="5" t="s">
        <v>54</v>
      </c>
      <c r="E82" s="5">
        <v>1</v>
      </c>
      <c r="F82" s="5">
        <v>3</v>
      </c>
      <c r="G82" s="5" t="str">
        <f t="shared" si="10"/>
        <v>BGV007927_C</v>
      </c>
      <c r="H82" s="5" t="s">
        <v>55</v>
      </c>
      <c r="I82" s="2">
        <f>18920/62750</f>
        <v>0.30151394422310757</v>
      </c>
      <c r="J82" s="2">
        <f>31950/104800</f>
        <v>0.30486641221374045</v>
      </c>
      <c r="K82" s="2">
        <f>50680/57720</f>
        <v>0.87803187803187799</v>
      </c>
      <c r="L82" s="2">
        <f>61690/56610</f>
        <v>1.0897367956191486</v>
      </c>
      <c r="M82" s="2">
        <f t="shared" si="11"/>
        <v>0.78822285139604098</v>
      </c>
      <c r="N82" s="1">
        <v>0</v>
      </c>
      <c r="O82" s="1">
        <v>20</v>
      </c>
      <c r="P82" s="2">
        <f>27490/57730</f>
        <v>0.47618222761129397</v>
      </c>
      <c r="Q82" s="1">
        <f>P82/L82</f>
        <v>0.4369699449679908</v>
      </c>
      <c r="W82" s="16"/>
    </row>
    <row r="83" spans="1:23" x14ac:dyDescent="0.25">
      <c r="A83" s="4">
        <v>82</v>
      </c>
      <c r="B83" s="4" t="s">
        <v>68</v>
      </c>
      <c r="C83" s="5">
        <v>4</v>
      </c>
      <c r="D83" s="5" t="s">
        <v>50</v>
      </c>
      <c r="E83" s="5">
        <v>1</v>
      </c>
      <c r="F83" s="5">
        <v>1</v>
      </c>
      <c r="G83" s="5" t="str">
        <f t="shared" si="10"/>
        <v>BGV007927_A</v>
      </c>
      <c r="H83" s="5" t="s">
        <v>51</v>
      </c>
      <c r="I83" s="2">
        <f>3738/62750</f>
        <v>5.9569721115537849E-2</v>
      </c>
      <c r="J83" s="2">
        <f>7470/104800</f>
        <v>7.1278625954198468E-2</v>
      </c>
      <c r="K83" s="2">
        <f>40370/57720</f>
        <v>0.69941094941094939</v>
      </c>
      <c r="L83" s="2">
        <f>61220/56610</f>
        <v>1.0814343755520226</v>
      </c>
      <c r="M83" s="2">
        <f t="shared" si="11"/>
        <v>1.0218646544364847</v>
      </c>
      <c r="N83" s="1">
        <v>0</v>
      </c>
      <c r="W83" s="16"/>
    </row>
    <row r="84" spans="1:23" x14ac:dyDescent="0.25">
      <c r="A84" s="4">
        <v>83</v>
      </c>
      <c r="B84" s="4" t="s">
        <v>68</v>
      </c>
      <c r="C84" s="5">
        <v>4</v>
      </c>
      <c r="D84" s="5" t="s">
        <v>52</v>
      </c>
      <c r="E84" s="5">
        <v>1</v>
      </c>
      <c r="F84" s="5">
        <v>1</v>
      </c>
      <c r="G84" s="5" t="str">
        <f t="shared" si="10"/>
        <v>BGV007927_B</v>
      </c>
      <c r="H84" s="5" t="s">
        <v>67</v>
      </c>
      <c r="I84" s="2">
        <f>11690/104800</f>
        <v>0.11154580152671756</v>
      </c>
      <c r="J84" s="2">
        <f>9033/62750</f>
        <v>0.14395219123505976</v>
      </c>
      <c r="K84" s="2">
        <f>14270/57720</f>
        <v>0.24722799722799724</v>
      </c>
      <c r="L84" s="2">
        <f>17940/56610</f>
        <v>0.3169051404345522</v>
      </c>
      <c r="M84" s="2">
        <f t="shared" si="11"/>
        <v>0.20535933890783464</v>
      </c>
      <c r="N84" s="1">
        <v>1</v>
      </c>
      <c r="O84" s="1">
        <v>17</v>
      </c>
      <c r="P84" s="2">
        <f>3873/57730</f>
        <v>6.7088169062878913E-2</v>
      </c>
      <c r="Q84" s="1">
        <f t="shared" ref="Q84:Q91" si="12">P84/L84</f>
        <v>0.21169795154122492</v>
      </c>
      <c r="R84" s="1">
        <v>0</v>
      </c>
      <c r="W84" s="16"/>
    </row>
    <row r="85" spans="1:23" x14ac:dyDescent="0.25">
      <c r="A85" s="4">
        <v>84</v>
      </c>
      <c r="B85" s="4" t="s">
        <v>68</v>
      </c>
      <c r="C85" s="5">
        <v>4</v>
      </c>
      <c r="D85" s="5" t="s">
        <v>54</v>
      </c>
      <c r="E85" s="5">
        <v>1</v>
      </c>
      <c r="F85" s="5">
        <v>1</v>
      </c>
      <c r="G85" s="5" t="str">
        <f t="shared" si="10"/>
        <v>BGV007927_C</v>
      </c>
      <c r="H85" s="5" t="s">
        <v>58</v>
      </c>
      <c r="I85" s="2">
        <f>7393/62750</f>
        <v>0.11781673306772908</v>
      </c>
      <c r="J85" s="2">
        <f>13720/104800</f>
        <v>0.13091603053435114</v>
      </c>
      <c r="K85" s="2">
        <f>9868/57720</f>
        <v>0.17096327096327096</v>
      </c>
      <c r="L85" s="2">
        <f>13550/56610</f>
        <v>0.2393570040628864</v>
      </c>
      <c r="M85" s="2">
        <f t="shared" si="11"/>
        <v>0.12154027099515732</v>
      </c>
      <c r="N85" s="1">
        <v>1</v>
      </c>
      <c r="O85" s="1">
        <v>20</v>
      </c>
      <c r="P85" s="2">
        <f>47040/57730</f>
        <v>0.81482764593798718</v>
      </c>
      <c r="Q85" s="1">
        <f t="shared" si="12"/>
        <v>3.4042356484538345</v>
      </c>
      <c r="R85" s="1">
        <v>1</v>
      </c>
      <c r="S85" s="1">
        <v>25</v>
      </c>
      <c r="T85" s="1">
        <v>31</v>
      </c>
      <c r="U85" s="1">
        <v>3</v>
      </c>
      <c r="V85" s="1">
        <v>3</v>
      </c>
      <c r="W85" s="16">
        <f>V85/U85</f>
        <v>1</v>
      </c>
    </row>
    <row r="86" spans="1:23" x14ac:dyDescent="0.25">
      <c r="A86" s="4">
        <v>85</v>
      </c>
      <c r="B86" s="4" t="s">
        <v>68</v>
      </c>
      <c r="C86" s="5">
        <v>5</v>
      </c>
      <c r="D86" s="5" t="s">
        <v>50</v>
      </c>
      <c r="E86" s="5">
        <v>1</v>
      </c>
      <c r="F86" s="5">
        <v>1</v>
      </c>
      <c r="G86" s="5" t="str">
        <f t="shared" si="10"/>
        <v>BGV007927_A</v>
      </c>
      <c r="H86" s="5" t="s">
        <v>51</v>
      </c>
      <c r="I86" s="2">
        <f>13380/104800</f>
        <v>0.12767175572519085</v>
      </c>
      <c r="J86" s="2">
        <f>8267/62750</f>
        <v>0.13174501992031873</v>
      </c>
      <c r="K86" s="2">
        <f>18580/57720</f>
        <v>0.32189882189882191</v>
      </c>
      <c r="L86" s="2">
        <f>38790/56610</f>
        <v>0.68521462639109698</v>
      </c>
      <c r="M86" s="2">
        <f t="shared" si="11"/>
        <v>0.55754287066590613</v>
      </c>
      <c r="N86" s="1">
        <v>0</v>
      </c>
      <c r="O86" s="1">
        <v>20</v>
      </c>
      <c r="P86" s="2">
        <f>5397/57730</f>
        <v>9.3486921877706561E-2</v>
      </c>
      <c r="Q86" s="1">
        <f t="shared" si="12"/>
        <v>0.1364345101185091</v>
      </c>
      <c r="W86" s="16"/>
    </row>
    <row r="87" spans="1:23" x14ac:dyDescent="0.25">
      <c r="A87" s="4">
        <v>86</v>
      </c>
      <c r="B87" s="4" t="s">
        <v>68</v>
      </c>
      <c r="C87" s="5">
        <v>5</v>
      </c>
      <c r="D87" s="5" t="s">
        <v>52</v>
      </c>
      <c r="E87" s="5">
        <v>1</v>
      </c>
      <c r="F87" s="5">
        <v>2</v>
      </c>
      <c r="G87" s="5" t="str">
        <f t="shared" si="10"/>
        <v>BGV007927_B</v>
      </c>
      <c r="H87" s="5" t="s">
        <v>57</v>
      </c>
      <c r="I87" s="2">
        <f>15020/62750</f>
        <v>0.23936254980079683</v>
      </c>
      <c r="J87" s="2">
        <f>31250/104800</f>
        <v>0.29818702290076338</v>
      </c>
      <c r="K87" s="2">
        <f>47890/57720</f>
        <v>0.82969507969507972</v>
      </c>
      <c r="L87" s="2">
        <f>77240/56610</f>
        <v>1.3644232467761879</v>
      </c>
      <c r="M87" s="2">
        <f t="shared" si="11"/>
        <v>1.1250606969753911</v>
      </c>
      <c r="N87" s="1">
        <v>0</v>
      </c>
      <c r="O87" s="1">
        <v>16</v>
      </c>
      <c r="P87" s="2">
        <f>6953/57730</f>
        <v>0.12043997921358046</v>
      </c>
      <c r="Q87" s="1">
        <f t="shared" si="12"/>
        <v>8.8271714439160931E-2</v>
      </c>
      <c r="W87" s="16"/>
    </row>
    <row r="88" spans="1:23" x14ac:dyDescent="0.25">
      <c r="A88" s="4">
        <v>87</v>
      </c>
      <c r="B88" s="4" t="s">
        <v>68</v>
      </c>
      <c r="C88" s="5">
        <v>5</v>
      </c>
      <c r="D88" s="5" t="s">
        <v>54</v>
      </c>
      <c r="E88" s="5">
        <v>1</v>
      </c>
      <c r="F88" s="5">
        <v>4</v>
      </c>
      <c r="G88" s="5" t="str">
        <f t="shared" si="10"/>
        <v>BGV007927_C</v>
      </c>
      <c r="H88" s="5" t="s">
        <v>60</v>
      </c>
      <c r="I88" s="2">
        <f>25390/62750</f>
        <v>0.40462151394422313</v>
      </c>
      <c r="J88" s="2">
        <f>39400/104800</f>
        <v>0.37595419847328243</v>
      </c>
      <c r="K88" s="2">
        <f>57690/57720</f>
        <v>0.99948024948024949</v>
      </c>
      <c r="L88" s="2">
        <f>74700/56610</f>
        <v>1.3195548489666136</v>
      </c>
      <c r="M88" s="2">
        <f t="shared" si="11"/>
        <v>0.91493333502239049</v>
      </c>
      <c r="N88" s="1">
        <v>0</v>
      </c>
      <c r="O88" s="1">
        <v>21</v>
      </c>
      <c r="P88" s="2">
        <f>17680/57730</f>
        <v>0.30625324787805303</v>
      </c>
      <c r="Q88" s="1">
        <f t="shared" si="12"/>
        <v>0.23208830471722333</v>
      </c>
      <c r="W88" s="16"/>
    </row>
    <row r="89" spans="1:23" x14ac:dyDescent="0.25">
      <c r="A89" s="4">
        <v>88</v>
      </c>
      <c r="B89" s="4" t="s">
        <v>68</v>
      </c>
      <c r="C89" s="5">
        <v>6</v>
      </c>
      <c r="D89" s="5" t="s">
        <v>50</v>
      </c>
      <c r="E89" s="5">
        <v>1</v>
      </c>
      <c r="F89" s="5">
        <v>1</v>
      </c>
      <c r="G89" s="5" t="str">
        <f t="shared" si="10"/>
        <v>BGV007927_A</v>
      </c>
      <c r="H89" s="5" t="s">
        <v>51</v>
      </c>
      <c r="I89" s="2">
        <f>4432/62750</f>
        <v>7.0629482071713143E-2</v>
      </c>
      <c r="J89" s="2">
        <f>13910/104800</f>
        <v>0.13272900763358778</v>
      </c>
      <c r="K89" s="2">
        <f>97910/57720</f>
        <v>1.6962924462924462</v>
      </c>
      <c r="L89" s="2">
        <f>107700/56610</f>
        <v>1.9024907260201378</v>
      </c>
      <c r="M89" s="2">
        <f t="shared" si="11"/>
        <v>1.8318612439484248</v>
      </c>
      <c r="N89" s="1">
        <v>0</v>
      </c>
      <c r="O89" s="1">
        <v>18</v>
      </c>
      <c r="P89" s="2">
        <f>20520/57730</f>
        <v>0.35544777412090767</v>
      </c>
      <c r="Q89" s="1">
        <f t="shared" si="12"/>
        <v>0.18683285508806483</v>
      </c>
      <c r="W89" s="16"/>
    </row>
    <row r="90" spans="1:23" x14ac:dyDescent="0.25">
      <c r="A90" s="4">
        <v>89</v>
      </c>
      <c r="B90" s="4" t="s">
        <v>68</v>
      </c>
      <c r="C90" s="5">
        <v>6</v>
      </c>
      <c r="D90" s="5" t="s">
        <v>52</v>
      </c>
      <c r="E90" s="5">
        <v>1</v>
      </c>
      <c r="F90" s="5">
        <v>2</v>
      </c>
      <c r="G90" s="5" t="str">
        <f t="shared" si="10"/>
        <v>BGV007927_B</v>
      </c>
      <c r="H90" s="5" t="s">
        <v>57</v>
      </c>
      <c r="I90" s="2">
        <f>13260/62750</f>
        <v>0.21131474103585657</v>
      </c>
      <c r="J90" s="2">
        <f>24060/104800</f>
        <v>0.22958015267175572</v>
      </c>
      <c r="K90" s="2">
        <f>64840/57720</f>
        <v>1.1233541233541233</v>
      </c>
      <c r="L90" s="2">
        <f>85680/56610</f>
        <v>1.5135135135135136</v>
      </c>
      <c r="M90" s="2">
        <f t="shared" si="11"/>
        <v>1.3021987724776571</v>
      </c>
      <c r="N90" s="1">
        <v>1</v>
      </c>
      <c r="O90" s="1">
        <v>18</v>
      </c>
      <c r="P90" s="2">
        <f>8960/57730</f>
        <v>0.15520526589294995</v>
      </c>
      <c r="Q90" s="1">
        <f t="shared" si="12"/>
        <v>0.1025463363935562</v>
      </c>
      <c r="R90" s="1">
        <v>1</v>
      </c>
      <c r="S90" s="1">
        <v>29</v>
      </c>
      <c r="T90" s="1">
        <v>34</v>
      </c>
      <c r="U90" s="1">
        <v>1</v>
      </c>
      <c r="V90" s="1">
        <v>1</v>
      </c>
      <c r="W90" s="16">
        <f>V90/U90</f>
        <v>1</v>
      </c>
    </row>
    <row r="91" spans="1:23" x14ac:dyDescent="0.25">
      <c r="A91" s="4">
        <v>90</v>
      </c>
      <c r="B91" s="4" t="s">
        <v>68</v>
      </c>
      <c r="C91" s="5">
        <v>6</v>
      </c>
      <c r="D91" s="5" t="s">
        <v>54</v>
      </c>
      <c r="E91" s="5">
        <v>1</v>
      </c>
      <c r="F91" s="5">
        <v>1</v>
      </c>
      <c r="G91" s="5" t="str">
        <f t="shared" si="10"/>
        <v>BGV007927_C</v>
      </c>
      <c r="H91" s="5" t="s">
        <v>58</v>
      </c>
      <c r="I91" s="2">
        <f>6509/62750</f>
        <v>0.10372908366533864</v>
      </c>
      <c r="J91" s="2">
        <f>12870/104800</f>
        <v>0.12280534351145038</v>
      </c>
      <c r="K91" s="2">
        <f>58270/57720</f>
        <v>1.0095287595287594</v>
      </c>
      <c r="L91" s="2">
        <f>63570/56610</f>
        <v>1.1229464758876524</v>
      </c>
      <c r="M91" s="2">
        <f t="shared" si="11"/>
        <v>1.0192173922223138</v>
      </c>
      <c r="N91" s="1">
        <v>0</v>
      </c>
      <c r="O91" s="1">
        <v>19</v>
      </c>
      <c r="P91" s="2">
        <f>16320/57730</f>
        <v>0.28269530573358737</v>
      </c>
      <c r="Q91" s="1">
        <f t="shared" si="12"/>
        <v>0.25174423875378921</v>
      </c>
      <c r="W91" s="16"/>
    </row>
    <row r="92" spans="1:23" x14ac:dyDescent="0.25">
      <c r="A92" s="4">
        <v>91</v>
      </c>
      <c r="B92" s="4" t="s">
        <v>68</v>
      </c>
      <c r="C92" s="5">
        <v>7</v>
      </c>
      <c r="D92" s="5" t="s">
        <v>50</v>
      </c>
      <c r="E92" s="5">
        <v>1</v>
      </c>
      <c r="F92" s="5">
        <v>1</v>
      </c>
      <c r="G92" s="5" t="str">
        <f t="shared" si="10"/>
        <v>BGV007927_A</v>
      </c>
      <c r="H92" s="5" t="s">
        <v>51</v>
      </c>
      <c r="I92" s="2">
        <f>9814/104800</f>
        <v>9.3645038167938927E-2</v>
      </c>
      <c r="J92" s="2">
        <f>6414/62750</f>
        <v>0.10221513944223108</v>
      </c>
      <c r="K92" s="2">
        <f>38920/57720</f>
        <v>0.67428967428967423</v>
      </c>
      <c r="L92" s="2">
        <f>42500/56610</f>
        <v>0.75075075075075071</v>
      </c>
      <c r="M92" s="2">
        <f t="shared" si="11"/>
        <v>0.65710571258281181</v>
      </c>
      <c r="N92" s="1">
        <v>0</v>
      </c>
      <c r="W92" s="16"/>
    </row>
    <row r="93" spans="1:23" x14ac:dyDescent="0.25">
      <c r="A93" s="4">
        <v>92</v>
      </c>
      <c r="B93" s="4" t="s">
        <v>68</v>
      </c>
      <c r="C93" s="5">
        <v>7</v>
      </c>
      <c r="D93" s="5" t="s">
        <v>52</v>
      </c>
      <c r="E93" s="5">
        <v>1</v>
      </c>
      <c r="F93" s="5">
        <v>1</v>
      </c>
      <c r="G93" s="5" t="str">
        <f t="shared" si="10"/>
        <v>BGV007927_B</v>
      </c>
      <c r="H93" s="5" t="s">
        <v>67</v>
      </c>
      <c r="I93" s="2">
        <f>8001/104800</f>
        <v>7.6345419847328247E-2</v>
      </c>
      <c r="J93" s="2">
        <f>4956/62750</f>
        <v>7.8980079681274906E-2</v>
      </c>
      <c r="K93" s="2">
        <f>48260/57720</f>
        <v>0.83610533610533611</v>
      </c>
      <c r="L93" s="2">
        <f>72570/56610</f>
        <v>1.2819289878113407</v>
      </c>
      <c r="M93" s="2">
        <f t="shared" si="11"/>
        <v>1.2055835679640123</v>
      </c>
      <c r="N93" s="1">
        <v>0</v>
      </c>
      <c r="W93" s="16"/>
    </row>
    <row r="94" spans="1:23" x14ac:dyDescent="0.25">
      <c r="A94" s="4">
        <v>93</v>
      </c>
      <c r="B94" s="4" t="s">
        <v>68</v>
      </c>
      <c r="C94" s="5">
        <v>7</v>
      </c>
      <c r="D94" s="5" t="s">
        <v>54</v>
      </c>
      <c r="E94" s="5">
        <v>1</v>
      </c>
      <c r="F94" s="5">
        <v>1</v>
      </c>
      <c r="G94" s="5" t="str">
        <f t="shared" si="10"/>
        <v>BGV007927_C</v>
      </c>
      <c r="H94" s="5" t="s">
        <v>58</v>
      </c>
      <c r="I94" s="2">
        <f>4410/62750</f>
        <v>7.02788844621514E-2</v>
      </c>
      <c r="J94" s="2">
        <f>15050/104800</f>
        <v>0.14360687022900764</v>
      </c>
      <c r="K94" s="2">
        <f>34970/57720</f>
        <v>0.60585585585585588</v>
      </c>
      <c r="L94" s="2">
        <f>56660/56610</f>
        <v>1.0008832361773539</v>
      </c>
      <c r="M94" s="2">
        <f t="shared" si="11"/>
        <v>0.9306043517152025</v>
      </c>
      <c r="N94" s="1">
        <v>0</v>
      </c>
      <c r="R94" s="1">
        <v>1</v>
      </c>
      <c r="S94" s="1">
        <v>24</v>
      </c>
      <c r="T94" s="1">
        <v>29</v>
      </c>
      <c r="U94" s="1">
        <v>4</v>
      </c>
      <c r="V94" s="1">
        <v>4</v>
      </c>
      <c r="W94" s="16">
        <f>V94/U94</f>
        <v>1</v>
      </c>
    </row>
    <row r="95" spans="1:23" x14ac:dyDescent="0.25">
      <c r="A95" s="4">
        <v>94</v>
      </c>
      <c r="B95" s="4" t="s">
        <v>68</v>
      </c>
      <c r="C95" s="5">
        <v>8</v>
      </c>
      <c r="D95" s="5" t="s">
        <v>50</v>
      </c>
      <c r="E95" s="5">
        <v>1</v>
      </c>
      <c r="F95" s="5">
        <v>1</v>
      </c>
      <c r="G95" s="5" t="str">
        <f t="shared" si="10"/>
        <v>BGV007927_A</v>
      </c>
      <c r="H95" s="5" t="s">
        <v>51</v>
      </c>
      <c r="I95" s="2">
        <f>3921/62750</f>
        <v>6.2486055776892431E-2</v>
      </c>
      <c r="J95" s="2">
        <f>8751/104800</f>
        <v>8.3501908396946559E-2</v>
      </c>
      <c r="K95" s="2">
        <f>32190/56610</f>
        <v>0.56862745098039214</v>
      </c>
      <c r="L95" s="2">
        <f>38030/57720</f>
        <v>0.65887040887040882</v>
      </c>
      <c r="M95" s="2">
        <f t="shared" si="11"/>
        <v>0.59638435309351634</v>
      </c>
      <c r="N95" s="1">
        <v>0</v>
      </c>
      <c r="W95" s="16"/>
    </row>
    <row r="96" spans="1:23" x14ac:dyDescent="0.25">
      <c r="A96" s="4">
        <v>95</v>
      </c>
      <c r="B96" s="4" t="s">
        <v>68</v>
      </c>
      <c r="C96" s="5">
        <v>8</v>
      </c>
      <c r="D96" s="5" t="s">
        <v>52</v>
      </c>
      <c r="E96" s="5">
        <v>1</v>
      </c>
      <c r="F96" s="5">
        <v>1</v>
      </c>
      <c r="G96" s="5" t="str">
        <f t="shared" si="10"/>
        <v>BGV007927_B</v>
      </c>
      <c r="H96" s="5" t="s">
        <v>67</v>
      </c>
      <c r="I96" s="2">
        <f>2034/62750</f>
        <v>3.2414342629482069E-2</v>
      </c>
      <c r="J96" s="2">
        <f>4485/104800</f>
        <v>4.279580152671756E-2</v>
      </c>
      <c r="K96" s="2">
        <f>25130/57720</f>
        <v>0.4353776853776854</v>
      </c>
      <c r="L96" s="2">
        <f>26800/56610</f>
        <v>0.4734145910616499</v>
      </c>
      <c r="M96" s="2">
        <f t="shared" si="11"/>
        <v>0.44100024843216784</v>
      </c>
      <c r="N96" s="1">
        <v>0</v>
      </c>
      <c r="W96" s="16"/>
    </row>
    <row r="97" spans="1:23" x14ac:dyDescent="0.25">
      <c r="A97" s="4">
        <v>96</v>
      </c>
      <c r="B97" s="4" t="s">
        <v>68</v>
      </c>
      <c r="C97" s="5">
        <v>8</v>
      </c>
      <c r="D97" s="5" t="s">
        <v>54</v>
      </c>
      <c r="E97" s="5">
        <v>1</v>
      </c>
      <c r="F97" s="5">
        <v>2</v>
      </c>
      <c r="G97" s="5" t="str">
        <f t="shared" si="10"/>
        <v>BGV007927_C</v>
      </c>
      <c r="H97" s="5" t="s">
        <v>63</v>
      </c>
      <c r="I97" s="2">
        <f>14310/62750</f>
        <v>0.22804780876494024</v>
      </c>
      <c r="J97" s="2">
        <f>36480/104800</f>
        <v>0.34809160305343512</v>
      </c>
      <c r="K97" s="2">
        <f>49060/57720</f>
        <v>0.84996534996535</v>
      </c>
      <c r="L97" s="2">
        <f>61250/56610</f>
        <v>1.081964317258435</v>
      </c>
      <c r="M97" s="2">
        <f t="shared" si="11"/>
        <v>0.85391650849349476</v>
      </c>
      <c r="N97" s="1">
        <v>1</v>
      </c>
      <c r="O97" s="1">
        <v>20</v>
      </c>
      <c r="P97" s="2">
        <f>14210/57730</f>
        <v>0.24614585137710029</v>
      </c>
      <c r="Q97" s="1">
        <f>P97/L97</f>
        <v>0.22749904728910444</v>
      </c>
      <c r="R97" s="1">
        <v>1</v>
      </c>
      <c r="S97" s="1">
        <v>26</v>
      </c>
      <c r="T97" s="1">
        <v>32</v>
      </c>
      <c r="U97" s="1">
        <v>3</v>
      </c>
      <c r="V97" s="1">
        <v>3</v>
      </c>
      <c r="W97" s="16">
        <f>V97/U97</f>
        <v>1</v>
      </c>
    </row>
    <row r="98" spans="1:23" x14ac:dyDescent="0.25">
      <c r="A98" s="4">
        <v>97</v>
      </c>
      <c r="B98" s="4" t="s">
        <v>68</v>
      </c>
      <c r="C98" s="5">
        <v>9</v>
      </c>
      <c r="D98" s="5" t="s">
        <v>50</v>
      </c>
      <c r="E98" s="5">
        <v>1</v>
      </c>
      <c r="F98" s="5">
        <v>1</v>
      </c>
      <c r="G98" s="5" t="str">
        <f t="shared" si="10"/>
        <v>BGV007927_A</v>
      </c>
      <c r="H98" s="5" t="s">
        <v>51</v>
      </c>
      <c r="I98" s="2">
        <f>8810/104800</f>
        <v>8.4064885496183211E-2</v>
      </c>
      <c r="J98" s="2">
        <f>5409/62750</f>
        <v>8.6199203187250995E-2</v>
      </c>
      <c r="K98" s="2">
        <f>19700/57720</f>
        <v>0.34130284130284128</v>
      </c>
      <c r="L98" s="2">
        <f>19980/56610</f>
        <v>0.35294117647058826</v>
      </c>
      <c r="M98" s="2">
        <f t="shared" si="11"/>
        <v>0.26887629097440502</v>
      </c>
      <c r="N98" s="1">
        <v>0</v>
      </c>
      <c r="R98" s="1">
        <v>1</v>
      </c>
      <c r="S98" s="1">
        <v>29</v>
      </c>
      <c r="T98" s="1">
        <v>35</v>
      </c>
      <c r="U98" s="1">
        <v>8</v>
      </c>
      <c r="V98" s="1">
        <v>5</v>
      </c>
      <c r="W98" s="16">
        <f>V98/U98</f>
        <v>0.625</v>
      </c>
    </row>
    <row r="99" spans="1:23" x14ac:dyDescent="0.25">
      <c r="A99" s="4">
        <v>98</v>
      </c>
      <c r="B99" s="4" t="s">
        <v>68</v>
      </c>
      <c r="C99" s="5">
        <v>9</v>
      </c>
      <c r="D99" s="5" t="s">
        <v>52</v>
      </c>
      <c r="E99" s="5">
        <v>1</v>
      </c>
      <c r="F99" s="5">
        <v>1</v>
      </c>
      <c r="G99" s="5" t="str">
        <f t="shared" si="10"/>
        <v>BGV007927_B</v>
      </c>
      <c r="H99" s="5" t="s">
        <v>67</v>
      </c>
      <c r="I99" s="2">
        <f>13460/104800</f>
        <v>0.12843511450381678</v>
      </c>
      <c r="J99" s="2">
        <f>9334/62750</f>
        <v>0.14874900398406374</v>
      </c>
      <c r="K99" s="2">
        <f>17100/57720</f>
        <v>0.29625779625779625</v>
      </c>
      <c r="L99" s="2">
        <f>16640/56610</f>
        <v>0.29394099982335276</v>
      </c>
      <c r="M99" s="2">
        <f t="shared" si="11"/>
        <v>0.16550588531953597</v>
      </c>
      <c r="N99" s="1">
        <v>0</v>
      </c>
      <c r="W99" s="16"/>
    </row>
    <row r="100" spans="1:23" x14ac:dyDescent="0.25">
      <c r="A100" s="4">
        <v>99</v>
      </c>
      <c r="B100" s="4" t="s">
        <v>68</v>
      </c>
      <c r="C100" s="5">
        <v>9</v>
      </c>
      <c r="D100" s="5" t="s">
        <v>54</v>
      </c>
      <c r="E100" s="5">
        <v>1</v>
      </c>
      <c r="F100" s="5">
        <v>3</v>
      </c>
      <c r="G100" s="5" t="str">
        <f t="shared" si="10"/>
        <v>BGV007927_C</v>
      </c>
      <c r="H100" s="5" t="s">
        <v>55</v>
      </c>
      <c r="I100" s="2">
        <f>15140/62750</f>
        <v>0.24127490039840638</v>
      </c>
      <c r="J100" s="2">
        <f>39990/104800</f>
        <v>0.38158396946564888</v>
      </c>
      <c r="K100" s="2">
        <f>59920/57720</f>
        <v>1.0381150381150381</v>
      </c>
      <c r="L100" s="2">
        <f>94410/56610</f>
        <v>1.6677265500794913</v>
      </c>
      <c r="M100" s="2">
        <f t="shared" si="11"/>
        <v>1.4264516496810851</v>
      </c>
      <c r="N100" s="1">
        <v>0</v>
      </c>
      <c r="W100" s="16"/>
    </row>
    <row r="101" spans="1:23" x14ac:dyDescent="0.25">
      <c r="A101" s="4">
        <v>100</v>
      </c>
      <c r="B101" s="4" t="s">
        <v>68</v>
      </c>
      <c r="C101" s="5">
        <v>10</v>
      </c>
      <c r="D101" s="5" t="s">
        <v>50</v>
      </c>
      <c r="E101" s="5">
        <v>1</v>
      </c>
      <c r="F101" s="5">
        <v>1</v>
      </c>
      <c r="G101" s="5" t="str">
        <f t="shared" si="10"/>
        <v>BGV007927_A</v>
      </c>
      <c r="H101" s="5" t="s">
        <v>51</v>
      </c>
      <c r="I101" s="2">
        <f>5119/62750</f>
        <v>8.1577689243027884E-2</v>
      </c>
      <c r="J101" s="2">
        <f>19510/104800</f>
        <v>0.18616412213740458</v>
      </c>
      <c r="K101" s="2">
        <f>11020/57720</f>
        <v>0.19092169092169092</v>
      </c>
      <c r="L101" s="2">
        <f>18140/56610</f>
        <v>0.32043808514396749</v>
      </c>
      <c r="M101" s="2">
        <f t="shared" si="11"/>
        <v>0.2388603959009396</v>
      </c>
      <c r="N101" s="1">
        <v>0</v>
      </c>
      <c r="W101" s="16"/>
    </row>
    <row r="102" spans="1:23" x14ac:dyDescent="0.25">
      <c r="A102" s="4">
        <v>101</v>
      </c>
      <c r="B102" s="4" t="s">
        <v>68</v>
      </c>
      <c r="C102" s="5">
        <v>10</v>
      </c>
      <c r="D102" s="5" t="s">
        <v>52</v>
      </c>
      <c r="E102" s="5">
        <v>1</v>
      </c>
      <c r="F102" s="5">
        <v>1</v>
      </c>
      <c r="G102" s="5" t="str">
        <f t="shared" si="10"/>
        <v>BGV007927_B</v>
      </c>
      <c r="H102" s="5" t="s">
        <v>67</v>
      </c>
      <c r="I102" s="2">
        <f>6692/62750</f>
        <v>0.10664541832669323</v>
      </c>
      <c r="J102" s="2">
        <f>14790/104800</f>
        <v>0.14112595419847329</v>
      </c>
      <c r="K102" s="2">
        <f>32580/57720</f>
        <v>0.5644490644490644</v>
      </c>
      <c r="L102" s="2">
        <f>39160/56610</f>
        <v>0.69175057410351526</v>
      </c>
      <c r="M102" s="2">
        <f t="shared" si="11"/>
        <v>0.58510515577682198</v>
      </c>
      <c r="N102" s="1">
        <v>0</v>
      </c>
      <c r="W102" s="16"/>
    </row>
    <row r="103" spans="1:23" x14ac:dyDescent="0.25">
      <c r="A103" s="4">
        <v>102</v>
      </c>
      <c r="B103" s="4" t="s">
        <v>68</v>
      </c>
      <c r="C103" s="5">
        <v>10</v>
      </c>
      <c r="D103" s="5" t="s">
        <v>54</v>
      </c>
      <c r="E103" s="5">
        <v>1</v>
      </c>
      <c r="F103" s="5">
        <v>1</v>
      </c>
      <c r="G103" s="5" t="str">
        <f t="shared" si="10"/>
        <v>BGV007927_C</v>
      </c>
      <c r="H103" s="5" t="s">
        <v>58</v>
      </c>
      <c r="I103" s="2">
        <f>4256/62750</f>
        <v>6.782470119521912E-2</v>
      </c>
      <c r="J103" s="2">
        <f>7346/104800</f>
        <v>7.0095419847328241E-2</v>
      </c>
      <c r="K103" s="2">
        <f>33100/57720</f>
        <v>0.57345807345807343</v>
      </c>
      <c r="L103" s="2">
        <f>34880/56610</f>
        <v>0.61614555732202791</v>
      </c>
      <c r="M103" s="2">
        <f t="shared" si="11"/>
        <v>0.54832085612680881</v>
      </c>
      <c r="N103" s="1">
        <v>1</v>
      </c>
      <c r="O103" s="1">
        <v>18</v>
      </c>
      <c r="P103" s="2">
        <f>32030/57730</f>
        <v>0.55482418153473068</v>
      </c>
      <c r="Q103" s="1">
        <f>P103/L103</f>
        <v>0.90047582903328849</v>
      </c>
      <c r="R103" s="1">
        <v>1</v>
      </c>
      <c r="S103" s="1">
        <v>26</v>
      </c>
      <c r="T103" s="1">
        <v>32</v>
      </c>
      <c r="U103" s="1">
        <v>8</v>
      </c>
      <c r="V103" s="1">
        <v>4</v>
      </c>
      <c r="W103" s="16">
        <f>V103/U103</f>
        <v>0.5</v>
      </c>
    </row>
    <row r="104" spans="1:23" x14ac:dyDescent="0.25">
      <c r="A104" s="4">
        <v>103</v>
      </c>
      <c r="B104" s="4" t="s">
        <v>68</v>
      </c>
      <c r="C104" s="5">
        <v>11</v>
      </c>
      <c r="D104" s="5" t="s">
        <v>50</v>
      </c>
      <c r="E104" s="5">
        <v>1</v>
      </c>
      <c r="F104" s="5">
        <v>4</v>
      </c>
      <c r="G104" s="5" t="str">
        <f t="shared" si="10"/>
        <v>BGV007927_A</v>
      </c>
      <c r="H104" s="5" t="s">
        <v>64</v>
      </c>
      <c r="I104" s="2">
        <f>27000/62750</f>
        <v>0.4302788844621514</v>
      </c>
      <c r="J104" s="2">
        <f>46060/104800</f>
        <v>0.43950381679389311</v>
      </c>
      <c r="K104" s="2"/>
      <c r="L104" s="2"/>
      <c r="M104" s="2"/>
      <c r="W104" s="16"/>
    </row>
    <row r="105" spans="1:23" x14ac:dyDescent="0.25">
      <c r="A105" s="4">
        <v>104</v>
      </c>
      <c r="B105" s="4" t="s">
        <v>68</v>
      </c>
      <c r="C105" s="5">
        <v>11</v>
      </c>
      <c r="D105" s="5" t="s">
        <v>52</v>
      </c>
      <c r="E105" s="5">
        <v>1</v>
      </c>
      <c r="F105" s="5">
        <v>2</v>
      </c>
      <c r="G105" s="5" t="str">
        <f t="shared" si="10"/>
        <v>BGV007927_B</v>
      </c>
      <c r="H105" s="5" t="s">
        <v>57</v>
      </c>
      <c r="I105" s="2">
        <f>9131/62750</f>
        <v>0.14551394422310757</v>
      </c>
      <c r="J105" s="2">
        <f>24820/104800</f>
        <v>0.23683206106870228</v>
      </c>
      <c r="K105" s="2">
        <f>26840/57720</f>
        <v>0.46500346500346501</v>
      </c>
      <c r="L105" s="2">
        <f>32830/56610</f>
        <v>0.57993287405052107</v>
      </c>
      <c r="M105" s="2">
        <f t="shared" ref="M105:M166" si="13">L105-I105</f>
        <v>0.43441892982741348</v>
      </c>
      <c r="N105" s="1">
        <v>0</v>
      </c>
      <c r="W105" s="16"/>
    </row>
    <row r="106" spans="1:23" x14ac:dyDescent="0.25">
      <c r="A106" s="4">
        <v>105</v>
      </c>
      <c r="B106" s="4" t="s">
        <v>68</v>
      </c>
      <c r="C106" s="5">
        <v>11</v>
      </c>
      <c r="D106" s="5" t="s">
        <v>54</v>
      </c>
      <c r="E106" s="5">
        <v>1</v>
      </c>
      <c r="F106" s="5">
        <v>3</v>
      </c>
      <c r="G106" s="5" t="str">
        <f t="shared" si="10"/>
        <v>BGV007927_C</v>
      </c>
      <c r="H106" s="5" t="s">
        <v>55</v>
      </c>
      <c r="I106" s="2">
        <f>15240/62750</f>
        <v>0.24286852589641433</v>
      </c>
      <c r="J106" s="2">
        <f>53820/104800</f>
        <v>0.51354961832061063</v>
      </c>
      <c r="K106" s="2">
        <f>59360/57720</f>
        <v>1.0284130284130284</v>
      </c>
      <c r="L106" s="2">
        <f>68150/56610</f>
        <v>1.2038509097332626</v>
      </c>
      <c r="M106" s="2">
        <f t="shared" si="13"/>
        <v>0.96098238383684831</v>
      </c>
      <c r="N106" s="1">
        <v>1</v>
      </c>
      <c r="P106" s="2">
        <f>38700/57730</f>
        <v>0.67036203014030837</v>
      </c>
      <c r="Q106" s="1">
        <f>P106/L106</f>
        <v>0.55684804880767214</v>
      </c>
      <c r="R106" s="1">
        <v>1</v>
      </c>
      <c r="S106" s="1">
        <v>25</v>
      </c>
      <c r="U106" s="1">
        <v>12</v>
      </c>
      <c r="V106" s="1">
        <v>9</v>
      </c>
      <c r="W106" s="16">
        <f>V106/U106</f>
        <v>0.75</v>
      </c>
    </row>
    <row r="107" spans="1:23" x14ac:dyDescent="0.25">
      <c r="A107" s="4">
        <v>106</v>
      </c>
      <c r="B107" s="4" t="s">
        <v>68</v>
      </c>
      <c r="C107" s="5">
        <v>12</v>
      </c>
      <c r="D107" s="5" t="s">
        <v>50</v>
      </c>
      <c r="E107" s="5">
        <v>1</v>
      </c>
      <c r="F107" s="5">
        <v>2</v>
      </c>
      <c r="G107" s="5" t="str">
        <f t="shared" si="10"/>
        <v>BGV007927_A</v>
      </c>
      <c r="H107" s="5" t="s">
        <v>56</v>
      </c>
      <c r="I107" s="2">
        <f>10570/62750</f>
        <v>0.16844621513944222</v>
      </c>
      <c r="J107" s="2">
        <f>28730/57720</f>
        <v>0.49774774774774777</v>
      </c>
      <c r="K107" s="2">
        <f>53650/104800</f>
        <v>0.51192748091603058</v>
      </c>
      <c r="L107" s="2">
        <f>30150/56610</f>
        <v>0.53259141494435613</v>
      </c>
      <c r="M107" s="2">
        <f t="shared" si="13"/>
        <v>0.36414519980491389</v>
      </c>
      <c r="N107" s="1">
        <v>0</v>
      </c>
      <c r="W107" s="16"/>
    </row>
    <row r="108" spans="1:23" x14ac:dyDescent="0.25">
      <c r="A108" s="4">
        <v>107</v>
      </c>
      <c r="B108" s="4" t="s">
        <v>68</v>
      </c>
      <c r="C108" s="5">
        <v>12</v>
      </c>
      <c r="D108" s="5" t="s">
        <v>52</v>
      </c>
      <c r="E108" s="5">
        <v>1</v>
      </c>
      <c r="F108" s="5">
        <v>2</v>
      </c>
      <c r="G108" s="5" t="str">
        <f t="shared" si="10"/>
        <v>BGV007927_B</v>
      </c>
      <c r="H108" s="5" t="s">
        <v>57</v>
      </c>
      <c r="I108" s="2">
        <f>9273/62750</f>
        <v>0.14777689243027889</v>
      </c>
      <c r="J108" s="2">
        <f>29690/104800</f>
        <v>0.28330152671755726</v>
      </c>
      <c r="K108" s="2">
        <f>30040/57720</f>
        <v>0.52044352044352049</v>
      </c>
      <c r="L108" s="2">
        <f>35410/56610</f>
        <v>0.6255078608019784</v>
      </c>
      <c r="M108" s="2">
        <f t="shared" si="13"/>
        <v>0.47773096837169948</v>
      </c>
      <c r="N108" s="1">
        <v>0</v>
      </c>
      <c r="W108" s="16"/>
    </row>
    <row r="109" spans="1:23" s="10" customFormat="1" x14ac:dyDescent="0.25">
      <c r="A109" s="23">
        <v>108</v>
      </c>
      <c r="B109" s="23" t="s">
        <v>68</v>
      </c>
      <c r="C109" s="17">
        <v>12</v>
      </c>
      <c r="D109" s="17" t="s">
        <v>54</v>
      </c>
      <c r="E109" s="17">
        <v>1</v>
      </c>
      <c r="F109" s="17">
        <v>1</v>
      </c>
      <c r="G109" s="17" t="str">
        <f t="shared" si="10"/>
        <v>BGV007927_C</v>
      </c>
      <c r="H109" s="17" t="s">
        <v>58</v>
      </c>
      <c r="I109" s="10">
        <f>5939/62750</f>
        <v>9.4645418326693223E-2</v>
      </c>
      <c r="J109" s="10">
        <f>29910/104800</f>
        <v>0.28540076335877862</v>
      </c>
      <c r="K109" s="10">
        <f>53110/57720</f>
        <v>0.92013167013167008</v>
      </c>
      <c r="L109" s="10">
        <f>50570/56610</f>
        <v>0.89330506977565804</v>
      </c>
      <c r="M109" s="10">
        <f t="shared" si="13"/>
        <v>0.79865965144896478</v>
      </c>
      <c r="N109" s="9">
        <v>0</v>
      </c>
      <c r="O109" s="9"/>
      <c r="P109" s="9"/>
      <c r="Q109" s="9"/>
      <c r="R109" s="9"/>
      <c r="S109" s="9"/>
      <c r="T109" s="9"/>
      <c r="U109" s="9"/>
      <c r="V109" s="9"/>
      <c r="W109" s="18"/>
    </row>
    <row r="110" spans="1:23" s="15" customFormat="1" x14ac:dyDescent="0.25">
      <c r="A110" s="19">
        <v>109</v>
      </c>
      <c r="B110" s="19" t="s">
        <v>68</v>
      </c>
      <c r="C110" s="20">
        <v>1</v>
      </c>
      <c r="D110" s="20" t="s">
        <v>50</v>
      </c>
      <c r="E110" s="20">
        <v>2</v>
      </c>
      <c r="F110" s="20">
        <v>2</v>
      </c>
      <c r="G110" s="20" t="str">
        <f t="shared" si="10"/>
        <v>BGV007927_A</v>
      </c>
      <c r="H110" s="20" t="s">
        <v>56</v>
      </c>
      <c r="I110" s="15">
        <f>14370/62750</f>
        <v>0.22900398406374503</v>
      </c>
      <c r="J110" s="15">
        <f>10810/104800</f>
        <v>0.10314885496183206</v>
      </c>
      <c r="K110" s="15">
        <f>55930/57720</f>
        <v>0.96898821898821896</v>
      </c>
      <c r="L110" s="15">
        <f>45680/56610</f>
        <v>0.80692457163045395</v>
      </c>
      <c r="M110" s="15">
        <f t="shared" si="13"/>
        <v>0.57792058756670894</v>
      </c>
      <c r="N110" s="7">
        <v>0</v>
      </c>
      <c r="O110" s="7"/>
      <c r="P110" s="7"/>
      <c r="Q110" s="7"/>
      <c r="R110" s="7"/>
      <c r="S110" s="7"/>
      <c r="T110" s="7"/>
      <c r="U110" s="7"/>
      <c r="V110" s="7"/>
      <c r="W110" s="22"/>
    </row>
    <row r="111" spans="1:23" x14ac:dyDescent="0.25">
      <c r="A111" s="4">
        <v>110</v>
      </c>
      <c r="B111" s="4" t="s">
        <v>68</v>
      </c>
      <c r="C111" s="5">
        <v>1</v>
      </c>
      <c r="D111" s="5" t="s">
        <v>52</v>
      </c>
      <c r="E111" s="5">
        <v>2</v>
      </c>
      <c r="F111" s="5">
        <v>3</v>
      </c>
      <c r="G111" s="5" t="str">
        <f t="shared" si="10"/>
        <v>BGV007927_B</v>
      </c>
      <c r="H111" s="5" t="s">
        <v>59</v>
      </c>
      <c r="I111" s="2">
        <f>19890/62750</f>
        <v>0.31697211155378485</v>
      </c>
      <c r="J111" s="2">
        <f>22070/104800</f>
        <v>0.21059160305343511</v>
      </c>
      <c r="K111" s="2">
        <f>49130/57720</f>
        <v>0.85117810117810122</v>
      </c>
      <c r="L111" s="2">
        <f>69180/56610</f>
        <v>1.2220455749867514</v>
      </c>
      <c r="M111" s="2">
        <f t="shared" si="13"/>
        <v>0.90507346343296646</v>
      </c>
      <c r="N111" s="1">
        <v>1</v>
      </c>
      <c r="O111" s="1">
        <v>19</v>
      </c>
      <c r="P111" s="2">
        <f>39000/57730</f>
        <v>0.67555863502511693</v>
      </c>
      <c r="Q111" s="1">
        <f>P111/L111</f>
        <v>0.55280968963243526</v>
      </c>
      <c r="R111" s="1">
        <v>0</v>
      </c>
      <c r="W111" s="16"/>
    </row>
    <row r="112" spans="1:23" x14ac:dyDescent="0.25">
      <c r="A112" s="4">
        <v>111</v>
      </c>
      <c r="B112" s="4" t="s">
        <v>68</v>
      </c>
      <c r="C112" s="5">
        <v>1</v>
      </c>
      <c r="D112" s="5" t="s">
        <v>54</v>
      </c>
      <c r="E112" s="5">
        <v>2</v>
      </c>
      <c r="F112" s="5">
        <v>3</v>
      </c>
      <c r="G112" s="5" t="str">
        <f t="shared" si="10"/>
        <v>BGV007927_C</v>
      </c>
      <c r="H112" s="5" t="s">
        <v>55</v>
      </c>
      <c r="I112" s="2">
        <f>26040/104800</f>
        <v>0.24847328244274808</v>
      </c>
      <c r="J112" s="2">
        <f>20940/62750</f>
        <v>0.33370517928286852</v>
      </c>
      <c r="K112" s="2">
        <f>64980/57720</f>
        <v>1.1257796257796258</v>
      </c>
      <c r="L112" s="2">
        <f>78890/56610</f>
        <v>1.3935700406288642</v>
      </c>
      <c r="M112" s="2">
        <f t="shared" si="13"/>
        <v>1.1450967581861162</v>
      </c>
      <c r="N112" s="1">
        <v>1</v>
      </c>
      <c r="O112" s="1">
        <v>20</v>
      </c>
      <c r="P112" s="2">
        <f>28520/57730</f>
        <v>0.49402390438247012</v>
      </c>
      <c r="Q112" s="1">
        <f>P112/L112</f>
        <v>0.35450238594361305</v>
      </c>
      <c r="R112" s="1">
        <v>0</v>
      </c>
      <c r="W112" s="16"/>
    </row>
    <row r="113" spans="1:23" x14ac:dyDescent="0.25">
      <c r="A113" s="4">
        <v>112</v>
      </c>
      <c r="B113" s="4" t="s">
        <v>68</v>
      </c>
      <c r="C113" s="5">
        <v>2</v>
      </c>
      <c r="D113" s="5" t="s">
        <v>50</v>
      </c>
      <c r="E113" s="5">
        <v>2</v>
      </c>
      <c r="F113" s="5">
        <v>1</v>
      </c>
      <c r="G113" s="5" t="str">
        <f t="shared" si="10"/>
        <v>BGV007927_A</v>
      </c>
      <c r="H113" s="5" t="s">
        <v>51</v>
      </c>
      <c r="I113" s="2">
        <f>9345/104800</f>
        <v>8.9169847328244276E-2</v>
      </c>
      <c r="J113" s="2">
        <f>10360/62750</f>
        <v>0.16509960159362549</v>
      </c>
      <c r="K113" s="2">
        <f>50130/57720</f>
        <v>0.86850311850311845</v>
      </c>
      <c r="L113" s="2">
        <f>66570/56610</f>
        <v>1.1759406465288818</v>
      </c>
      <c r="M113" s="2">
        <f t="shared" si="13"/>
        <v>1.0867707992006375</v>
      </c>
      <c r="N113" s="1">
        <v>0</v>
      </c>
      <c r="W113" s="16"/>
    </row>
    <row r="114" spans="1:23" x14ac:dyDescent="0.25">
      <c r="A114" s="4">
        <v>113</v>
      </c>
      <c r="B114" s="4" t="s">
        <v>68</v>
      </c>
      <c r="C114" s="5">
        <v>2</v>
      </c>
      <c r="D114" s="5" t="s">
        <v>52</v>
      </c>
      <c r="E114" s="5">
        <v>2</v>
      </c>
      <c r="F114" s="5">
        <v>1</v>
      </c>
      <c r="G114" s="5" t="str">
        <f t="shared" si="10"/>
        <v>BGV007927_B</v>
      </c>
      <c r="H114" s="5" t="s">
        <v>67</v>
      </c>
      <c r="I114" s="2">
        <f>6767/62750</f>
        <v>0.1078406374501992</v>
      </c>
      <c r="J114" s="2">
        <f>29870/104800</f>
        <v>0.28501908396946563</v>
      </c>
      <c r="K114" s="2">
        <f>86400/57720</f>
        <v>1.496881496881497</v>
      </c>
      <c r="L114" s="2">
        <f>110400/56610</f>
        <v>1.9501854795972442</v>
      </c>
      <c r="M114" s="2">
        <f t="shared" si="13"/>
        <v>1.842344842147045</v>
      </c>
      <c r="N114" s="1">
        <v>1</v>
      </c>
      <c r="O114" s="1">
        <v>18</v>
      </c>
      <c r="P114" s="2">
        <f>5397/57730</f>
        <v>9.3486921877706561E-2</v>
      </c>
      <c r="Q114" s="1">
        <f>P114/L114</f>
        <v>4.7937451517182685E-2</v>
      </c>
      <c r="R114" s="1">
        <v>0</v>
      </c>
      <c r="W114" s="16"/>
    </row>
    <row r="115" spans="1:23" x14ac:dyDescent="0.25">
      <c r="A115" s="4">
        <v>114</v>
      </c>
      <c r="B115" s="4" t="s">
        <v>68</v>
      </c>
      <c r="C115" s="5">
        <v>2</v>
      </c>
      <c r="D115" s="5" t="s">
        <v>54</v>
      </c>
      <c r="E115" s="5">
        <v>2</v>
      </c>
      <c r="F115" s="5">
        <v>3</v>
      </c>
      <c r="G115" s="5" t="str">
        <f t="shared" si="10"/>
        <v>BGV007927_C</v>
      </c>
      <c r="H115" s="5" t="s">
        <v>55</v>
      </c>
      <c r="I115" s="2">
        <f>15090/62750</f>
        <v>0.2404780876494024</v>
      </c>
      <c r="J115" s="2">
        <f>34410/104800</f>
        <v>0.32833969465648855</v>
      </c>
      <c r="K115" s="2">
        <f>81290/57720</f>
        <v>1.4083506583506584</v>
      </c>
      <c r="L115" s="2">
        <f>108800/56610</f>
        <v>1.9219219219219219</v>
      </c>
      <c r="M115" s="2">
        <f t="shared" si="13"/>
        <v>1.6814438342725195</v>
      </c>
      <c r="N115" s="1">
        <v>1</v>
      </c>
      <c r="O115" s="1">
        <v>18</v>
      </c>
      <c r="P115" s="2">
        <f>37430/57730</f>
        <v>0.6483630694612853</v>
      </c>
      <c r="Q115" s="1">
        <f>P115/L115</f>
        <v>0.337351409579075</v>
      </c>
      <c r="R115" s="1">
        <v>0</v>
      </c>
      <c r="W115" s="16"/>
    </row>
    <row r="116" spans="1:23" x14ac:dyDescent="0.25">
      <c r="A116" s="4">
        <v>115</v>
      </c>
      <c r="B116" s="4" t="s">
        <v>68</v>
      </c>
      <c r="C116" s="5">
        <v>3</v>
      </c>
      <c r="D116" s="5" t="s">
        <v>50</v>
      </c>
      <c r="E116" s="5">
        <v>2</v>
      </c>
      <c r="F116" s="5">
        <v>2</v>
      </c>
      <c r="G116" s="5" t="str">
        <f t="shared" si="10"/>
        <v>BGV007927_A</v>
      </c>
      <c r="H116" s="5" t="s">
        <v>56</v>
      </c>
      <c r="I116" s="2">
        <f>17470/104800</f>
        <v>0.16669847328244275</v>
      </c>
      <c r="J116" s="2">
        <f>12780/62750</f>
        <v>0.20366533864541833</v>
      </c>
      <c r="K116" s="2">
        <f>58180/57720</f>
        <v>1.0079695079695079</v>
      </c>
      <c r="L116" s="2">
        <f>69680/56610</f>
        <v>1.2308779367602898</v>
      </c>
      <c r="M116" s="2">
        <f t="shared" si="13"/>
        <v>1.064179463477847</v>
      </c>
      <c r="N116" s="1">
        <v>0</v>
      </c>
      <c r="W116" s="16"/>
    </row>
    <row r="117" spans="1:23" x14ac:dyDescent="0.25">
      <c r="A117" s="4">
        <v>116</v>
      </c>
      <c r="B117" s="4" t="s">
        <v>68</v>
      </c>
      <c r="C117" s="5">
        <v>3</v>
      </c>
      <c r="D117" s="5" t="s">
        <v>52</v>
      </c>
      <c r="E117" s="5">
        <v>2</v>
      </c>
      <c r="F117" s="5">
        <v>1</v>
      </c>
      <c r="G117" s="5" t="str">
        <f t="shared" si="10"/>
        <v>BGV007927_B</v>
      </c>
      <c r="H117" s="5" t="s">
        <v>67</v>
      </c>
      <c r="I117" s="2">
        <f>6186/62750</f>
        <v>9.8581673306772907E-2</v>
      </c>
      <c r="J117" s="2">
        <f>17490/104800</f>
        <v>0.16688931297709925</v>
      </c>
      <c r="K117" s="2">
        <f>57180/57720</f>
        <v>0.99064449064449067</v>
      </c>
      <c r="L117" s="2">
        <f>83590/56610</f>
        <v>1.4765942413001236</v>
      </c>
      <c r="M117" s="2">
        <f t="shared" si="13"/>
        <v>1.3780125679933508</v>
      </c>
      <c r="N117" s="1">
        <v>0</v>
      </c>
      <c r="W117" s="16"/>
    </row>
    <row r="118" spans="1:23" x14ac:dyDescent="0.25">
      <c r="A118" s="4">
        <v>117</v>
      </c>
      <c r="B118" s="4" t="s">
        <v>68</v>
      </c>
      <c r="C118" s="5">
        <v>3</v>
      </c>
      <c r="D118" s="5" t="s">
        <v>54</v>
      </c>
      <c r="E118" s="5">
        <v>2</v>
      </c>
      <c r="F118" s="5">
        <v>1</v>
      </c>
      <c r="G118" s="5" t="str">
        <f t="shared" si="10"/>
        <v>BGV007927_C</v>
      </c>
      <c r="H118" s="5" t="s">
        <v>58</v>
      </c>
      <c r="I118" s="2">
        <f>5701/62750</f>
        <v>9.0852589641434264E-2</v>
      </c>
      <c r="J118" s="2">
        <f>14290/104800</f>
        <v>0.13635496183206106</v>
      </c>
      <c r="K118" s="2">
        <f>70200/57720</f>
        <v>1.2162162162162162</v>
      </c>
      <c r="L118" s="2">
        <f>73330/56610</f>
        <v>1.2953541777071189</v>
      </c>
      <c r="M118" s="2">
        <f t="shared" si="13"/>
        <v>1.2045015880656846</v>
      </c>
      <c r="N118" s="1">
        <v>1</v>
      </c>
      <c r="O118" s="1">
        <v>21</v>
      </c>
      <c r="P118" s="2">
        <f>17550/57730</f>
        <v>0.30400138576130259</v>
      </c>
      <c r="Q118" s="1">
        <f>P118/L118</f>
        <v>0.23468591910469574</v>
      </c>
      <c r="R118" s="1">
        <v>0</v>
      </c>
      <c r="W118" s="16"/>
    </row>
    <row r="119" spans="1:23" x14ac:dyDescent="0.25">
      <c r="A119" s="4">
        <v>118</v>
      </c>
      <c r="B119" s="4" t="s">
        <v>68</v>
      </c>
      <c r="C119" s="5">
        <v>4</v>
      </c>
      <c r="D119" s="5" t="s">
        <v>50</v>
      </c>
      <c r="E119" s="5">
        <v>2</v>
      </c>
      <c r="F119" s="5">
        <v>1</v>
      </c>
      <c r="G119" s="5" t="str">
        <f t="shared" si="10"/>
        <v>BGV007927_A</v>
      </c>
      <c r="H119" s="5" t="s">
        <v>51</v>
      </c>
      <c r="I119" s="2">
        <f>8067/104800</f>
        <v>7.697519083969466E-2</v>
      </c>
      <c r="J119" s="2">
        <f>6188/62750</f>
        <v>9.8613545816733067E-2</v>
      </c>
      <c r="K119" s="2">
        <f>82330/57720</f>
        <v>1.4263686763686763</v>
      </c>
      <c r="L119" s="2">
        <f>109600/56610</f>
        <v>1.9360537007595831</v>
      </c>
      <c r="M119" s="2">
        <f t="shared" si="13"/>
        <v>1.8590785099198883</v>
      </c>
      <c r="N119" s="1">
        <v>0</v>
      </c>
      <c r="W119" s="16"/>
    </row>
    <row r="120" spans="1:23" x14ac:dyDescent="0.25">
      <c r="A120" s="4">
        <v>119</v>
      </c>
      <c r="B120" s="4" t="s">
        <v>68</v>
      </c>
      <c r="C120" s="5">
        <v>4</v>
      </c>
      <c r="D120" s="5" t="s">
        <v>52</v>
      </c>
      <c r="E120" s="5">
        <v>2</v>
      </c>
      <c r="F120" s="5">
        <v>1</v>
      </c>
      <c r="G120" s="5" t="str">
        <f t="shared" si="10"/>
        <v>BGV007927_B</v>
      </c>
      <c r="H120" s="5" t="s">
        <v>67</v>
      </c>
      <c r="I120" s="2">
        <f>5280/62750</f>
        <v>8.4143426294820717E-2</v>
      </c>
      <c r="J120" s="2">
        <f>15420/104800</f>
        <v>0.14713740458015268</v>
      </c>
      <c r="K120" s="2">
        <f>72410/57720</f>
        <v>1.2545045045045045</v>
      </c>
      <c r="L120" s="2">
        <f>94130/56610</f>
        <v>1.6627804274863098</v>
      </c>
      <c r="M120" s="2">
        <f t="shared" si="13"/>
        <v>1.5786370011914892</v>
      </c>
      <c r="N120" s="1">
        <v>0</v>
      </c>
      <c r="W120" s="16"/>
    </row>
    <row r="121" spans="1:23" x14ac:dyDescent="0.25">
      <c r="A121" s="4">
        <v>120</v>
      </c>
      <c r="B121" s="4" t="s">
        <v>68</v>
      </c>
      <c r="C121" s="5">
        <v>4</v>
      </c>
      <c r="D121" s="5" t="s">
        <v>54</v>
      </c>
      <c r="E121" s="5">
        <v>2</v>
      </c>
      <c r="F121" s="5">
        <v>2</v>
      </c>
      <c r="G121" s="5" t="str">
        <f t="shared" si="10"/>
        <v>BGV007927_C</v>
      </c>
      <c r="H121" s="5" t="s">
        <v>63</v>
      </c>
      <c r="I121" s="2">
        <f>8766/62750</f>
        <v>0.13969721115537848</v>
      </c>
      <c r="J121" s="2">
        <f>16500/104800</f>
        <v>0.15744274809160305</v>
      </c>
      <c r="K121" s="2">
        <f>67630/57720</f>
        <v>1.1716909216909217</v>
      </c>
      <c r="L121" s="2">
        <f>84450/56610</f>
        <v>1.4917859035506094</v>
      </c>
      <c r="M121" s="2">
        <f t="shared" si="13"/>
        <v>1.3520886923952309</v>
      </c>
      <c r="N121" s="1">
        <v>0</v>
      </c>
      <c r="W121" s="16"/>
    </row>
    <row r="122" spans="1:23" x14ac:dyDescent="0.25">
      <c r="A122" s="4">
        <v>121</v>
      </c>
      <c r="B122" s="4" t="s">
        <v>68</v>
      </c>
      <c r="C122" s="5">
        <v>5</v>
      </c>
      <c r="D122" s="5" t="s">
        <v>50</v>
      </c>
      <c r="E122" s="5">
        <v>2</v>
      </c>
      <c r="F122" s="5">
        <v>3</v>
      </c>
      <c r="G122" s="5" t="str">
        <f t="shared" si="10"/>
        <v>BGV007927_A</v>
      </c>
      <c r="H122" s="5" t="s">
        <v>62</v>
      </c>
      <c r="I122" s="2">
        <f>27690/104800</f>
        <v>0.26421755725190837</v>
      </c>
      <c r="J122" s="2">
        <f>17600/62750</f>
        <v>0.28047808764940241</v>
      </c>
      <c r="K122" s="2">
        <f>81050/57720</f>
        <v>1.4041926541926542</v>
      </c>
      <c r="L122" s="2">
        <f>91960/56610</f>
        <v>1.6244479773891538</v>
      </c>
      <c r="M122" s="2">
        <f t="shared" si="13"/>
        <v>1.3602304201372455</v>
      </c>
      <c r="N122" s="1">
        <v>1</v>
      </c>
      <c r="O122" s="1">
        <v>18</v>
      </c>
      <c r="P122" s="2">
        <f>28940/57730</f>
        <v>0.50129915122120217</v>
      </c>
      <c r="Q122" s="1">
        <f>P122/L122</f>
        <v>0.30859661755798451</v>
      </c>
      <c r="R122" s="1">
        <v>0</v>
      </c>
      <c r="W122" s="16"/>
    </row>
    <row r="123" spans="1:23" x14ac:dyDescent="0.25">
      <c r="A123" s="4">
        <v>122</v>
      </c>
      <c r="B123" s="4" t="s">
        <v>68</v>
      </c>
      <c r="C123" s="5">
        <v>5</v>
      </c>
      <c r="D123" s="5" t="s">
        <v>52</v>
      </c>
      <c r="E123" s="5">
        <v>2</v>
      </c>
      <c r="F123" s="5">
        <v>1</v>
      </c>
      <c r="G123" s="5" t="str">
        <f t="shared" si="10"/>
        <v>BGV007927_B</v>
      </c>
      <c r="H123" s="5" t="s">
        <v>67</v>
      </c>
      <c r="I123" s="2">
        <f>4158/62750</f>
        <v>6.626294820717131E-2</v>
      </c>
      <c r="J123" s="2">
        <f>9800/104800</f>
        <v>9.3511450381679392E-2</v>
      </c>
      <c r="K123" s="2">
        <f>113700/57720</f>
        <v>1.9698544698544698</v>
      </c>
      <c r="L123" s="2">
        <f>145200/56610</f>
        <v>2.5649178590355062</v>
      </c>
      <c r="M123" s="2">
        <f t="shared" si="13"/>
        <v>2.4986549108283347</v>
      </c>
      <c r="N123" s="1">
        <v>1</v>
      </c>
      <c r="O123" s="1">
        <v>21</v>
      </c>
      <c r="P123" s="2">
        <f>31330/57730</f>
        <v>0.54269877013684398</v>
      </c>
      <c r="Q123" s="1">
        <f>P123/L123</f>
        <v>0.21158524364632739</v>
      </c>
      <c r="R123" s="1">
        <v>0</v>
      </c>
      <c r="W123" s="16"/>
    </row>
    <row r="124" spans="1:23" x14ac:dyDescent="0.25">
      <c r="A124" s="4">
        <v>123</v>
      </c>
      <c r="B124" s="4" t="s">
        <v>68</v>
      </c>
      <c r="C124" s="5">
        <v>5</v>
      </c>
      <c r="D124" s="5" t="s">
        <v>54</v>
      </c>
      <c r="E124" s="5">
        <v>2</v>
      </c>
      <c r="F124" s="5">
        <v>2</v>
      </c>
      <c r="G124" s="5" t="str">
        <f t="shared" si="10"/>
        <v>BGV007927_C</v>
      </c>
      <c r="H124" s="5" t="s">
        <v>63</v>
      </c>
      <c r="I124" s="2">
        <f>10240/62750</f>
        <v>0.16318725099601594</v>
      </c>
      <c r="J124" s="2">
        <f>20470/104800</f>
        <v>0.19532442748091602</v>
      </c>
      <c r="K124" s="2">
        <f>64680/57720</f>
        <v>1.1205821205821205</v>
      </c>
      <c r="L124" s="2">
        <f>89100/56610</f>
        <v>1.5739268680445151</v>
      </c>
      <c r="M124" s="2">
        <f t="shared" si="13"/>
        <v>1.4107396170484992</v>
      </c>
      <c r="N124" s="1">
        <v>0</v>
      </c>
      <c r="W124" s="16"/>
    </row>
    <row r="125" spans="1:23" x14ac:dyDescent="0.25">
      <c r="A125" s="4">
        <v>124</v>
      </c>
      <c r="B125" s="4" t="s">
        <v>68</v>
      </c>
      <c r="C125" s="5">
        <v>6</v>
      </c>
      <c r="D125" s="5" t="s">
        <v>50</v>
      </c>
      <c r="E125" s="5">
        <v>2</v>
      </c>
      <c r="F125" s="5">
        <v>1</v>
      </c>
      <c r="G125" s="5" t="str">
        <f t="shared" si="10"/>
        <v>BGV007927_A</v>
      </c>
      <c r="H125" s="5" t="s">
        <v>51</v>
      </c>
      <c r="I125" s="2">
        <f>6773/62750</f>
        <v>0.10793625498007968</v>
      </c>
      <c r="J125" s="2">
        <f>19530/104800</f>
        <v>0.18635496183206107</v>
      </c>
      <c r="K125" s="2">
        <f>28000/57720</f>
        <v>0.48510048510048509</v>
      </c>
      <c r="L125" s="2">
        <f>40090/56610</f>
        <v>0.70817876700229643</v>
      </c>
      <c r="M125" s="2">
        <f t="shared" si="13"/>
        <v>0.60024251202221679</v>
      </c>
      <c r="N125" s="1">
        <v>1</v>
      </c>
      <c r="O125" s="1">
        <v>19</v>
      </c>
      <c r="P125" s="2">
        <f>10980/57730</f>
        <v>0.19019573878399446</v>
      </c>
      <c r="Q125" s="1">
        <f>P125/L125</f>
        <v>0.26857023628241272</v>
      </c>
      <c r="R125" s="1">
        <v>1</v>
      </c>
      <c r="S125" s="1">
        <v>28</v>
      </c>
      <c r="T125" s="1">
        <v>33</v>
      </c>
      <c r="U125" s="1">
        <v>7</v>
      </c>
      <c r="V125" s="1">
        <v>5</v>
      </c>
      <c r="W125" s="16">
        <f>V125/U125</f>
        <v>0.7142857142857143</v>
      </c>
    </row>
    <row r="126" spans="1:23" x14ac:dyDescent="0.25">
      <c r="A126" s="4">
        <v>125</v>
      </c>
      <c r="B126" s="4" t="s">
        <v>68</v>
      </c>
      <c r="C126" s="5">
        <v>6</v>
      </c>
      <c r="D126" s="5" t="s">
        <v>52</v>
      </c>
      <c r="E126" s="5">
        <v>2</v>
      </c>
      <c r="F126" s="5">
        <v>3</v>
      </c>
      <c r="G126" s="5" t="str">
        <f t="shared" si="10"/>
        <v>BGV007927_B</v>
      </c>
      <c r="H126" s="5" t="s">
        <v>59</v>
      </c>
      <c r="I126" s="2">
        <f>15210/62750</f>
        <v>0.24239043824701195</v>
      </c>
      <c r="J126" s="2">
        <f>26230/104800</f>
        <v>0.25028625954198475</v>
      </c>
      <c r="K126" s="2">
        <f>88950/57720</f>
        <v>1.5410602910602911</v>
      </c>
      <c r="L126" s="2">
        <f>26630/56610</f>
        <v>0.47041158805864686</v>
      </c>
      <c r="M126" s="2">
        <f t="shared" si="13"/>
        <v>0.2280211498116349</v>
      </c>
      <c r="N126" s="1">
        <v>0</v>
      </c>
      <c r="W126" s="16"/>
    </row>
    <row r="127" spans="1:23" x14ac:dyDescent="0.25">
      <c r="A127" s="4">
        <v>126</v>
      </c>
      <c r="B127" s="4" t="s">
        <v>68</v>
      </c>
      <c r="C127" s="5">
        <v>6</v>
      </c>
      <c r="D127" s="5" t="s">
        <v>54</v>
      </c>
      <c r="E127" s="5">
        <v>2</v>
      </c>
      <c r="F127" s="5">
        <v>1</v>
      </c>
      <c r="G127" s="5" t="str">
        <f t="shared" si="10"/>
        <v>BGV007927_C</v>
      </c>
      <c r="H127" s="5" t="s">
        <v>58</v>
      </c>
      <c r="I127" s="2">
        <f>5868/62750</f>
        <v>9.3513944223107576E-2</v>
      </c>
      <c r="J127" s="2">
        <f>10580/104800</f>
        <v>0.10095419847328244</v>
      </c>
      <c r="K127" s="2">
        <f>78520/57720</f>
        <v>1.3603603603603605</v>
      </c>
      <c r="L127" s="2">
        <f>67610/56610</f>
        <v>1.1943119590178413</v>
      </c>
      <c r="M127" s="2">
        <f t="shared" si="13"/>
        <v>1.1007980147947336</v>
      </c>
      <c r="N127" s="1">
        <v>0</v>
      </c>
      <c r="W127" s="16"/>
    </row>
    <row r="128" spans="1:23" x14ac:dyDescent="0.25">
      <c r="A128" s="4">
        <v>127</v>
      </c>
      <c r="B128" s="4" t="s">
        <v>68</v>
      </c>
      <c r="C128" s="5">
        <v>7</v>
      </c>
      <c r="D128" s="5" t="s">
        <v>50</v>
      </c>
      <c r="E128" s="5">
        <v>2</v>
      </c>
      <c r="F128" s="5">
        <v>2</v>
      </c>
      <c r="G128" s="5" t="str">
        <f t="shared" si="10"/>
        <v>BGV007927_A</v>
      </c>
      <c r="H128" s="5" t="s">
        <v>56</v>
      </c>
      <c r="I128" s="2">
        <f>12170/62750</f>
        <v>0.19394422310756973</v>
      </c>
      <c r="J128" s="2">
        <f>39070/104800</f>
        <v>0.37280534351145039</v>
      </c>
      <c r="K128" s="2">
        <f>42700/57720</f>
        <v>0.73977823977823975</v>
      </c>
      <c r="L128" s="2">
        <f>58540/56610</f>
        <v>1.0340929164458577</v>
      </c>
      <c r="M128" s="2">
        <f t="shared" si="13"/>
        <v>0.8401486933382879</v>
      </c>
      <c r="N128" s="1">
        <v>0</v>
      </c>
      <c r="W128" s="16"/>
    </row>
    <row r="129" spans="1:23" x14ac:dyDescent="0.25">
      <c r="A129" s="4">
        <v>128</v>
      </c>
      <c r="B129" s="4" t="s">
        <v>68</v>
      </c>
      <c r="C129" s="5">
        <v>7</v>
      </c>
      <c r="D129" s="5" t="s">
        <v>52</v>
      </c>
      <c r="E129" s="5">
        <v>2</v>
      </c>
      <c r="F129" s="5">
        <v>1</v>
      </c>
      <c r="G129" s="5" t="str">
        <f t="shared" ref="G129:G192" si="14">CONCATENATE(B129,"_",D129)</f>
        <v>BGV007927_B</v>
      </c>
      <c r="H129" s="5" t="s">
        <v>67</v>
      </c>
      <c r="I129" s="2">
        <f>8022/62750</f>
        <v>0.12784063745019919</v>
      </c>
      <c r="J129" s="2">
        <f>27670/104800</f>
        <v>0.26402671755725193</v>
      </c>
      <c r="K129" s="2">
        <f>34580/57720</f>
        <v>0.59909909909909909</v>
      </c>
      <c r="L129" s="2">
        <f>40390/56610</f>
        <v>0.71347818406641939</v>
      </c>
      <c r="M129" s="2">
        <f t="shared" si="13"/>
        <v>0.58563754661622025</v>
      </c>
      <c r="N129" s="1">
        <v>0</v>
      </c>
      <c r="W129" s="16"/>
    </row>
    <row r="130" spans="1:23" x14ac:dyDescent="0.25">
      <c r="A130" s="4">
        <v>129</v>
      </c>
      <c r="B130" s="4" t="s">
        <v>68</v>
      </c>
      <c r="C130" s="5">
        <v>7</v>
      </c>
      <c r="D130" s="5" t="s">
        <v>54</v>
      </c>
      <c r="E130" s="5">
        <v>2</v>
      </c>
      <c r="F130" s="5">
        <v>4</v>
      </c>
      <c r="G130" s="5" t="str">
        <f t="shared" si="14"/>
        <v>BGV007927_C</v>
      </c>
      <c r="H130" s="5" t="s">
        <v>60</v>
      </c>
      <c r="I130" s="2">
        <f>22830/62750</f>
        <v>0.36382470119521915</v>
      </c>
      <c r="J130" s="2">
        <f>61340/104800</f>
        <v>0.58530534351145036</v>
      </c>
      <c r="K130" s="2">
        <f>28720/57720</f>
        <v>0.49757449757449757</v>
      </c>
      <c r="L130" s="2">
        <f>62530/56610</f>
        <v>1.1045751633986929</v>
      </c>
      <c r="M130" s="2">
        <f t="shared" si="13"/>
        <v>0.74075046220347374</v>
      </c>
      <c r="N130" s="1">
        <v>1</v>
      </c>
      <c r="O130" s="1">
        <v>20</v>
      </c>
      <c r="P130" s="2">
        <f>43400/57730</f>
        <v>0.7517755066689763</v>
      </c>
      <c r="Q130" s="1">
        <f>P130/L130</f>
        <v>0.68060149420327432</v>
      </c>
      <c r="R130" s="1">
        <v>1</v>
      </c>
      <c r="S130" s="1">
        <v>28</v>
      </c>
      <c r="T130" s="1">
        <v>33</v>
      </c>
      <c r="U130" s="1">
        <v>4</v>
      </c>
      <c r="V130" s="1">
        <v>4</v>
      </c>
      <c r="W130" s="16">
        <f>V130/U130</f>
        <v>1</v>
      </c>
    </row>
    <row r="131" spans="1:23" x14ac:dyDescent="0.25">
      <c r="A131" s="4">
        <v>130</v>
      </c>
      <c r="B131" s="4" t="s">
        <v>68</v>
      </c>
      <c r="C131" s="5">
        <v>8</v>
      </c>
      <c r="D131" s="5" t="s">
        <v>50</v>
      </c>
      <c r="E131" s="5">
        <v>2</v>
      </c>
      <c r="F131" s="5">
        <v>3</v>
      </c>
      <c r="G131" s="5" t="str">
        <f t="shared" si="14"/>
        <v>BGV007927_A</v>
      </c>
      <c r="H131" s="5" t="s">
        <v>62</v>
      </c>
      <c r="I131" s="2">
        <f>16180/62750</f>
        <v>0.25784860557768924</v>
      </c>
      <c r="J131" s="2">
        <f>52940/104800</f>
        <v>0.5051526717557252</v>
      </c>
      <c r="K131" s="2">
        <f>39630/57720</f>
        <v>0.68659043659043661</v>
      </c>
      <c r="L131" s="2">
        <f>21960/56610</f>
        <v>0.38791732909379967</v>
      </c>
      <c r="M131" s="2">
        <f t="shared" si="13"/>
        <v>0.13006872351611043</v>
      </c>
      <c r="N131" s="1">
        <v>0</v>
      </c>
      <c r="W131" s="16"/>
    </row>
    <row r="132" spans="1:23" x14ac:dyDescent="0.25">
      <c r="A132" s="4">
        <v>131</v>
      </c>
      <c r="B132" s="4" t="s">
        <v>68</v>
      </c>
      <c r="C132" s="5">
        <v>8</v>
      </c>
      <c r="D132" s="5" t="s">
        <v>52</v>
      </c>
      <c r="E132" s="5">
        <v>2</v>
      </c>
      <c r="F132" s="5">
        <v>2</v>
      </c>
      <c r="G132" s="5" t="str">
        <f t="shared" si="14"/>
        <v>BGV007927_B</v>
      </c>
      <c r="H132" s="5" t="s">
        <v>57</v>
      </c>
      <c r="I132" s="2">
        <f>10690/62750</f>
        <v>0.1703585657370518</v>
      </c>
      <c r="J132" s="2">
        <f>48390/104800</f>
        <v>0.46173664122137403</v>
      </c>
      <c r="K132" s="2">
        <f>13920/57720</f>
        <v>0.24116424116424118</v>
      </c>
      <c r="L132" s="2">
        <f>72070/56610</f>
        <v>1.2730966260378025</v>
      </c>
      <c r="M132" s="2">
        <f t="shared" si="13"/>
        <v>1.1027380603007506</v>
      </c>
      <c r="N132" s="1">
        <v>0</v>
      </c>
      <c r="W132" s="16"/>
    </row>
    <row r="133" spans="1:23" x14ac:dyDescent="0.25">
      <c r="A133" s="4">
        <v>132</v>
      </c>
      <c r="B133" s="4" t="s">
        <v>68</v>
      </c>
      <c r="C133" s="5">
        <v>8</v>
      </c>
      <c r="D133" s="5" t="s">
        <v>54</v>
      </c>
      <c r="E133" s="5">
        <v>2</v>
      </c>
      <c r="F133" s="5">
        <v>6</v>
      </c>
      <c r="G133" s="5" t="str">
        <f t="shared" si="14"/>
        <v>BGV007927_C</v>
      </c>
      <c r="H133" s="5" t="s">
        <v>66</v>
      </c>
      <c r="I133" s="2">
        <f>37960/62750</f>
        <v>0.60494023904382466</v>
      </c>
      <c r="J133" s="2">
        <f>34880/56610</f>
        <v>0.61614555732202791</v>
      </c>
      <c r="K133" s="2">
        <f>84630/104800</f>
        <v>0.80753816793893129</v>
      </c>
      <c r="L133" s="2">
        <f>46680/57720</f>
        <v>0.80873180873180872</v>
      </c>
      <c r="M133" s="2">
        <f t="shared" si="13"/>
        <v>0.20379156968798406</v>
      </c>
      <c r="N133" s="1">
        <v>1</v>
      </c>
      <c r="O133" s="1">
        <v>17</v>
      </c>
      <c r="P133" s="2">
        <f>34700/57730</f>
        <v>0.60107396500952714</v>
      </c>
      <c r="Q133" s="1">
        <f>P133/L133</f>
        <v>0.74323027550021226</v>
      </c>
      <c r="R133" s="1">
        <v>1</v>
      </c>
      <c r="S133" s="1">
        <v>24</v>
      </c>
      <c r="T133" s="1">
        <v>30</v>
      </c>
      <c r="U133" s="1">
        <v>4</v>
      </c>
      <c r="V133" s="1">
        <v>3</v>
      </c>
      <c r="W133" s="16">
        <f>V133/U133</f>
        <v>0.75</v>
      </c>
    </row>
    <row r="134" spans="1:23" x14ac:dyDescent="0.25">
      <c r="A134" s="4">
        <v>133</v>
      </c>
      <c r="B134" s="4" t="s">
        <v>68</v>
      </c>
      <c r="C134" s="5">
        <v>9</v>
      </c>
      <c r="D134" s="5" t="s">
        <v>50</v>
      </c>
      <c r="E134" s="5">
        <v>2</v>
      </c>
      <c r="F134" s="5">
        <v>3</v>
      </c>
      <c r="G134" s="5" t="str">
        <f t="shared" si="14"/>
        <v>BGV007927_A</v>
      </c>
      <c r="H134" s="5" t="s">
        <v>62</v>
      </c>
      <c r="I134" s="2">
        <f>15410/62750</f>
        <v>0.24557768924302789</v>
      </c>
      <c r="J134" s="2">
        <f>39330/104800</f>
        <v>0.37528625954198475</v>
      </c>
      <c r="K134" s="2">
        <f>23230/57720</f>
        <v>0.40246015246015249</v>
      </c>
      <c r="L134" s="2">
        <f>26030/56610</f>
        <v>0.459812753930401</v>
      </c>
      <c r="M134" s="2">
        <f t="shared" si="13"/>
        <v>0.21423506468737311</v>
      </c>
      <c r="N134" s="1">
        <v>1</v>
      </c>
      <c r="O134" s="1">
        <v>17</v>
      </c>
      <c r="P134" s="2">
        <f>12710/57730</f>
        <v>0.22016282695305733</v>
      </c>
      <c r="Q134" s="1">
        <f>P134/L134</f>
        <v>0.47880974390367176</v>
      </c>
      <c r="R134" s="1">
        <v>1</v>
      </c>
      <c r="S134" s="1">
        <v>29</v>
      </c>
      <c r="T134" s="1">
        <v>35</v>
      </c>
      <c r="U134" s="1">
        <v>7</v>
      </c>
      <c r="V134" s="1">
        <v>5</v>
      </c>
      <c r="W134" s="16">
        <f>V134/U134</f>
        <v>0.7142857142857143</v>
      </c>
    </row>
    <row r="135" spans="1:23" x14ac:dyDescent="0.25">
      <c r="A135" s="4">
        <v>134</v>
      </c>
      <c r="B135" s="4" t="s">
        <v>68</v>
      </c>
      <c r="C135" s="5">
        <v>9</v>
      </c>
      <c r="D135" s="5" t="s">
        <v>52</v>
      </c>
      <c r="E135" s="5">
        <v>2</v>
      </c>
      <c r="F135" s="5">
        <v>1</v>
      </c>
      <c r="G135" s="5" t="str">
        <f t="shared" si="14"/>
        <v>BGV007927_B</v>
      </c>
      <c r="H135" s="5" t="s">
        <v>67</v>
      </c>
      <c r="I135" s="2">
        <f>6264/62750</f>
        <v>9.982470119521912E-2</v>
      </c>
      <c r="J135" s="2">
        <f>51590/104800</f>
        <v>0.4922709923664122</v>
      </c>
      <c r="K135" s="2">
        <f>24160/57720</f>
        <v>0.41857241857241856</v>
      </c>
      <c r="L135" s="2">
        <f>44130/56610</f>
        <v>0.77954425013248541</v>
      </c>
      <c r="M135" s="2">
        <f t="shared" si="13"/>
        <v>0.67971954893726627</v>
      </c>
      <c r="N135" s="1">
        <v>0</v>
      </c>
      <c r="W135" s="16"/>
    </row>
    <row r="136" spans="1:23" x14ac:dyDescent="0.25">
      <c r="A136" s="4">
        <v>135</v>
      </c>
      <c r="B136" s="4" t="s">
        <v>68</v>
      </c>
      <c r="C136" s="5">
        <v>9</v>
      </c>
      <c r="D136" s="5" t="s">
        <v>54</v>
      </c>
      <c r="E136" s="5">
        <v>2</v>
      </c>
      <c r="F136" s="5">
        <v>1</v>
      </c>
      <c r="G136" s="5" t="str">
        <f t="shared" si="14"/>
        <v>BGV007927_C</v>
      </c>
      <c r="H136" s="5" t="s">
        <v>58</v>
      </c>
      <c r="I136" s="2">
        <f>7747/62750</f>
        <v>0.12345816733067728</v>
      </c>
      <c r="J136" s="2">
        <f>37650/104800</f>
        <v>0.3592557251908397</v>
      </c>
      <c r="K136" s="2">
        <f>32800/57720</f>
        <v>0.56826056826056826</v>
      </c>
      <c r="L136" s="2">
        <f>33260/56610</f>
        <v>0.58752870517576405</v>
      </c>
      <c r="M136" s="2">
        <f t="shared" si="13"/>
        <v>0.46407053784508678</v>
      </c>
      <c r="N136" s="1">
        <v>0</v>
      </c>
      <c r="W136" s="16"/>
    </row>
    <row r="137" spans="1:23" x14ac:dyDescent="0.25">
      <c r="A137" s="4">
        <v>136</v>
      </c>
      <c r="B137" s="4" t="s">
        <v>68</v>
      </c>
      <c r="C137" s="5">
        <v>10</v>
      </c>
      <c r="D137" s="5" t="s">
        <v>50</v>
      </c>
      <c r="E137" s="5">
        <v>2</v>
      </c>
      <c r="F137" s="5">
        <v>2</v>
      </c>
      <c r="G137" s="5" t="str">
        <f t="shared" si="14"/>
        <v>BGV007927_A</v>
      </c>
      <c r="H137" s="5" t="s">
        <v>56</v>
      </c>
      <c r="I137" s="2">
        <f>11360/62750</f>
        <v>0.18103585657370519</v>
      </c>
      <c r="J137" s="2">
        <f>17680/56610</f>
        <v>0.31231231231231232</v>
      </c>
      <c r="K137" s="2">
        <f>36860/104800</f>
        <v>0.3517175572519084</v>
      </c>
      <c r="L137" s="2">
        <f>26970/57720</f>
        <v>0.46725571725571724</v>
      </c>
      <c r="M137" s="2">
        <f t="shared" si="13"/>
        <v>0.28621986068201205</v>
      </c>
      <c r="N137" s="1">
        <v>0</v>
      </c>
      <c r="W137" s="16"/>
    </row>
    <row r="138" spans="1:23" x14ac:dyDescent="0.25">
      <c r="A138" s="4">
        <v>137</v>
      </c>
      <c r="B138" s="4" t="s">
        <v>68</v>
      </c>
      <c r="C138" s="5">
        <v>10</v>
      </c>
      <c r="D138" s="5" t="s">
        <v>52</v>
      </c>
      <c r="E138" s="5">
        <v>2</v>
      </c>
      <c r="F138" s="5">
        <v>2</v>
      </c>
      <c r="G138" s="5" t="str">
        <f t="shared" si="14"/>
        <v>BGV007927_B</v>
      </c>
      <c r="H138" s="5" t="s">
        <v>57</v>
      </c>
      <c r="I138" s="2">
        <f>12040/57720</f>
        <v>0.2085932085932086</v>
      </c>
      <c r="J138" s="2">
        <f>26840/104800</f>
        <v>0.25610687022900763</v>
      </c>
      <c r="K138" s="2">
        <f>21680/62750</f>
        <v>0.34549800796812746</v>
      </c>
      <c r="L138" s="2">
        <f>68160/56610</f>
        <v>1.2040275569687335</v>
      </c>
      <c r="M138" s="2">
        <f t="shared" si="13"/>
        <v>0.99543434837552491</v>
      </c>
      <c r="N138" s="1">
        <v>0</v>
      </c>
      <c r="W138" s="16"/>
    </row>
    <row r="139" spans="1:23" x14ac:dyDescent="0.25">
      <c r="A139" s="4">
        <v>138</v>
      </c>
      <c r="B139" s="4" t="s">
        <v>68</v>
      </c>
      <c r="C139" s="5">
        <v>10</v>
      </c>
      <c r="D139" s="5" t="s">
        <v>54</v>
      </c>
      <c r="E139" s="5">
        <v>2</v>
      </c>
      <c r="F139" s="5">
        <v>4</v>
      </c>
      <c r="G139" s="5" t="str">
        <f t="shared" si="14"/>
        <v>BGV007927_C</v>
      </c>
      <c r="H139" s="5" t="s">
        <v>60</v>
      </c>
      <c r="I139" s="2">
        <f>46840/104800</f>
        <v>0.44694656488549617</v>
      </c>
      <c r="J139" s="2">
        <f>30470/62750</f>
        <v>0.48557768924302791</v>
      </c>
      <c r="K139" s="2">
        <f>30750/57720</f>
        <v>0.53274428274428276</v>
      </c>
      <c r="L139" s="2">
        <f>73200/56610</f>
        <v>1.293057763645999</v>
      </c>
      <c r="M139" s="2">
        <f t="shared" si="13"/>
        <v>0.84611119876050278</v>
      </c>
      <c r="N139" s="1">
        <v>1</v>
      </c>
      <c r="O139" s="1">
        <v>18</v>
      </c>
      <c r="P139" s="2">
        <f>21670/57730</f>
        <v>0.37536809284600725</v>
      </c>
      <c r="Q139" s="1">
        <f>P139/L139</f>
        <v>0.29029491442639987</v>
      </c>
      <c r="R139" s="1">
        <v>1</v>
      </c>
      <c r="S139" s="1">
        <v>28</v>
      </c>
      <c r="T139" s="1">
        <v>32</v>
      </c>
      <c r="U139" s="1">
        <v>8</v>
      </c>
      <c r="V139" s="1">
        <v>6</v>
      </c>
      <c r="W139" s="16">
        <f>V139/U139</f>
        <v>0.75</v>
      </c>
    </row>
    <row r="140" spans="1:23" x14ac:dyDescent="0.25">
      <c r="A140" s="4">
        <v>139</v>
      </c>
      <c r="B140" s="4" t="s">
        <v>68</v>
      </c>
      <c r="C140" s="5">
        <v>11</v>
      </c>
      <c r="D140" s="5" t="s">
        <v>50</v>
      </c>
      <c r="E140" s="5">
        <v>2</v>
      </c>
      <c r="F140" s="5">
        <v>3</v>
      </c>
      <c r="G140" s="5" t="str">
        <f t="shared" si="14"/>
        <v>BGV007927_A</v>
      </c>
      <c r="H140" s="5" t="s">
        <v>62</v>
      </c>
      <c r="I140" s="2">
        <f>16780/62750</f>
        <v>0.26741035856573703</v>
      </c>
      <c r="J140" s="2">
        <f>29720/104800</f>
        <v>0.28358778625954201</v>
      </c>
      <c r="K140" s="2">
        <f>52410/57720</f>
        <v>0.90800415800415801</v>
      </c>
      <c r="L140" s="2">
        <f>53720/56610</f>
        <v>0.94894894894894899</v>
      </c>
      <c r="M140" s="2">
        <f t="shared" si="13"/>
        <v>0.68153859038321196</v>
      </c>
      <c r="N140" s="1">
        <v>0</v>
      </c>
      <c r="W140" s="16"/>
    </row>
    <row r="141" spans="1:23" x14ac:dyDescent="0.25">
      <c r="A141" s="4">
        <v>140</v>
      </c>
      <c r="B141" s="4" t="s">
        <v>68</v>
      </c>
      <c r="C141" s="5">
        <v>11</v>
      </c>
      <c r="D141" s="5" t="s">
        <v>52</v>
      </c>
      <c r="E141" s="5">
        <v>2</v>
      </c>
      <c r="F141" s="5">
        <v>2</v>
      </c>
      <c r="G141" s="5" t="str">
        <f t="shared" si="14"/>
        <v>BGV007927_B</v>
      </c>
      <c r="H141" s="5" t="s">
        <v>57</v>
      </c>
      <c r="I141" s="2">
        <f>13700/62750</f>
        <v>0.21832669322709164</v>
      </c>
      <c r="J141" s="2">
        <f>28470/57720</f>
        <v>0.49324324324324326</v>
      </c>
      <c r="K141" s="2">
        <f>29260/56610</f>
        <v>0.5168698109874581</v>
      </c>
      <c r="L141" s="2">
        <f>102300/104800</f>
        <v>0.97614503816793896</v>
      </c>
      <c r="M141" s="2">
        <f t="shared" si="13"/>
        <v>0.75781834494084732</v>
      </c>
      <c r="N141" s="1">
        <v>1</v>
      </c>
      <c r="O141" s="1">
        <v>20</v>
      </c>
      <c r="P141" s="2">
        <f>51720/57730</f>
        <v>0.89589468214100121</v>
      </c>
      <c r="Q141" s="1">
        <f>P141/L141</f>
        <v>0.91778849157748699</v>
      </c>
      <c r="R141" s="1">
        <v>0</v>
      </c>
      <c r="W141" s="16"/>
    </row>
    <row r="142" spans="1:23" x14ac:dyDescent="0.25">
      <c r="A142" s="4">
        <v>141</v>
      </c>
      <c r="B142" s="4" t="s">
        <v>68</v>
      </c>
      <c r="C142" s="5">
        <v>11</v>
      </c>
      <c r="D142" s="5" t="s">
        <v>54</v>
      </c>
      <c r="E142" s="5">
        <v>2</v>
      </c>
      <c r="F142" s="5">
        <v>4</v>
      </c>
      <c r="G142" s="5" t="str">
        <f t="shared" si="14"/>
        <v>BGV007927_C</v>
      </c>
      <c r="H142" s="5" t="s">
        <v>60</v>
      </c>
      <c r="I142" s="2">
        <f>23020/62750</f>
        <v>0.36685258964143425</v>
      </c>
      <c r="J142" s="2">
        <f>42210/104800</f>
        <v>0.40276717557251906</v>
      </c>
      <c r="K142" s="2">
        <f>26570/57720</f>
        <v>0.46032571032571035</v>
      </c>
      <c r="L142" s="2">
        <f>43960/56610</f>
        <v>0.77654124712948247</v>
      </c>
      <c r="M142" s="2">
        <f t="shared" si="13"/>
        <v>0.40968865748804822</v>
      </c>
      <c r="N142" s="1">
        <v>0</v>
      </c>
      <c r="W142" s="16"/>
    </row>
    <row r="143" spans="1:23" x14ac:dyDescent="0.25">
      <c r="A143" s="4">
        <v>142</v>
      </c>
      <c r="B143" s="4" t="s">
        <v>68</v>
      </c>
      <c r="C143" s="5">
        <v>12</v>
      </c>
      <c r="D143" s="5" t="s">
        <v>50</v>
      </c>
      <c r="E143" s="5">
        <v>2</v>
      </c>
      <c r="F143" s="5">
        <v>1</v>
      </c>
      <c r="G143" s="5" t="str">
        <f t="shared" si="14"/>
        <v>BGV007927_A</v>
      </c>
      <c r="H143" s="5" t="s">
        <v>51</v>
      </c>
      <c r="I143" s="2">
        <f>4901/55220</f>
        <v>8.8754074610648312E-2</v>
      </c>
      <c r="J143" s="2">
        <f>14720/57720</f>
        <v>0.25502425502425502</v>
      </c>
      <c r="K143" s="2">
        <f>30290/104800</f>
        <v>0.2890267175572519</v>
      </c>
      <c r="L143" s="2">
        <f>45980/56610</f>
        <v>0.8122239886945769</v>
      </c>
      <c r="M143" s="2">
        <f t="shared" si="13"/>
        <v>0.72346991408392858</v>
      </c>
      <c r="N143" s="1">
        <v>0</v>
      </c>
      <c r="W143" s="16"/>
    </row>
    <row r="144" spans="1:23" x14ac:dyDescent="0.25">
      <c r="A144" s="4">
        <v>143</v>
      </c>
      <c r="B144" s="4" t="s">
        <v>68</v>
      </c>
      <c r="C144" s="5">
        <v>12</v>
      </c>
      <c r="D144" s="5" t="s">
        <v>52</v>
      </c>
      <c r="E144" s="5">
        <v>2</v>
      </c>
      <c r="F144" s="5">
        <v>1</v>
      </c>
      <c r="G144" s="5" t="str">
        <f t="shared" si="14"/>
        <v>BGV007927_B</v>
      </c>
      <c r="H144" s="5" t="s">
        <v>67</v>
      </c>
      <c r="I144" s="2">
        <f>1390/55220</f>
        <v>2.5172039116262222E-2</v>
      </c>
      <c r="J144" s="2">
        <f>9800/44390</f>
        <v>0.22077044379364721</v>
      </c>
      <c r="K144" s="2">
        <f>24080/104800</f>
        <v>0.22977099236641221</v>
      </c>
      <c r="L144" s="2">
        <f>55650/56610</f>
        <v>0.98304186539480654</v>
      </c>
      <c r="M144" s="2">
        <f t="shared" si="13"/>
        <v>0.95786982627854433</v>
      </c>
      <c r="N144" s="1">
        <v>1</v>
      </c>
      <c r="P144" s="2">
        <f>12020/57730</f>
        <v>0.20821063571799758</v>
      </c>
      <c r="Q144" s="1">
        <f>P144/L144</f>
        <v>0.21180240948779594</v>
      </c>
      <c r="R144" s="1">
        <v>0</v>
      </c>
      <c r="W144" s="16"/>
    </row>
    <row r="145" spans="1:23" s="10" customFormat="1" x14ac:dyDescent="0.25">
      <c r="A145" s="23">
        <v>144</v>
      </c>
      <c r="B145" s="23" t="s">
        <v>68</v>
      </c>
      <c r="C145" s="17">
        <v>12</v>
      </c>
      <c r="D145" s="17" t="s">
        <v>54</v>
      </c>
      <c r="E145" s="17">
        <v>2</v>
      </c>
      <c r="F145" s="17">
        <v>1</v>
      </c>
      <c r="G145" s="17" t="str">
        <f t="shared" si="14"/>
        <v>BGV007927_C</v>
      </c>
      <c r="H145" s="17" t="s">
        <v>58</v>
      </c>
      <c r="I145" s="10">
        <f>4944/55220</f>
        <v>8.9532777978993117E-2</v>
      </c>
      <c r="J145" s="10">
        <f>11140/44390</f>
        <v>0.25095742284298267</v>
      </c>
      <c r="K145" s="10">
        <f>36160/104800</f>
        <v>0.34503816793893127</v>
      </c>
      <c r="L145" s="10">
        <f>30990/56610</f>
        <v>0.54742978272390042</v>
      </c>
      <c r="M145" s="10">
        <f t="shared" si="13"/>
        <v>0.4578970047449073</v>
      </c>
      <c r="N145" s="9">
        <v>0</v>
      </c>
      <c r="O145" s="9"/>
      <c r="P145" s="9"/>
      <c r="Q145" s="9"/>
      <c r="R145" s="9"/>
      <c r="S145" s="9"/>
      <c r="T145" s="9"/>
      <c r="U145" s="9"/>
      <c r="V145" s="9"/>
      <c r="W145" s="18"/>
    </row>
    <row r="146" spans="1:23" s="15" customFormat="1" x14ac:dyDescent="0.25">
      <c r="A146" s="19">
        <v>145</v>
      </c>
      <c r="B146" s="19" t="s">
        <v>35</v>
      </c>
      <c r="C146" s="20">
        <v>1</v>
      </c>
      <c r="D146" s="20" t="s">
        <v>50</v>
      </c>
      <c r="E146" s="20">
        <v>1</v>
      </c>
      <c r="F146" s="20">
        <v>3</v>
      </c>
      <c r="G146" s="20" t="str">
        <f t="shared" si="14"/>
        <v>MT_A</v>
      </c>
      <c r="H146" s="20" t="s">
        <v>62</v>
      </c>
      <c r="I146" s="7">
        <v>0.26066559155549041</v>
      </c>
      <c r="J146" s="21">
        <v>0.64098011363636365</v>
      </c>
      <c r="K146" s="21">
        <v>0.66543778801843323</v>
      </c>
      <c r="L146" s="21">
        <v>1.5365805168986084</v>
      </c>
      <c r="M146" s="21">
        <f t="shared" si="13"/>
        <v>1.2759149253431179</v>
      </c>
      <c r="N146" s="7">
        <v>1</v>
      </c>
      <c r="O146" s="7">
        <v>15</v>
      </c>
      <c r="P146" s="15">
        <f>38330/63250</f>
        <v>0.60600790513833991</v>
      </c>
      <c r="Q146" s="7">
        <f>P146/L146</f>
        <v>0.39438734155076333</v>
      </c>
      <c r="R146" s="7">
        <v>0</v>
      </c>
      <c r="S146" s="7"/>
      <c r="T146" s="7"/>
      <c r="U146" s="7"/>
      <c r="V146" s="7"/>
      <c r="W146" s="22"/>
    </row>
    <row r="147" spans="1:23" x14ac:dyDescent="0.25">
      <c r="A147" s="4">
        <v>146</v>
      </c>
      <c r="B147" s="4" t="s">
        <v>35</v>
      </c>
      <c r="C147" s="5">
        <v>1</v>
      </c>
      <c r="D147" s="5" t="s">
        <v>52</v>
      </c>
      <c r="E147" s="5">
        <v>1</v>
      </c>
      <c r="F147" s="5">
        <v>2</v>
      </c>
      <c r="G147" s="5" t="str">
        <f t="shared" si="14"/>
        <v>MT_B</v>
      </c>
      <c r="H147" s="5" t="s">
        <v>57</v>
      </c>
      <c r="I147" s="1">
        <v>0.17255534379123297</v>
      </c>
      <c r="J147" s="3">
        <v>0.41335227272727271</v>
      </c>
      <c r="K147" s="3">
        <v>0.90215053763440856</v>
      </c>
      <c r="L147" s="3">
        <v>2.4135188866799204</v>
      </c>
      <c r="M147" s="3">
        <f t="shared" si="13"/>
        <v>2.2409635428886876</v>
      </c>
      <c r="N147" s="1">
        <v>1</v>
      </c>
      <c r="O147" s="1">
        <v>20</v>
      </c>
      <c r="P147" s="2">
        <f>66440/63250</f>
        <v>1.0504347826086957</v>
      </c>
      <c r="Q147" s="1">
        <f>P147/L147</f>
        <v>0.43522956808251562</v>
      </c>
      <c r="R147" s="1">
        <v>0</v>
      </c>
      <c r="W147" s="16"/>
    </row>
    <row r="148" spans="1:23" x14ac:dyDescent="0.25">
      <c r="A148" s="4">
        <v>147</v>
      </c>
      <c r="B148" s="4" t="s">
        <v>35</v>
      </c>
      <c r="C148" s="5">
        <v>1</v>
      </c>
      <c r="D148" s="5" t="s">
        <v>54</v>
      </c>
      <c r="E148" s="5">
        <v>1</v>
      </c>
      <c r="F148" s="5">
        <v>2</v>
      </c>
      <c r="G148" s="5" t="str">
        <f t="shared" si="14"/>
        <v>MT_C</v>
      </c>
      <c r="H148" s="5" t="s">
        <v>63</v>
      </c>
      <c r="I148" s="1">
        <v>0.22298783169623224</v>
      </c>
      <c r="J148" s="3">
        <v>0.40269886363636365</v>
      </c>
      <c r="K148" s="3">
        <v>0.55499231950844852</v>
      </c>
      <c r="L148" s="3">
        <v>0.95308151093439364</v>
      </c>
      <c r="M148" s="3">
        <f t="shared" si="13"/>
        <v>0.73009367923816137</v>
      </c>
      <c r="N148" s="1">
        <v>1</v>
      </c>
      <c r="O148" s="1">
        <v>18</v>
      </c>
      <c r="P148" s="2">
        <f>41880/63250</f>
        <v>0.66213438735177865</v>
      </c>
      <c r="Q148" s="1">
        <f>P148/L148</f>
        <v>0.69473007266988873</v>
      </c>
      <c r="R148" s="1">
        <v>0</v>
      </c>
      <c r="W148" s="16"/>
    </row>
    <row r="149" spans="1:23" x14ac:dyDescent="0.25">
      <c r="A149" s="4">
        <v>148</v>
      </c>
      <c r="B149" s="4" t="s">
        <v>35</v>
      </c>
      <c r="C149" s="5">
        <v>2</v>
      </c>
      <c r="D149" s="5" t="s">
        <v>50</v>
      </c>
      <c r="E149" s="5">
        <v>1</v>
      </c>
      <c r="F149" s="5">
        <v>1</v>
      </c>
      <c r="G149" s="5" t="str">
        <f t="shared" si="14"/>
        <v>MT_A</v>
      </c>
      <c r="H149" s="5" t="s">
        <v>51</v>
      </c>
      <c r="I149" s="1">
        <v>0.12336900747690954</v>
      </c>
      <c r="J149" s="3">
        <v>0.32155539772727271</v>
      </c>
      <c r="K149" s="3">
        <v>0.37004608294930874</v>
      </c>
      <c r="L149" s="3">
        <v>0.73896620278330016</v>
      </c>
      <c r="M149" s="3">
        <f t="shared" si="13"/>
        <v>0.61559719530639057</v>
      </c>
      <c r="N149" s="1">
        <v>1</v>
      </c>
      <c r="O149" s="1">
        <v>16</v>
      </c>
      <c r="P149" s="2">
        <f>26170/63250</f>
        <v>0.41375494071146246</v>
      </c>
      <c r="Q149" s="1">
        <f>P149/L149</f>
        <v>0.55991050626275396</v>
      </c>
      <c r="R149" s="1">
        <v>0</v>
      </c>
      <c r="W149" s="16"/>
    </row>
    <row r="150" spans="1:23" x14ac:dyDescent="0.25">
      <c r="A150" s="4">
        <v>149</v>
      </c>
      <c r="B150" s="4" t="s">
        <v>35</v>
      </c>
      <c r="C150" s="5">
        <v>2</v>
      </c>
      <c r="D150" s="5" t="s">
        <v>52</v>
      </c>
      <c r="E150" s="5">
        <v>1</v>
      </c>
      <c r="F150" s="5">
        <v>1</v>
      </c>
      <c r="G150" s="5" t="str">
        <f t="shared" si="14"/>
        <v>MT_B</v>
      </c>
      <c r="H150" s="5" t="s">
        <v>67</v>
      </c>
      <c r="I150" s="1">
        <v>7.72907198358012E-2</v>
      </c>
      <c r="J150" s="3">
        <v>0.21750710227272727</v>
      </c>
      <c r="K150" s="3">
        <v>0.17096774193548386</v>
      </c>
      <c r="L150" s="3">
        <v>0.32902584493041748</v>
      </c>
      <c r="M150" s="3">
        <f t="shared" si="13"/>
        <v>0.25173512509461626</v>
      </c>
      <c r="N150" s="1">
        <v>0</v>
      </c>
      <c r="W150" s="16"/>
    </row>
    <row r="151" spans="1:23" x14ac:dyDescent="0.25">
      <c r="A151" s="4">
        <v>150</v>
      </c>
      <c r="B151" s="4" t="s">
        <v>35</v>
      </c>
      <c r="C151" s="5">
        <v>2</v>
      </c>
      <c r="D151" s="5" t="s">
        <v>54</v>
      </c>
      <c r="E151" s="5">
        <v>1</v>
      </c>
      <c r="F151" s="5">
        <v>2</v>
      </c>
      <c r="G151" s="5" t="str">
        <f t="shared" si="14"/>
        <v>MT_C</v>
      </c>
      <c r="H151" s="5" t="s">
        <v>63</v>
      </c>
      <c r="I151" s="1">
        <v>0.17636710159800617</v>
      </c>
      <c r="J151" s="3">
        <v>0.96395596590909094</v>
      </c>
      <c r="K151" s="3">
        <v>1.3791090629800307</v>
      </c>
      <c r="L151" s="3">
        <v>2.4850894632206759</v>
      </c>
      <c r="M151" s="3">
        <f t="shared" si="13"/>
        <v>2.30872236162267</v>
      </c>
      <c r="N151" s="1">
        <v>1</v>
      </c>
      <c r="O151" s="1">
        <v>14</v>
      </c>
      <c r="P151" s="2">
        <f>91450/63250</f>
        <v>1.4458498023715416</v>
      </c>
      <c r="Q151" s="1">
        <f>P151/L151</f>
        <v>0.58180996047430833</v>
      </c>
      <c r="R151" s="1">
        <v>1</v>
      </c>
      <c r="S151" s="1">
        <v>16</v>
      </c>
      <c r="T151" s="1">
        <v>23</v>
      </c>
      <c r="U151" s="1">
        <v>3</v>
      </c>
      <c r="V151" s="1">
        <v>3</v>
      </c>
      <c r="W151" s="16">
        <f>V151/U151</f>
        <v>1</v>
      </c>
    </row>
    <row r="152" spans="1:23" x14ac:dyDescent="0.25">
      <c r="A152" s="4">
        <v>151</v>
      </c>
      <c r="B152" s="4" t="s">
        <v>35</v>
      </c>
      <c r="C152" s="5">
        <v>3</v>
      </c>
      <c r="D152" s="5" t="s">
        <v>50</v>
      </c>
      <c r="E152" s="5">
        <v>1</v>
      </c>
      <c r="F152" s="5">
        <v>2</v>
      </c>
      <c r="G152" s="5" t="str">
        <f t="shared" si="14"/>
        <v>MT_A</v>
      </c>
      <c r="H152" s="5" t="s">
        <v>56</v>
      </c>
      <c r="I152" s="1">
        <v>0.22064213458437179</v>
      </c>
      <c r="J152" s="3">
        <v>0.34818892045454547</v>
      </c>
      <c r="K152" s="3">
        <v>0.3780337941628264</v>
      </c>
      <c r="L152" s="3">
        <v>0.3475149105367793</v>
      </c>
      <c r="M152" s="3">
        <f t="shared" si="13"/>
        <v>0.12687277595240751</v>
      </c>
      <c r="N152" s="1">
        <v>0</v>
      </c>
      <c r="W152" s="16"/>
    </row>
    <row r="153" spans="1:23" x14ac:dyDescent="0.25">
      <c r="A153" s="4">
        <v>152</v>
      </c>
      <c r="B153" s="4" t="s">
        <v>35</v>
      </c>
      <c r="C153" s="5">
        <v>3</v>
      </c>
      <c r="D153" s="5" t="s">
        <v>52</v>
      </c>
      <c r="E153" s="5">
        <v>1</v>
      </c>
      <c r="F153" s="5">
        <v>4</v>
      </c>
      <c r="G153" s="5" t="str">
        <f t="shared" si="14"/>
        <v>MT_B</v>
      </c>
      <c r="H153" s="5" t="s">
        <v>53</v>
      </c>
      <c r="I153" s="1">
        <v>0.37311244685529982</v>
      </c>
      <c r="J153" s="3">
        <v>0.96697443181818177</v>
      </c>
      <c r="K153" s="3">
        <v>1.5652841781874041</v>
      </c>
      <c r="L153" s="3">
        <v>2.4990059642147116</v>
      </c>
      <c r="M153" s="3">
        <f t="shared" si="13"/>
        <v>2.1258935173594118</v>
      </c>
      <c r="N153" s="1">
        <v>1</v>
      </c>
      <c r="O153" s="1">
        <v>18</v>
      </c>
      <c r="P153" s="2">
        <f>108900/63250</f>
        <v>1.7217391304347827</v>
      </c>
      <c r="Q153" s="1">
        <f>P153/L153</f>
        <v>0.68896959634741106</v>
      </c>
      <c r="R153" s="1">
        <v>0</v>
      </c>
      <c r="W153" s="16"/>
    </row>
    <row r="154" spans="1:23" x14ac:dyDescent="0.25">
      <c r="A154" s="4">
        <v>153</v>
      </c>
      <c r="B154" s="4" t="s">
        <v>35</v>
      </c>
      <c r="C154" s="5">
        <v>3</v>
      </c>
      <c r="D154" s="5" t="s">
        <v>54</v>
      </c>
      <c r="E154" s="5">
        <v>1</v>
      </c>
      <c r="F154" s="5">
        <v>3</v>
      </c>
      <c r="G154" s="5" t="str">
        <f t="shared" si="14"/>
        <v>MT_C</v>
      </c>
      <c r="H154" s="5" t="s">
        <v>55</v>
      </c>
      <c r="I154" s="1">
        <v>0.31080486732150708</v>
      </c>
      <c r="J154" s="3">
        <v>0.97691761363636365</v>
      </c>
      <c r="K154" s="3">
        <v>1.3860215053763441</v>
      </c>
      <c r="L154" s="3">
        <v>2.5248508946322068</v>
      </c>
      <c r="M154" s="3">
        <f t="shared" si="13"/>
        <v>2.2140460273106997</v>
      </c>
      <c r="N154" s="1">
        <v>1</v>
      </c>
      <c r="O154" s="1">
        <v>16</v>
      </c>
      <c r="P154" s="2">
        <f>80670/63250</f>
        <v>1.2754150197628458</v>
      </c>
      <c r="Q154" s="1">
        <f>P154/L154</f>
        <v>0.505144688929694</v>
      </c>
      <c r="R154" s="1">
        <v>0</v>
      </c>
      <c r="W154" s="16"/>
    </row>
    <row r="155" spans="1:23" x14ac:dyDescent="0.25">
      <c r="A155" s="4">
        <v>154</v>
      </c>
      <c r="B155" s="4" t="s">
        <v>35</v>
      </c>
      <c r="C155" s="5">
        <v>4</v>
      </c>
      <c r="D155" s="5" t="s">
        <v>50</v>
      </c>
      <c r="E155" s="5">
        <v>1</v>
      </c>
      <c r="F155" s="5">
        <v>4</v>
      </c>
      <c r="G155" s="5" t="str">
        <f t="shared" si="14"/>
        <v>MT_A</v>
      </c>
      <c r="H155" s="5" t="s">
        <v>64</v>
      </c>
      <c r="I155" s="1">
        <v>0.38088256853833746</v>
      </c>
      <c r="J155" s="3">
        <v>0.60795454545454541</v>
      </c>
      <c r="K155" s="3">
        <v>0.64331797235023036</v>
      </c>
      <c r="L155" s="3">
        <v>0.4666003976143141</v>
      </c>
      <c r="M155" s="3">
        <f t="shared" si="13"/>
        <v>8.5717829075976637E-2</v>
      </c>
      <c r="N155" s="1">
        <v>0</v>
      </c>
      <c r="W155" s="16"/>
    </row>
    <row r="156" spans="1:23" x14ac:dyDescent="0.25">
      <c r="A156" s="4">
        <v>155</v>
      </c>
      <c r="B156" s="4" t="s">
        <v>35</v>
      </c>
      <c r="C156" s="5">
        <v>4</v>
      </c>
      <c r="D156" s="5" t="s">
        <v>52</v>
      </c>
      <c r="E156" s="5">
        <v>1</v>
      </c>
      <c r="F156" s="5">
        <v>4</v>
      </c>
      <c r="G156" s="5" t="str">
        <f t="shared" si="14"/>
        <v>MT_B</v>
      </c>
      <c r="H156" s="5" t="s">
        <v>53</v>
      </c>
      <c r="I156" s="1">
        <v>0.46957924058056005</v>
      </c>
      <c r="J156" s="3">
        <v>0.90518465909090906</v>
      </c>
      <c r="K156" s="3">
        <v>1.6282642089093702</v>
      </c>
      <c r="L156" s="3">
        <v>2.8588469184890655</v>
      </c>
      <c r="M156" s="3">
        <f t="shared" si="13"/>
        <v>2.3892676779085056</v>
      </c>
      <c r="N156" s="1">
        <v>1</v>
      </c>
      <c r="O156" s="1">
        <v>19</v>
      </c>
      <c r="P156" s="2">
        <f>100600/63250</f>
        <v>1.5905138339920948</v>
      </c>
      <c r="Q156" s="1">
        <f>P156/L156</f>
        <v>0.55634802399028072</v>
      </c>
      <c r="R156" s="1">
        <v>0</v>
      </c>
      <c r="W156" s="16"/>
    </row>
    <row r="157" spans="1:23" x14ac:dyDescent="0.25">
      <c r="A157" s="4">
        <v>156</v>
      </c>
      <c r="B157" s="4" t="s">
        <v>35</v>
      </c>
      <c r="C157" s="5">
        <v>4</v>
      </c>
      <c r="D157" s="5" t="s">
        <v>54</v>
      </c>
      <c r="E157" s="5">
        <v>1</v>
      </c>
      <c r="F157" s="5">
        <v>2</v>
      </c>
      <c r="G157" s="5" t="str">
        <f t="shared" si="14"/>
        <v>MT_C</v>
      </c>
      <c r="H157" s="5" t="s">
        <v>63</v>
      </c>
      <c r="I157" s="1">
        <v>0.1779797683624102</v>
      </c>
      <c r="J157" s="3">
        <v>0.28000710227272729</v>
      </c>
      <c r="K157" s="3">
        <v>0.42841781874039936</v>
      </c>
      <c r="L157" s="3">
        <v>0.44274353876739564</v>
      </c>
      <c r="M157" s="3">
        <f t="shared" si="13"/>
        <v>0.26476377040498544</v>
      </c>
      <c r="N157" s="1">
        <v>0</v>
      </c>
      <c r="R157" s="1">
        <v>1</v>
      </c>
      <c r="S157" s="1">
        <v>19</v>
      </c>
      <c r="T157" s="1">
        <v>25</v>
      </c>
      <c r="U157" s="1">
        <v>3</v>
      </c>
      <c r="V157" s="1">
        <v>3</v>
      </c>
      <c r="W157" s="16">
        <f>V157/U157</f>
        <v>1</v>
      </c>
    </row>
    <row r="158" spans="1:23" x14ac:dyDescent="0.25">
      <c r="A158" s="4">
        <v>157</v>
      </c>
      <c r="B158" s="4" t="s">
        <v>35</v>
      </c>
      <c r="C158" s="5">
        <v>5</v>
      </c>
      <c r="D158" s="5" t="s">
        <v>50</v>
      </c>
      <c r="E158" s="5">
        <v>1</v>
      </c>
      <c r="F158" s="5">
        <v>2</v>
      </c>
      <c r="G158" s="5" t="str">
        <f t="shared" si="14"/>
        <v>MT_A</v>
      </c>
      <c r="H158" s="5" t="s">
        <v>56</v>
      </c>
      <c r="I158" s="1">
        <v>0.22973171089283095</v>
      </c>
      <c r="J158" s="3">
        <v>0.37215909090909088</v>
      </c>
      <c r="K158" s="3">
        <v>0.3139784946236559</v>
      </c>
      <c r="L158" s="2">
        <f>218100/520300</f>
        <v>0.41918124159138959</v>
      </c>
      <c r="M158" s="2">
        <f t="shared" si="13"/>
        <v>0.18944953069855863</v>
      </c>
      <c r="N158" s="1">
        <v>0</v>
      </c>
      <c r="W158" s="16"/>
    </row>
    <row r="159" spans="1:23" x14ac:dyDescent="0.25">
      <c r="A159" s="4">
        <v>158</v>
      </c>
      <c r="B159" s="4" t="s">
        <v>35</v>
      </c>
      <c r="C159" s="5">
        <v>5</v>
      </c>
      <c r="D159" s="5" t="s">
        <v>52</v>
      </c>
      <c r="E159" s="5">
        <v>1</v>
      </c>
      <c r="F159" s="5">
        <v>2</v>
      </c>
      <c r="G159" s="5" t="str">
        <f t="shared" si="14"/>
        <v>MT_B</v>
      </c>
      <c r="H159" s="5" t="s">
        <v>57</v>
      </c>
      <c r="I159" s="1">
        <v>0.18985485999120363</v>
      </c>
      <c r="J159" s="3">
        <v>0.26154119318181818</v>
      </c>
      <c r="K159" s="3">
        <v>0.21689708141321046</v>
      </c>
      <c r="L159" s="3">
        <v>0.23379721669980119</v>
      </c>
      <c r="M159" s="3">
        <f t="shared" si="13"/>
        <v>4.3942356708597557E-2</v>
      </c>
      <c r="N159" s="1">
        <v>0</v>
      </c>
      <c r="W159" s="16"/>
    </row>
    <row r="160" spans="1:23" x14ac:dyDescent="0.25">
      <c r="A160" s="4">
        <v>159</v>
      </c>
      <c r="B160" s="4" t="s">
        <v>35</v>
      </c>
      <c r="C160" s="5">
        <v>5</v>
      </c>
      <c r="D160" s="5" t="s">
        <v>54</v>
      </c>
      <c r="E160" s="5">
        <v>1</v>
      </c>
      <c r="F160" s="5">
        <v>4</v>
      </c>
      <c r="G160" s="5" t="str">
        <f t="shared" si="14"/>
        <v>MT_C</v>
      </c>
      <c r="H160" s="5" t="s">
        <v>60</v>
      </c>
      <c r="I160" s="1">
        <v>0.39334408444509605</v>
      </c>
      <c r="J160" s="3">
        <v>0.896484375</v>
      </c>
      <c r="K160" s="3">
        <v>1.2631336405529954</v>
      </c>
      <c r="L160" s="3">
        <v>2.2445328031809146</v>
      </c>
      <c r="M160" s="3">
        <f t="shared" si="13"/>
        <v>1.8511887187358185</v>
      </c>
      <c r="N160" s="1">
        <v>1</v>
      </c>
      <c r="O160" s="1">
        <v>15</v>
      </c>
      <c r="P160" s="2">
        <f>30590/63250</f>
        <v>0.48363636363636364</v>
      </c>
      <c r="Q160" s="1">
        <f>P160/L160</f>
        <v>0.21547306546420805</v>
      </c>
      <c r="R160" s="1">
        <v>0</v>
      </c>
      <c r="W160" s="16"/>
    </row>
    <row r="161" spans="1:23" x14ac:dyDescent="0.25">
      <c r="A161" s="4">
        <v>160</v>
      </c>
      <c r="B161" s="4" t="s">
        <v>35</v>
      </c>
      <c r="C161" s="5">
        <v>6</v>
      </c>
      <c r="D161" s="5" t="s">
        <v>50</v>
      </c>
      <c r="E161" s="5">
        <v>1</v>
      </c>
      <c r="F161" s="5">
        <v>1</v>
      </c>
      <c r="G161" s="5" t="str">
        <f t="shared" si="14"/>
        <v>MT_A</v>
      </c>
      <c r="H161" s="5" t="s">
        <v>51</v>
      </c>
      <c r="I161" s="1">
        <v>9.5543175487465187E-2</v>
      </c>
      <c r="J161" s="3">
        <v>0.18323863636363635</v>
      </c>
      <c r="K161" s="3">
        <v>0.16129032258064516</v>
      </c>
      <c r="L161" s="3">
        <v>0.29622266401590458</v>
      </c>
      <c r="M161" s="3">
        <f t="shared" si="13"/>
        <v>0.20067948852843939</v>
      </c>
      <c r="N161" s="1">
        <v>0</v>
      </c>
      <c r="W161" s="16"/>
    </row>
    <row r="162" spans="1:23" x14ac:dyDescent="0.25">
      <c r="A162" s="4">
        <v>161</v>
      </c>
      <c r="B162" s="4" t="s">
        <v>35</v>
      </c>
      <c r="C162" s="5">
        <v>6</v>
      </c>
      <c r="D162" s="5" t="s">
        <v>52</v>
      </c>
      <c r="E162" s="5">
        <v>1</v>
      </c>
      <c r="F162" s="5">
        <v>2</v>
      </c>
      <c r="G162" s="5" t="str">
        <f t="shared" si="14"/>
        <v>MT_B</v>
      </c>
      <c r="H162" s="5" t="s">
        <v>57</v>
      </c>
      <c r="I162" s="1">
        <v>0.13021551092215217</v>
      </c>
      <c r="J162" s="3">
        <v>0.31374289772727271</v>
      </c>
      <c r="K162" s="3">
        <v>0.57311827956989247</v>
      </c>
      <c r="L162" s="3">
        <v>0.96441351888667992</v>
      </c>
      <c r="M162" s="3">
        <f t="shared" si="13"/>
        <v>0.8341980079645277</v>
      </c>
      <c r="N162" s="1">
        <v>1</v>
      </c>
      <c r="O162" s="1">
        <v>19</v>
      </c>
      <c r="P162" s="2">
        <f>17960/63250</f>
        <v>0.28395256916996048</v>
      </c>
      <c r="Q162" s="1">
        <f>P162/L162</f>
        <v>0.2944303077561124</v>
      </c>
      <c r="R162" s="1">
        <v>0</v>
      </c>
      <c r="W162" s="16"/>
    </row>
    <row r="163" spans="1:23" x14ac:dyDescent="0.25">
      <c r="A163" s="4">
        <v>162</v>
      </c>
      <c r="B163" s="4" t="s">
        <v>35</v>
      </c>
      <c r="C163" s="5">
        <v>6</v>
      </c>
      <c r="D163" s="5" t="s">
        <v>54</v>
      </c>
      <c r="E163" s="5">
        <v>1</v>
      </c>
      <c r="F163" s="5">
        <v>5</v>
      </c>
      <c r="G163" s="5" t="str">
        <f t="shared" si="14"/>
        <v>MT_C</v>
      </c>
      <c r="H163" s="5" t="s">
        <v>61</v>
      </c>
      <c r="I163" s="1">
        <v>0.55050579093974494</v>
      </c>
      <c r="J163" s="3">
        <v>0.85600142045454541</v>
      </c>
      <c r="K163" s="3">
        <v>1.4062980030721965</v>
      </c>
      <c r="L163" s="3">
        <v>2.6719681908548707</v>
      </c>
      <c r="M163" s="3">
        <f t="shared" si="13"/>
        <v>2.1214623999151256</v>
      </c>
      <c r="N163" s="1">
        <v>1</v>
      </c>
      <c r="O163" s="1">
        <v>20</v>
      </c>
      <c r="P163" s="2">
        <f>89460/63250</f>
        <v>1.414387351778656</v>
      </c>
      <c r="Q163" s="1">
        <f>P163/L163</f>
        <v>0.52934288537549401</v>
      </c>
      <c r="R163" s="1">
        <v>1</v>
      </c>
      <c r="S163" s="1">
        <v>22</v>
      </c>
      <c r="T163" s="1">
        <v>26</v>
      </c>
      <c r="U163" s="1">
        <v>3</v>
      </c>
      <c r="V163" s="1">
        <v>3</v>
      </c>
      <c r="W163" s="16">
        <f>V163/U163</f>
        <v>1</v>
      </c>
    </row>
    <row r="164" spans="1:23" x14ac:dyDescent="0.25">
      <c r="A164" s="4">
        <v>163</v>
      </c>
      <c r="B164" s="4" t="s">
        <v>35</v>
      </c>
      <c r="C164" s="5">
        <v>7</v>
      </c>
      <c r="D164" s="5" t="s">
        <v>50</v>
      </c>
      <c r="E164" s="5">
        <v>1</v>
      </c>
      <c r="F164" s="5">
        <v>2</v>
      </c>
      <c r="G164" s="5" t="str">
        <f t="shared" si="14"/>
        <v>MT_A</v>
      </c>
      <c r="H164" s="5" t="s">
        <v>56</v>
      </c>
      <c r="I164" s="1">
        <v>0.19601231490983725</v>
      </c>
      <c r="J164" s="3">
        <v>0.46253551136363635</v>
      </c>
      <c r="K164" s="3">
        <v>0.41812596006144392</v>
      </c>
      <c r="L164" s="3">
        <v>0.35566600397614312</v>
      </c>
      <c r="M164" s="3">
        <f t="shared" si="13"/>
        <v>0.15965368906630586</v>
      </c>
      <c r="N164" s="1">
        <v>0</v>
      </c>
      <c r="W164" s="16"/>
    </row>
    <row r="165" spans="1:23" x14ac:dyDescent="0.25">
      <c r="A165" s="4">
        <v>164</v>
      </c>
      <c r="B165" s="4" t="s">
        <v>35</v>
      </c>
      <c r="C165" s="5">
        <v>7</v>
      </c>
      <c r="D165" s="5" t="s">
        <v>52</v>
      </c>
      <c r="E165" s="5">
        <v>1</v>
      </c>
      <c r="F165" s="5">
        <v>1</v>
      </c>
      <c r="G165" s="5" t="str">
        <f t="shared" si="14"/>
        <v>MT_B</v>
      </c>
      <c r="H165" s="5" t="s">
        <v>67</v>
      </c>
      <c r="I165" s="1">
        <v>0.1052924791086351</v>
      </c>
      <c r="J165" s="3">
        <v>0.21537642045454544</v>
      </c>
      <c r="K165" s="3">
        <v>0.18924731182795698</v>
      </c>
      <c r="L165" s="3">
        <v>0.18007952286282305</v>
      </c>
      <c r="M165" s="3">
        <f t="shared" si="13"/>
        <v>7.478704375418796E-2</v>
      </c>
      <c r="N165" s="1">
        <v>0</v>
      </c>
      <c r="W165" s="16"/>
    </row>
    <row r="166" spans="1:23" x14ac:dyDescent="0.25">
      <c r="A166" s="4">
        <v>165</v>
      </c>
      <c r="B166" s="4" t="s">
        <v>35</v>
      </c>
      <c r="C166" s="5">
        <v>7</v>
      </c>
      <c r="D166" s="5" t="s">
        <v>54</v>
      </c>
      <c r="E166" s="5">
        <v>1</v>
      </c>
      <c r="F166" s="5">
        <v>1</v>
      </c>
      <c r="G166" s="5" t="str">
        <f t="shared" si="14"/>
        <v>MT_C</v>
      </c>
      <c r="H166" s="5" t="s">
        <v>58</v>
      </c>
      <c r="I166" s="1">
        <v>0.12432194692860285</v>
      </c>
      <c r="J166" s="3">
        <v>0.20348011363636365</v>
      </c>
      <c r="K166" s="3">
        <v>0.1815668202764977</v>
      </c>
      <c r="L166" s="3">
        <v>0.35168986083499004</v>
      </c>
      <c r="M166" s="3">
        <f t="shared" si="13"/>
        <v>0.22736791390638719</v>
      </c>
      <c r="N166" s="1">
        <v>0</v>
      </c>
      <c r="W166" s="16"/>
    </row>
    <row r="167" spans="1:23" x14ac:dyDescent="0.25">
      <c r="A167" s="4">
        <v>166</v>
      </c>
      <c r="B167" s="4" t="s">
        <v>35</v>
      </c>
      <c r="C167" s="5">
        <v>8</v>
      </c>
      <c r="D167" s="5" t="s">
        <v>50</v>
      </c>
      <c r="E167" s="5">
        <v>1</v>
      </c>
      <c r="F167" s="5">
        <v>4</v>
      </c>
      <c r="G167" s="5" t="str">
        <f t="shared" si="14"/>
        <v>MT_A</v>
      </c>
      <c r="H167" s="5" t="s">
        <v>64</v>
      </c>
      <c r="I167" s="1">
        <v>0.36504911303327958</v>
      </c>
      <c r="J167" s="3">
        <v>0.52769886363636365</v>
      </c>
      <c r="K167" s="3">
        <v>0.26881720430107525</v>
      </c>
      <c r="L167" s="3"/>
      <c r="M167" s="3"/>
      <c r="W167" s="16"/>
    </row>
    <row r="168" spans="1:23" x14ac:dyDescent="0.25">
      <c r="A168" s="4">
        <v>167</v>
      </c>
      <c r="B168" s="4" t="s">
        <v>35</v>
      </c>
      <c r="C168" s="5">
        <v>8</v>
      </c>
      <c r="D168" s="5" t="s">
        <v>52</v>
      </c>
      <c r="E168" s="5">
        <v>1</v>
      </c>
      <c r="F168" s="5">
        <v>3</v>
      </c>
      <c r="G168" s="5" t="str">
        <f t="shared" si="14"/>
        <v>MT_B</v>
      </c>
      <c r="H168" s="5" t="s">
        <v>59</v>
      </c>
      <c r="I168" s="1">
        <v>0.24292625714704588</v>
      </c>
      <c r="J168" s="3">
        <v>0.73064630681818177</v>
      </c>
      <c r="K168" s="3">
        <v>0.97910906298003075</v>
      </c>
      <c r="L168" s="3">
        <v>2.4075546719681911</v>
      </c>
      <c r="M168" s="3">
        <f>L168-I168</f>
        <v>2.164628414821145</v>
      </c>
      <c r="N168" s="1">
        <v>1</v>
      </c>
      <c r="O168" s="1">
        <v>18</v>
      </c>
      <c r="P168" s="2">
        <f>83670/63250</f>
        <v>1.3228458498023716</v>
      </c>
      <c r="Q168" s="1">
        <f>P168/L168</f>
        <v>0.54945620350998581</v>
      </c>
      <c r="R168" s="1">
        <v>0</v>
      </c>
      <c r="W168" s="16"/>
    </row>
    <row r="169" spans="1:23" x14ac:dyDescent="0.25">
      <c r="A169" s="4">
        <v>168</v>
      </c>
      <c r="B169" s="4" t="s">
        <v>35</v>
      </c>
      <c r="C169" s="5">
        <v>8</v>
      </c>
      <c r="D169" s="5" t="s">
        <v>54</v>
      </c>
      <c r="E169" s="5">
        <v>1</v>
      </c>
      <c r="F169" s="5">
        <v>3</v>
      </c>
      <c r="G169" s="5" t="str">
        <f t="shared" si="14"/>
        <v>MT_C</v>
      </c>
      <c r="H169" s="5" t="s">
        <v>55</v>
      </c>
      <c r="I169" s="1">
        <v>0.34745638469432633</v>
      </c>
      <c r="J169" s="3">
        <v>0.90642755681818177</v>
      </c>
      <c r="K169" s="3">
        <v>1.3015360983102919</v>
      </c>
      <c r="L169" s="3">
        <v>2.1868787276341948</v>
      </c>
      <c r="M169" s="3">
        <f>L169-I169</f>
        <v>1.8394223429398684</v>
      </c>
      <c r="N169" s="1">
        <v>1</v>
      </c>
      <c r="R169" s="1">
        <v>1</v>
      </c>
      <c r="S169" s="1">
        <v>21</v>
      </c>
      <c r="T169" s="1">
        <v>26</v>
      </c>
      <c r="U169" s="1">
        <v>2</v>
      </c>
      <c r="V169" s="1">
        <v>2</v>
      </c>
      <c r="W169" s="16">
        <f>V169/U169</f>
        <v>1</v>
      </c>
    </row>
    <row r="170" spans="1:23" x14ac:dyDescent="0.25">
      <c r="A170" s="4">
        <v>169</v>
      </c>
      <c r="B170" s="4" t="s">
        <v>35</v>
      </c>
      <c r="C170" s="5">
        <v>9</v>
      </c>
      <c r="D170" s="5" t="s">
        <v>50</v>
      </c>
      <c r="E170" s="5">
        <v>1</v>
      </c>
      <c r="F170" s="5">
        <v>3</v>
      </c>
      <c r="G170" s="5" t="str">
        <f t="shared" si="14"/>
        <v>MT_A</v>
      </c>
      <c r="H170" s="5" t="s">
        <v>62</v>
      </c>
      <c r="I170" s="1">
        <v>0.25656062160973464</v>
      </c>
      <c r="J170" s="3">
        <v>0.84872159090909094</v>
      </c>
      <c r="K170" s="3">
        <v>1.282642089093702</v>
      </c>
      <c r="L170" s="2">
        <f>65260/50300</f>
        <v>1.2974155069582505</v>
      </c>
      <c r="M170" s="2">
        <f>L170-I170</f>
        <v>1.0408548853485158</v>
      </c>
      <c r="N170" s="1">
        <v>0</v>
      </c>
      <c r="P170" s="2">
        <f>54010/63250</f>
        <v>0.85391304347826091</v>
      </c>
      <c r="Q170" s="1">
        <f>P170/L170</f>
        <v>0.65816466575170895</v>
      </c>
      <c r="W170" s="16"/>
    </row>
    <row r="171" spans="1:23" x14ac:dyDescent="0.25">
      <c r="A171" s="4">
        <v>170</v>
      </c>
      <c r="B171" s="4" t="s">
        <v>35</v>
      </c>
      <c r="C171" s="5">
        <v>9</v>
      </c>
      <c r="D171" s="5" t="s">
        <v>52</v>
      </c>
      <c r="E171" s="5">
        <v>1</v>
      </c>
      <c r="F171" s="5">
        <v>2</v>
      </c>
      <c r="G171" s="5" t="str">
        <f t="shared" si="14"/>
        <v>MT_B</v>
      </c>
      <c r="H171" s="5" t="s">
        <v>57</v>
      </c>
      <c r="I171" s="1">
        <v>0.22093534672335435</v>
      </c>
      <c r="J171" s="3">
        <v>0.42205255681818182</v>
      </c>
      <c r="K171" s="3">
        <v>0.81751152073732714</v>
      </c>
      <c r="L171" s="3">
        <v>1.3208747514910537</v>
      </c>
      <c r="M171" s="3">
        <f>L171-I171</f>
        <v>1.0999394047676994</v>
      </c>
      <c r="N171" s="1">
        <v>1</v>
      </c>
      <c r="O171" s="1">
        <v>20</v>
      </c>
      <c r="P171" s="2">
        <f>2164/63250</f>
        <v>3.4213438735177869E-2</v>
      </c>
      <c r="Q171" s="1">
        <f>P171/L171</f>
        <v>2.5902106688432371E-2</v>
      </c>
      <c r="R171" s="1">
        <v>0</v>
      </c>
      <c r="W171" s="16"/>
    </row>
    <row r="172" spans="1:23" x14ac:dyDescent="0.25">
      <c r="A172" s="4">
        <v>171</v>
      </c>
      <c r="B172" s="4" t="s">
        <v>35</v>
      </c>
      <c r="C172" s="5">
        <v>9</v>
      </c>
      <c r="D172" s="5" t="s">
        <v>54</v>
      </c>
      <c r="E172" s="5">
        <v>1</v>
      </c>
      <c r="F172" s="5">
        <v>2</v>
      </c>
      <c r="G172" s="5" t="str">
        <f t="shared" si="14"/>
        <v>MT_C</v>
      </c>
      <c r="H172" s="5" t="s">
        <v>63</v>
      </c>
      <c r="I172" s="1">
        <v>0.23237062014367396</v>
      </c>
      <c r="J172" s="3">
        <v>0.39151278409090912</v>
      </c>
      <c r="K172" s="3">
        <v>0.33963133640552995</v>
      </c>
      <c r="L172" s="3">
        <v>1.4345924453280319</v>
      </c>
      <c r="M172" s="3">
        <f>L172-I172</f>
        <v>1.2022218251843579</v>
      </c>
      <c r="N172" s="1">
        <v>1</v>
      </c>
      <c r="R172" s="1">
        <v>0</v>
      </c>
      <c r="W172" s="16"/>
    </row>
    <row r="173" spans="1:23" x14ac:dyDescent="0.25">
      <c r="A173" s="4">
        <v>172</v>
      </c>
      <c r="B173" s="4" t="s">
        <v>35</v>
      </c>
      <c r="C173" s="5">
        <v>10</v>
      </c>
      <c r="D173" s="5" t="s">
        <v>50</v>
      </c>
      <c r="E173" s="5">
        <v>1</v>
      </c>
      <c r="F173" s="5">
        <v>3</v>
      </c>
      <c r="G173" s="5" t="str">
        <f t="shared" si="14"/>
        <v>MT_A</v>
      </c>
      <c r="H173" s="5" t="s">
        <v>62</v>
      </c>
      <c r="I173" s="1">
        <v>0.33396862630112889</v>
      </c>
      <c r="J173" s="3">
        <v>0.76722301136363635</v>
      </c>
      <c r="K173" s="3">
        <v>0.92334869431643629</v>
      </c>
      <c r="L173" s="3"/>
      <c r="M173" s="3"/>
      <c r="P173" s="2"/>
      <c r="W173" s="16"/>
    </row>
    <row r="174" spans="1:23" x14ac:dyDescent="0.25">
      <c r="A174" s="4">
        <v>173</v>
      </c>
      <c r="B174" s="4" t="s">
        <v>35</v>
      </c>
      <c r="C174" s="5">
        <v>10</v>
      </c>
      <c r="D174" s="5" t="s">
        <v>52</v>
      </c>
      <c r="E174" s="5">
        <v>1</v>
      </c>
      <c r="F174" s="5">
        <v>3</v>
      </c>
      <c r="G174" s="5" t="str">
        <f t="shared" si="14"/>
        <v>MT_B</v>
      </c>
      <c r="H174" s="5" t="s">
        <v>59</v>
      </c>
      <c r="I174" s="1">
        <v>0.25802668230464743</v>
      </c>
      <c r="J174" s="3">
        <v>0.89026988636363635</v>
      </c>
      <c r="K174" s="3">
        <v>1.1864823348694316</v>
      </c>
      <c r="L174" s="3">
        <v>2.1491053677932404</v>
      </c>
      <c r="M174" s="3">
        <f>L174-I174</f>
        <v>1.8910786854885928</v>
      </c>
      <c r="N174" s="1">
        <v>1</v>
      </c>
      <c r="O174" s="1">
        <v>18</v>
      </c>
      <c r="P174" s="2">
        <f>14390/63250</f>
        <v>0.22750988142292491</v>
      </c>
      <c r="Q174" s="1">
        <f>P174/L174</f>
        <v>0.10586259977403445</v>
      </c>
      <c r="R174" s="1">
        <v>1</v>
      </c>
      <c r="S174" s="1">
        <v>26</v>
      </c>
      <c r="T174" s="1">
        <v>31</v>
      </c>
      <c r="U174" s="1">
        <v>2</v>
      </c>
      <c r="V174" s="1">
        <v>2</v>
      </c>
      <c r="W174" s="16">
        <f>V174/U174</f>
        <v>1</v>
      </c>
    </row>
    <row r="175" spans="1:23" x14ac:dyDescent="0.25">
      <c r="A175" s="4">
        <v>174</v>
      </c>
      <c r="B175" s="4" t="s">
        <v>35</v>
      </c>
      <c r="C175" s="5">
        <v>10</v>
      </c>
      <c r="D175" s="5" t="s">
        <v>54</v>
      </c>
      <c r="E175" s="5">
        <v>1</v>
      </c>
      <c r="F175" s="5">
        <v>2</v>
      </c>
      <c r="G175" s="5" t="str">
        <f t="shared" si="14"/>
        <v>MT_C</v>
      </c>
      <c r="H175" s="5" t="s">
        <v>63</v>
      </c>
      <c r="I175" s="1">
        <v>0.17255534379123297</v>
      </c>
      <c r="J175" s="3">
        <v>0.63884943181818177</v>
      </c>
      <c r="K175" s="3">
        <v>0.76973886328725039</v>
      </c>
      <c r="L175" s="3">
        <v>1.9868787276341948</v>
      </c>
      <c r="M175" s="3">
        <f>L175-I175</f>
        <v>1.8143233838429618</v>
      </c>
      <c r="N175" s="1">
        <v>1</v>
      </c>
      <c r="R175" s="1">
        <v>0</v>
      </c>
      <c r="W175" s="16"/>
    </row>
    <row r="176" spans="1:23" x14ac:dyDescent="0.25">
      <c r="A176" s="4">
        <v>175</v>
      </c>
      <c r="B176" s="4" t="s">
        <v>35</v>
      </c>
      <c r="C176" s="5">
        <v>11</v>
      </c>
      <c r="D176" s="5" t="s">
        <v>50</v>
      </c>
      <c r="E176" s="5">
        <v>1</v>
      </c>
      <c r="F176" s="5">
        <v>3</v>
      </c>
      <c r="G176" s="5" t="str">
        <f t="shared" si="14"/>
        <v>MT_A</v>
      </c>
      <c r="H176" s="5" t="s">
        <v>62</v>
      </c>
      <c r="I176" s="1">
        <v>0.26389092508429851</v>
      </c>
      <c r="J176" s="3">
        <v>0.23774857954545456</v>
      </c>
      <c r="K176" s="3">
        <v>0.20414746543778803</v>
      </c>
      <c r="L176" s="3">
        <v>0.23479125248508947</v>
      </c>
      <c r="M176" s="3">
        <f>L176-I176</f>
        <v>-2.9099672599209037E-2</v>
      </c>
      <c r="N176" s="1">
        <v>0</v>
      </c>
      <c r="W176" s="16"/>
    </row>
    <row r="177" spans="1:23" x14ac:dyDescent="0.25">
      <c r="A177" s="4">
        <v>176</v>
      </c>
      <c r="B177" s="4" t="s">
        <v>35</v>
      </c>
      <c r="C177" s="5">
        <v>11</v>
      </c>
      <c r="D177" s="5" t="s">
        <v>52</v>
      </c>
      <c r="E177" s="5">
        <v>1</v>
      </c>
      <c r="F177" s="5">
        <v>3</v>
      </c>
      <c r="G177" s="5" t="str">
        <f t="shared" si="14"/>
        <v>MT_B</v>
      </c>
      <c r="H177" s="5" t="s">
        <v>59</v>
      </c>
      <c r="I177" s="1">
        <v>0.2751795924351268</v>
      </c>
      <c r="J177" s="3">
        <v>0.5703125</v>
      </c>
      <c r="K177" s="3">
        <v>1.1218125960061445</v>
      </c>
      <c r="L177" s="3">
        <v>2.6640159045725644</v>
      </c>
      <c r="M177" s="3">
        <f>L177-I177</f>
        <v>2.3888363121374376</v>
      </c>
      <c r="N177" s="1">
        <v>1</v>
      </c>
      <c r="O177" s="1">
        <v>15</v>
      </c>
      <c r="P177" s="2">
        <f>42680/63250</f>
        <v>0.67478260869565221</v>
      </c>
      <c r="Q177" s="1">
        <f>P177/L177</f>
        <v>0.25329526281635306</v>
      </c>
      <c r="R177" s="1">
        <v>0</v>
      </c>
      <c r="W177" s="16"/>
    </row>
    <row r="178" spans="1:23" x14ac:dyDescent="0.25">
      <c r="A178" s="4">
        <v>177</v>
      </c>
      <c r="B178" s="4" t="s">
        <v>35</v>
      </c>
      <c r="C178" s="5">
        <v>11</v>
      </c>
      <c r="D178" s="5" t="s">
        <v>54</v>
      </c>
      <c r="E178" s="5">
        <v>1</v>
      </c>
      <c r="F178" s="5">
        <v>3</v>
      </c>
      <c r="G178" s="5" t="str">
        <f t="shared" si="14"/>
        <v>MT_C</v>
      </c>
      <c r="H178" s="5" t="s">
        <v>55</v>
      </c>
      <c r="I178" s="1">
        <v>0.2492303181351708</v>
      </c>
      <c r="J178" s="3">
        <v>0.31036931818181818</v>
      </c>
      <c r="K178" s="3">
        <v>0.27726574500768048</v>
      </c>
      <c r="L178" s="3">
        <v>0.39264413518886682</v>
      </c>
      <c r="M178" s="3">
        <f>L178-I178</f>
        <v>0.14341381705369602</v>
      </c>
      <c r="N178" s="1">
        <v>0</v>
      </c>
      <c r="W178" s="16"/>
    </row>
    <row r="179" spans="1:23" x14ac:dyDescent="0.25">
      <c r="A179" s="4">
        <v>178</v>
      </c>
      <c r="B179" s="4" t="s">
        <v>35</v>
      </c>
      <c r="C179" s="5">
        <v>12</v>
      </c>
      <c r="D179" s="5" t="s">
        <v>50</v>
      </c>
      <c r="E179" s="5">
        <v>1</v>
      </c>
      <c r="F179" s="5">
        <v>2</v>
      </c>
      <c r="G179" s="5" t="str">
        <f t="shared" si="14"/>
        <v>MT_A</v>
      </c>
      <c r="H179" s="5" t="s">
        <v>56</v>
      </c>
      <c r="I179" s="1">
        <v>0.17768655622342766</v>
      </c>
      <c r="J179" s="3">
        <v>0.244140625</v>
      </c>
      <c r="K179" s="3">
        <v>0.25026570999999997</v>
      </c>
      <c r="L179" s="3"/>
      <c r="M179" s="3"/>
      <c r="W179" s="16"/>
    </row>
    <row r="180" spans="1:23" x14ac:dyDescent="0.25">
      <c r="A180" s="4">
        <v>179</v>
      </c>
      <c r="B180" s="4" t="s">
        <v>35</v>
      </c>
      <c r="C180" s="5">
        <v>12</v>
      </c>
      <c r="D180" s="5" t="s">
        <v>52</v>
      </c>
      <c r="E180" s="5">
        <v>1</v>
      </c>
      <c r="F180" s="5">
        <v>2</v>
      </c>
      <c r="G180" s="5" t="str">
        <f t="shared" si="14"/>
        <v>MT_B</v>
      </c>
      <c r="H180" s="5" t="s">
        <v>57</v>
      </c>
      <c r="I180" s="1">
        <v>0.14865855446415482</v>
      </c>
      <c r="J180" s="3">
        <v>0.84215198863636365</v>
      </c>
      <c r="K180" s="3">
        <v>1.1652841781874039</v>
      </c>
      <c r="L180" s="3">
        <v>2.624254473161034</v>
      </c>
      <c r="M180" s="3">
        <f t="shared" ref="M180:M203" si="15">L180-I180</f>
        <v>2.4755959186968792</v>
      </c>
      <c r="N180" s="1">
        <v>1</v>
      </c>
      <c r="O180" s="1">
        <v>16</v>
      </c>
      <c r="P180" s="2">
        <f>45430/63250</f>
        <v>0.7182608695652174</v>
      </c>
      <c r="Q180" s="1">
        <f>P180/L180</f>
        <v>0.27370092226613962</v>
      </c>
      <c r="R180" s="1">
        <v>0</v>
      </c>
      <c r="W180" s="16"/>
    </row>
    <row r="181" spans="1:23" s="10" customFormat="1" x14ac:dyDescent="0.25">
      <c r="A181" s="23">
        <v>180</v>
      </c>
      <c r="B181" s="23" t="s">
        <v>35</v>
      </c>
      <c r="C181" s="17">
        <v>12</v>
      </c>
      <c r="D181" s="17" t="s">
        <v>54</v>
      </c>
      <c r="E181" s="17">
        <v>1</v>
      </c>
      <c r="F181" s="17">
        <v>2</v>
      </c>
      <c r="G181" s="17" t="str">
        <f t="shared" si="14"/>
        <v>MT_C</v>
      </c>
      <c r="H181" s="17" t="s">
        <v>63</v>
      </c>
      <c r="I181" s="9">
        <v>0.1456384694326345</v>
      </c>
      <c r="J181" s="8">
        <v>0.45134943181818182</v>
      </c>
      <c r="K181" s="8">
        <v>0.31321044546850996</v>
      </c>
      <c r="L181" s="8">
        <v>0.53777335984095431</v>
      </c>
      <c r="M181" s="8">
        <f t="shared" si="15"/>
        <v>0.39213489040831984</v>
      </c>
      <c r="N181" s="9">
        <v>0</v>
      </c>
      <c r="O181" s="9"/>
      <c r="P181" s="9"/>
      <c r="Q181" s="9"/>
      <c r="R181" s="9"/>
      <c r="S181" s="9"/>
      <c r="T181" s="9"/>
      <c r="U181" s="9"/>
      <c r="V181" s="9"/>
      <c r="W181" s="18"/>
    </row>
    <row r="182" spans="1:23" x14ac:dyDescent="0.25">
      <c r="A182" s="5">
        <v>181</v>
      </c>
      <c r="B182" s="4" t="s">
        <v>35</v>
      </c>
      <c r="C182" s="5">
        <v>1</v>
      </c>
      <c r="D182" s="5" t="s">
        <v>50</v>
      </c>
      <c r="E182" s="5">
        <v>2</v>
      </c>
      <c r="F182" s="5">
        <v>3</v>
      </c>
      <c r="G182" s="5" t="str">
        <f t="shared" si="14"/>
        <v>MT_A</v>
      </c>
      <c r="H182" s="5" t="s">
        <v>62</v>
      </c>
      <c r="I182" s="1">
        <v>0.26433074329277234</v>
      </c>
      <c r="J182" s="3">
        <v>0.41512784090909088</v>
      </c>
      <c r="K182" s="3">
        <v>0.6104454685099846</v>
      </c>
      <c r="L182" s="3">
        <v>0.87773359840954279</v>
      </c>
      <c r="M182" s="3">
        <f t="shared" si="15"/>
        <v>0.61340285511677051</v>
      </c>
      <c r="N182" s="1">
        <v>0</v>
      </c>
      <c r="W182" s="16"/>
    </row>
    <row r="183" spans="1:23" x14ac:dyDescent="0.25">
      <c r="A183" s="5">
        <v>182</v>
      </c>
      <c r="B183" s="4" t="s">
        <v>35</v>
      </c>
      <c r="C183" s="5">
        <v>1</v>
      </c>
      <c r="D183" s="5" t="s">
        <v>52</v>
      </c>
      <c r="E183" s="5">
        <v>2</v>
      </c>
      <c r="F183" s="5">
        <v>2</v>
      </c>
      <c r="G183" s="5" t="str">
        <f t="shared" si="14"/>
        <v>MT_B</v>
      </c>
      <c r="H183" s="5" t="s">
        <v>57</v>
      </c>
      <c r="I183" s="1">
        <v>0.20055710306406685</v>
      </c>
      <c r="J183" s="3">
        <v>0.84286221590909094</v>
      </c>
      <c r="K183" s="3">
        <v>1.7142857142857142</v>
      </c>
      <c r="L183" s="3">
        <v>2.9423459244532801</v>
      </c>
      <c r="M183" s="3">
        <f t="shared" si="15"/>
        <v>2.7417888213892132</v>
      </c>
      <c r="N183" s="1">
        <v>1</v>
      </c>
      <c r="O183" s="1">
        <v>18</v>
      </c>
      <c r="P183" s="2">
        <f>87070/63250</f>
        <v>1.376600790513834</v>
      </c>
      <c r="Q183" s="1">
        <f t="shared" ref="Q183:Q198" si="16">P183/L183</f>
        <v>0.46785824164085038</v>
      </c>
      <c r="R183" s="1">
        <v>0</v>
      </c>
      <c r="W183" s="16"/>
    </row>
    <row r="184" spans="1:23" x14ac:dyDescent="0.25">
      <c r="A184" s="5">
        <v>183</v>
      </c>
      <c r="B184" s="4" t="s">
        <v>35</v>
      </c>
      <c r="C184" s="5">
        <v>1</v>
      </c>
      <c r="D184" s="5" t="s">
        <v>54</v>
      </c>
      <c r="E184" s="5">
        <v>2</v>
      </c>
      <c r="F184" s="5">
        <v>2</v>
      </c>
      <c r="G184" s="5" t="str">
        <f t="shared" si="14"/>
        <v>MT_C</v>
      </c>
      <c r="H184" s="5" t="s">
        <v>63</v>
      </c>
      <c r="I184" s="1">
        <v>0.2397009236182378</v>
      </c>
      <c r="J184" s="3">
        <v>0.83274147727272729</v>
      </c>
      <c r="K184" s="3">
        <v>1.1365591397849462</v>
      </c>
      <c r="L184" s="3">
        <v>2.2922465208747513</v>
      </c>
      <c r="M184" s="3">
        <f t="shared" si="15"/>
        <v>2.0525455972565134</v>
      </c>
      <c r="N184" s="1">
        <v>1</v>
      </c>
      <c r="O184" s="1">
        <v>18</v>
      </c>
      <c r="P184" s="2">
        <f>37060/63250</f>
        <v>0.58592885375494075</v>
      </c>
      <c r="Q184" s="1">
        <f t="shared" si="16"/>
        <v>0.2556133681168562</v>
      </c>
      <c r="R184" s="1">
        <v>1</v>
      </c>
      <c r="S184" s="1">
        <v>24</v>
      </c>
      <c r="T184" s="1">
        <v>29</v>
      </c>
      <c r="U184" s="1">
        <v>1</v>
      </c>
      <c r="V184" s="1">
        <v>1</v>
      </c>
      <c r="W184" s="16">
        <f>V184/U184</f>
        <v>1</v>
      </c>
    </row>
    <row r="185" spans="1:23" x14ac:dyDescent="0.25">
      <c r="A185" s="5">
        <v>184</v>
      </c>
      <c r="B185" s="4" t="s">
        <v>35</v>
      </c>
      <c r="C185" s="5">
        <v>2</v>
      </c>
      <c r="D185" s="5" t="s">
        <v>50</v>
      </c>
      <c r="E185" s="5">
        <v>2</v>
      </c>
      <c r="F185" s="5">
        <v>4</v>
      </c>
      <c r="G185" s="5" t="str">
        <f t="shared" si="14"/>
        <v>MT_A</v>
      </c>
      <c r="H185" s="5" t="s">
        <v>64</v>
      </c>
      <c r="I185" s="1">
        <v>0.36974050725700042</v>
      </c>
      <c r="J185" s="3">
        <v>0.56374289772727271</v>
      </c>
      <c r="K185" s="3">
        <v>0.55514592933947771</v>
      </c>
      <c r="L185" s="3">
        <v>1.0210735586481112</v>
      </c>
      <c r="M185" s="3">
        <f t="shared" si="15"/>
        <v>0.65133305139111086</v>
      </c>
      <c r="N185" s="1">
        <v>1</v>
      </c>
      <c r="O185" s="1">
        <v>15</v>
      </c>
      <c r="P185" s="2">
        <f>27130/63250</f>
        <v>0.42893280632411068</v>
      </c>
      <c r="Q185" s="1">
        <f t="shared" si="16"/>
        <v>0.42008022114686078</v>
      </c>
      <c r="R185" s="1">
        <v>0</v>
      </c>
      <c r="W185" s="16"/>
    </row>
    <row r="186" spans="1:23" x14ac:dyDescent="0.25">
      <c r="A186" s="5">
        <v>185</v>
      </c>
      <c r="B186" s="4" t="s">
        <v>35</v>
      </c>
      <c r="C186" s="5">
        <v>2</v>
      </c>
      <c r="D186" s="5" t="s">
        <v>52</v>
      </c>
      <c r="E186" s="5">
        <v>2</v>
      </c>
      <c r="F186" s="5">
        <v>2</v>
      </c>
      <c r="G186" s="5" t="str">
        <f t="shared" si="14"/>
        <v>MT_B</v>
      </c>
      <c r="H186" s="5" t="s">
        <v>57</v>
      </c>
      <c r="I186" s="1">
        <v>0.13326491716757075</v>
      </c>
      <c r="J186" s="3">
        <v>0.85102982954545459</v>
      </c>
      <c r="K186" s="3">
        <v>1.7019969278033795</v>
      </c>
      <c r="L186" s="3">
        <v>3.9025844930417497</v>
      </c>
      <c r="M186" s="3">
        <f t="shared" si="15"/>
        <v>3.7693195758741789</v>
      </c>
      <c r="N186" s="1">
        <v>1</v>
      </c>
      <c r="O186" s="1">
        <v>17</v>
      </c>
      <c r="P186" s="2">
        <f>34970/63250</f>
        <v>0.55288537549407113</v>
      </c>
      <c r="Q186" s="1">
        <f t="shared" si="16"/>
        <v>0.14167159647148128</v>
      </c>
      <c r="R186" s="1">
        <v>0</v>
      </c>
      <c r="W186" s="16"/>
    </row>
    <row r="187" spans="1:23" x14ac:dyDescent="0.25">
      <c r="A187" s="5">
        <v>186</v>
      </c>
      <c r="B187" s="4" t="s">
        <v>35</v>
      </c>
      <c r="C187" s="5">
        <v>2</v>
      </c>
      <c r="D187" s="5" t="s">
        <v>54</v>
      </c>
      <c r="E187" s="5">
        <v>2</v>
      </c>
      <c r="F187" s="5">
        <v>2</v>
      </c>
      <c r="G187" s="5" t="str">
        <f t="shared" si="14"/>
        <v>MT_C</v>
      </c>
      <c r="H187" s="5" t="s">
        <v>63</v>
      </c>
      <c r="I187" s="1">
        <v>0.14412842691687436</v>
      </c>
      <c r="J187" s="3">
        <v>0.37286931818181818</v>
      </c>
      <c r="K187" s="3">
        <v>0.62626728110599084</v>
      </c>
      <c r="L187" s="3">
        <v>1.5129224652087476</v>
      </c>
      <c r="M187" s="3">
        <f t="shared" si="15"/>
        <v>1.3687940382918733</v>
      </c>
      <c r="N187" s="1">
        <v>1</v>
      </c>
      <c r="O187" s="1">
        <v>19</v>
      </c>
      <c r="P187" s="2">
        <f>29950/63250</f>
        <v>0.47351778656126481</v>
      </c>
      <c r="Q187" s="1">
        <f t="shared" si="16"/>
        <v>0.31298219006611849</v>
      </c>
      <c r="R187" s="1">
        <v>1</v>
      </c>
      <c r="S187" s="1">
        <v>22</v>
      </c>
      <c r="T187" s="1">
        <v>27</v>
      </c>
      <c r="U187" s="1">
        <v>10</v>
      </c>
      <c r="V187" s="1">
        <v>8</v>
      </c>
      <c r="W187" s="16">
        <f>V187/U187</f>
        <v>0.8</v>
      </c>
    </row>
    <row r="188" spans="1:23" x14ac:dyDescent="0.25">
      <c r="A188" s="5">
        <v>187</v>
      </c>
      <c r="B188" s="4" t="s">
        <v>35</v>
      </c>
      <c r="C188" s="5">
        <v>3</v>
      </c>
      <c r="D188" s="5" t="s">
        <v>50</v>
      </c>
      <c r="E188" s="5">
        <v>2</v>
      </c>
      <c r="F188" s="5">
        <v>2</v>
      </c>
      <c r="G188" s="5" t="str">
        <f t="shared" si="14"/>
        <v>MT_A</v>
      </c>
      <c r="H188" s="5" t="s">
        <v>56</v>
      </c>
      <c r="I188" s="1">
        <v>0.15261691834041929</v>
      </c>
      <c r="J188" s="3">
        <v>0.65181107954545459</v>
      </c>
      <c r="K188" s="3">
        <v>0.79800307219662059</v>
      </c>
      <c r="L188" s="3">
        <v>1.1021868787276341</v>
      </c>
      <c r="M188" s="3">
        <f t="shared" si="15"/>
        <v>0.94956996038721475</v>
      </c>
      <c r="N188" s="1">
        <v>1</v>
      </c>
      <c r="O188" s="1">
        <v>19</v>
      </c>
      <c r="P188" s="2">
        <f>21930/63250</f>
        <v>0.34671936758893279</v>
      </c>
      <c r="Q188" s="1">
        <f t="shared" si="16"/>
        <v>0.3145740293961638</v>
      </c>
      <c r="R188" s="1">
        <v>0</v>
      </c>
      <c r="W188" s="16"/>
    </row>
    <row r="189" spans="1:23" x14ac:dyDescent="0.25">
      <c r="A189" s="5">
        <v>188</v>
      </c>
      <c r="B189" s="4" t="s">
        <v>35</v>
      </c>
      <c r="C189" s="5">
        <v>3</v>
      </c>
      <c r="D189" s="5" t="s">
        <v>52</v>
      </c>
      <c r="E189" s="5">
        <v>2</v>
      </c>
      <c r="F189" s="5">
        <v>2</v>
      </c>
      <c r="G189" s="5" t="str">
        <f t="shared" si="14"/>
        <v>MT_B</v>
      </c>
      <c r="H189" s="5" t="s">
        <v>57</v>
      </c>
      <c r="I189" s="1">
        <v>0.21316522504031668</v>
      </c>
      <c r="J189" s="3">
        <v>0.72425426136363635</v>
      </c>
      <c r="K189" s="3">
        <v>1.1218125960061445</v>
      </c>
      <c r="L189" s="3">
        <v>1.8624254473161035</v>
      </c>
      <c r="M189" s="3">
        <f t="shared" si="15"/>
        <v>1.6492602222757868</v>
      </c>
      <c r="N189" s="1">
        <v>1</v>
      </c>
      <c r="O189" s="1">
        <v>15</v>
      </c>
      <c r="P189" s="2">
        <f>35940/63250</f>
        <v>0.56822134387351775</v>
      </c>
      <c r="Q189" s="1">
        <f t="shared" si="16"/>
        <v>0.30509749783131873</v>
      </c>
      <c r="R189" s="1">
        <v>1</v>
      </c>
      <c r="S189" s="1">
        <v>17</v>
      </c>
      <c r="T189" s="1">
        <v>23</v>
      </c>
      <c r="U189" s="1">
        <v>3</v>
      </c>
      <c r="V189" s="1">
        <v>2</v>
      </c>
      <c r="W189" s="16">
        <f>V189/U189</f>
        <v>0.66666666666666663</v>
      </c>
    </row>
    <row r="190" spans="1:23" x14ac:dyDescent="0.25">
      <c r="A190" s="5">
        <v>189</v>
      </c>
      <c r="B190" s="4" t="s">
        <v>35</v>
      </c>
      <c r="C190" s="5">
        <v>3</v>
      </c>
      <c r="D190" s="5" t="s">
        <v>54</v>
      </c>
      <c r="E190" s="5">
        <v>2</v>
      </c>
      <c r="F190" s="5">
        <v>1</v>
      </c>
      <c r="G190" s="5" t="str">
        <f t="shared" si="14"/>
        <v>MT_C</v>
      </c>
      <c r="H190" s="5" t="s">
        <v>58</v>
      </c>
      <c r="I190" s="1">
        <v>0.11995308605776279</v>
      </c>
      <c r="J190" s="3">
        <v>1.2839133522727273</v>
      </c>
      <c r="K190" s="3">
        <v>1.5227342549923195</v>
      </c>
      <c r="L190" s="3">
        <v>2.6023856858846917</v>
      </c>
      <c r="M190" s="3">
        <f t="shared" si="15"/>
        <v>2.4824325998269288</v>
      </c>
      <c r="N190" s="1">
        <v>1</v>
      </c>
      <c r="O190" s="1">
        <v>20</v>
      </c>
      <c r="P190" s="2">
        <f>57830/63250</f>
        <v>0.9143083003952569</v>
      </c>
      <c r="Q190" s="1">
        <f t="shared" si="16"/>
        <v>0.35133466394103458</v>
      </c>
      <c r="R190" s="1">
        <v>1</v>
      </c>
      <c r="S190" s="1">
        <v>21</v>
      </c>
      <c r="T190" s="1">
        <v>26</v>
      </c>
      <c r="U190" s="1">
        <v>3</v>
      </c>
      <c r="V190" s="1">
        <v>3</v>
      </c>
      <c r="W190" s="16">
        <f>V190/U190</f>
        <v>1</v>
      </c>
    </row>
    <row r="191" spans="1:23" x14ac:dyDescent="0.25">
      <c r="A191" s="5">
        <v>190</v>
      </c>
      <c r="B191" s="4" t="s">
        <v>35</v>
      </c>
      <c r="C191" s="5">
        <v>4</v>
      </c>
      <c r="D191" s="5" t="s">
        <v>50</v>
      </c>
      <c r="E191" s="5">
        <v>2</v>
      </c>
      <c r="F191" s="5">
        <v>2</v>
      </c>
      <c r="G191" s="5" t="str">
        <f t="shared" si="14"/>
        <v>MT_A</v>
      </c>
      <c r="H191" s="5" t="s">
        <v>56</v>
      </c>
      <c r="I191" s="1">
        <v>0.17900601084884915</v>
      </c>
      <c r="J191" s="3">
        <v>0.78125</v>
      </c>
      <c r="K191" s="3">
        <v>0.96221198156682031</v>
      </c>
      <c r="L191" s="3">
        <v>1.4236580516898609</v>
      </c>
      <c r="M191" s="3">
        <f t="shared" si="15"/>
        <v>1.2446520408410118</v>
      </c>
      <c r="N191" s="1">
        <v>1</v>
      </c>
      <c r="O191" s="1">
        <v>16</v>
      </c>
      <c r="P191" s="2">
        <f>18560/63250</f>
        <v>0.29343873517786562</v>
      </c>
      <c r="Q191" s="1">
        <f t="shared" si="16"/>
        <v>0.20611602261481132</v>
      </c>
      <c r="R191" s="1">
        <v>0</v>
      </c>
      <c r="W191" s="16"/>
    </row>
    <row r="192" spans="1:23" x14ac:dyDescent="0.25">
      <c r="A192" s="5">
        <v>191</v>
      </c>
      <c r="B192" s="4" t="s">
        <v>35</v>
      </c>
      <c r="C192" s="5">
        <v>4</v>
      </c>
      <c r="D192" s="5" t="s">
        <v>52</v>
      </c>
      <c r="E192" s="5">
        <v>2</v>
      </c>
      <c r="F192" s="5">
        <v>2</v>
      </c>
      <c r="G192" s="5" t="str">
        <f t="shared" si="14"/>
        <v>MT_B</v>
      </c>
      <c r="H192" s="5" t="s">
        <v>57</v>
      </c>
      <c r="I192" s="1">
        <v>0.13931974783756049</v>
      </c>
      <c r="J192" s="3">
        <v>0.75834517045454541</v>
      </c>
      <c r="K192" s="3">
        <v>0.81920122887864821</v>
      </c>
      <c r="L192" s="3">
        <v>1.2085487077534791</v>
      </c>
      <c r="M192" s="3">
        <f t="shared" si="15"/>
        <v>1.0692289599159186</v>
      </c>
      <c r="N192" s="1">
        <v>1</v>
      </c>
      <c r="O192" s="1">
        <v>19</v>
      </c>
      <c r="P192" s="2">
        <f>18120/63250</f>
        <v>0.2864822134387352</v>
      </c>
      <c r="Q192" s="1">
        <f t="shared" si="16"/>
        <v>0.23704647698582629</v>
      </c>
      <c r="R192" s="1">
        <v>1</v>
      </c>
      <c r="S192" s="1">
        <v>23</v>
      </c>
      <c r="T192" s="1">
        <v>28</v>
      </c>
      <c r="U192" s="1">
        <v>5</v>
      </c>
      <c r="V192" s="1">
        <v>4</v>
      </c>
      <c r="W192" s="16">
        <f>V192/U192</f>
        <v>0.8</v>
      </c>
    </row>
    <row r="193" spans="1:23" x14ac:dyDescent="0.25">
      <c r="A193" s="5">
        <v>192</v>
      </c>
      <c r="B193" s="4" t="s">
        <v>35</v>
      </c>
      <c r="C193" s="5">
        <v>4</v>
      </c>
      <c r="D193" s="5" t="s">
        <v>54</v>
      </c>
      <c r="E193" s="5">
        <v>2</v>
      </c>
      <c r="F193" s="5">
        <v>2</v>
      </c>
      <c r="G193" s="5" t="str">
        <f t="shared" ref="G193:G256" si="17">CONCATENATE(B193,"_",D193)</f>
        <v>MT_C</v>
      </c>
      <c r="H193" s="5" t="s">
        <v>63</v>
      </c>
      <c r="I193" s="1">
        <v>0.13909983873332357</v>
      </c>
      <c r="J193" s="3">
        <v>0.654296875</v>
      </c>
      <c r="K193" s="3">
        <v>0.80218687872763417</v>
      </c>
      <c r="L193" s="3">
        <v>1.375115207373272</v>
      </c>
      <c r="M193" s="3">
        <f t="shared" si="15"/>
        <v>1.2360153686399484</v>
      </c>
      <c r="N193" s="1">
        <v>1</v>
      </c>
      <c r="O193" s="1">
        <v>14</v>
      </c>
      <c r="P193" s="2">
        <f>50810/63250</f>
        <v>0.8033201581027668</v>
      </c>
      <c r="Q193" s="1">
        <f t="shared" si="16"/>
        <v>0.58418389513505486</v>
      </c>
      <c r="R193" s="1">
        <v>1</v>
      </c>
      <c r="S193" s="1">
        <v>22</v>
      </c>
      <c r="T193" s="1">
        <v>26</v>
      </c>
      <c r="U193" s="1">
        <v>4</v>
      </c>
      <c r="V193" s="1">
        <v>3</v>
      </c>
      <c r="W193" s="16">
        <f>V193/U193</f>
        <v>0.75</v>
      </c>
    </row>
    <row r="194" spans="1:23" x14ac:dyDescent="0.25">
      <c r="A194" s="5">
        <v>193</v>
      </c>
      <c r="B194" s="4" t="s">
        <v>35</v>
      </c>
      <c r="C194" s="5">
        <v>5</v>
      </c>
      <c r="D194" s="5" t="s">
        <v>50</v>
      </c>
      <c r="E194" s="5">
        <v>2</v>
      </c>
      <c r="F194" s="5">
        <v>2</v>
      </c>
      <c r="G194" s="5" t="str">
        <f t="shared" si="17"/>
        <v>MT_A</v>
      </c>
      <c r="H194" s="5" t="s">
        <v>56</v>
      </c>
      <c r="I194" s="1">
        <v>0.19718516346576748</v>
      </c>
      <c r="J194" s="3">
        <v>0.66495028409090906</v>
      </c>
      <c r="K194" s="3">
        <v>0.32718894009216593</v>
      </c>
      <c r="L194" s="3">
        <v>2.1848906560636183</v>
      </c>
      <c r="M194" s="3">
        <f t="shared" si="15"/>
        <v>1.9877054925978508</v>
      </c>
      <c r="N194" s="1">
        <v>1</v>
      </c>
      <c r="O194" s="1">
        <v>16</v>
      </c>
      <c r="P194" s="2">
        <f>22700/63250</f>
        <v>0.35889328063241105</v>
      </c>
      <c r="Q194" s="1">
        <f t="shared" si="16"/>
        <v>0.1642614378144702</v>
      </c>
      <c r="R194" s="1">
        <v>0</v>
      </c>
      <c r="W194" s="16"/>
    </row>
    <row r="195" spans="1:23" x14ac:dyDescent="0.25">
      <c r="A195" s="5">
        <v>194</v>
      </c>
      <c r="B195" s="4" t="s">
        <v>35</v>
      </c>
      <c r="C195" s="5">
        <v>5</v>
      </c>
      <c r="D195" s="5" t="s">
        <v>52</v>
      </c>
      <c r="E195" s="5">
        <v>2</v>
      </c>
      <c r="F195" s="5">
        <v>3</v>
      </c>
      <c r="G195" s="5" t="str">
        <f t="shared" si="17"/>
        <v>MT_B</v>
      </c>
      <c r="H195" s="5" t="s">
        <v>59</v>
      </c>
      <c r="I195" s="1">
        <v>0.25333528808092654</v>
      </c>
      <c r="J195" s="3">
        <v>0.49591619318181818</v>
      </c>
      <c r="K195" s="3">
        <v>0.41351766513056837</v>
      </c>
      <c r="L195" s="3">
        <v>0.55248508946322072</v>
      </c>
      <c r="M195" s="3">
        <f t="shared" si="15"/>
        <v>0.29914980138229419</v>
      </c>
      <c r="N195" s="1">
        <v>1</v>
      </c>
      <c r="O195" s="1">
        <v>17</v>
      </c>
      <c r="P195" s="2">
        <f>11080/63250</f>
        <v>0.17517786561264823</v>
      </c>
      <c r="Q195" s="1">
        <f t="shared" si="16"/>
        <v>0.31707256712184978</v>
      </c>
      <c r="R195" s="1">
        <v>0</v>
      </c>
      <c r="W195" s="16"/>
    </row>
    <row r="196" spans="1:23" x14ac:dyDescent="0.25">
      <c r="A196" s="5">
        <v>195</v>
      </c>
      <c r="B196" s="4" t="s">
        <v>35</v>
      </c>
      <c r="C196" s="5">
        <v>5</v>
      </c>
      <c r="D196" s="5" t="s">
        <v>54</v>
      </c>
      <c r="E196" s="5">
        <v>2</v>
      </c>
      <c r="F196" s="5">
        <v>3</v>
      </c>
      <c r="G196" s="5" t="str">
        <f t="shared" si="17"/>
        <v>MT_C</v>
      </c>
      <c r="H196" s="5" t="s">
        <v>55</v>
      </c>
      <c r="I196" s="1">
        <v>0.29995601817915263</v>
      </c>
      <c r="J196" s="3">
        <v>0.46111505681818182</v>
      </c>
      <c r="K196" s="3">
        <v>0.58325652841781872</v>
      </c>
      <c r="L196" s="3">
        <v>0.78568588469184886</v>
      </c>
      <c r="M196" s="3">
        <f t="shared" si="15"/>
        <v>0.48572986651269623</v>
      </c>
      <c r="N196" s="1">
        <v>1</v>
      </c>
      <c r="O196" s="1">
        <v>18</v>
      </c>
      <c r="P196" s="2">
        <f>15360/63250</f>
        <v>0.24284584980237153</v>
      </c>
      <c r="Q196" s="1">
        <f t="shared" si="16"/>
        <v>0.30908770863004276</v>
      </c>
      <c r="R196" s="1">
        <v>0</v>
      </c>
      <c r="W196" s="16"/>
    </row>
    <row r="197" spans="1:23" x14ac:dyDescent="0.25">
      <c r="A197" s="5">
        <v>196</v>
      </c>
      <c r="B197" s="4" t="s">
        <v>35</v>
      </c>
      <c r="C197" s="5">
        <v>6</v>
      </c>
      <c r="D197" s="5" t="s">
        <v>50</v>
      </c>
      <c r="E197" s="5">
        <v>2</v>
      </c>
      <c r="F197" s="5">
        <v>2</v>
      </c>
      <c r="G197" s="5" t="str">
        <f t="shared" si="17"/>
        <v>MT_A</v>
      </c>
      <c r="H197" s="5" t="s">
        <v>56</v>
      </c>
      <c r="I197" s="1">
        <v>0.22533352880809265</v>
      </c>
      <c r="J197" s="3">
        <v>0.88671875</v>
      </c>
      <c r="K197" s="3">
        <v>0.99523809523809526</v>
      </c>
      <c r="L197" s="3">
        <v>1.1286282306163022</v>
      </c>
      <c r="M197" s="3">
        <f t="shared" si="15"/>
        <v>0.90329470180820959</v>
      </c>
      <c r="N197" s="1">
        <v>1</v>
      </c>
      <c r="O197" s="1">
        <v>20</v>
      </c>
      <c r="P197" s="2">
        <f>56440/63250</f>
        <v>0.89233201581027666</v>
      </c>
      <c r="Q197" s="1">
        <f t="shared" si="16"/>
        <v>0.79063414471123683</v>
      </c>
      <c r="R197" s="1">
        <v>0</v>
      </c>
      <c r="W197" s="16"/>
    </row>
    <row r="198" spans="1:23" x14ac:dyDescent="0.25">
      <c r="A198" s="5">
        <v>197</v>
      </c>
      <c r="B198" s="4" t="s">
        <v>35</v>
      </c>
      <c r="C198" s="5">
        <v>6</v>
      </c>
      <c r="D198" s="5" t="s">
        <v>52</v>
      </c>
      <c r="E198" s="5">
        <v>2</v>
      </c>
      <c r="F198" s="5">
        <v>2</v>
      </c>
      <c r="G198" s="5" t="str">
        <f t="shared" si="17"/>
        <v>MT_B</v>
      </c>
      <c r="H198" s="5" t="s">
        <v>57</v>
      </c>
      <c r="I198" s="1">
        <v>0.18032546547427064</v>
      </c>
      <c r="J198" s="3">
        <v>0.35955255681818182</v>
      </c>
      <c r="K198" s="3">
        <v>1.0508448540706605</v>
      </c>
      <c r="L198" s="3">
        <v>1.9387673956262426</v>
      </c>
      <c r="M198" s="3">
        <f t="shared" si="15"/>
        <v>1.7584419301519718</v>
      </c>
      <c r="N198" s="1">
        <v>1</v>
      </c>
      <c r="O198" s="1">
        <v>21</v>
      </c>
      <c r="P198" s="2">
        <f>58170/63250</f>
        <v>0.91968379446640314</v>
      </c>
      <c r="Q198" s="1">
        <f t="shared" si="16"/>
        <v>0.4743652057184175</v>
      </c>
      <c r="R198" s="1">
        <v>0</v>
      </c>
      <c r="W198" s="16"/>
    </row>
    <row r="199" spans="1:23" x14ac:dyDescent="0.25">
      <c r="A199" s="5">
        <v>198</v>
      </c>
      <c r="B199" s="4" t="s">
        <v>35</v>
      </c>
      <c r="C199" s="5">
        <v>6</v>
      </c>
      <c r="D199" s="5" t="s">
        <v>54</v>
      </c>
      <c r="E199" s="5">
        <v>2</v>
      </c>
      <c r="F199" s="5">
        <v>3</v>
      </c>
      <c r="G199" s="5" t="str">
        <f t="shared" si="17"/>
        <v>MT_C</v>
      </c>
      <c r="H199" s="5" t="s">
        <v>55</v>
      </c>
      <c r="I199" s="1">
        <v>0.25245565166397888</v>
      </c>
      <c r="J199" s="3">
        <v>0.76420454545454541</v>
      </c>
      <c r="K199" s="3">
        <v>0.40384024577572963</v>
      </c>
      <c r="L199" s="3">
        <v>2.2087475149105367</v>
      </c>
      <c r="M199" s="3">
        <f t="shared" si="15"/>
        <v>1.9562918632465578</v>
      </c>
      <c r="N199" s="1">
        <v>0</v>
      </c>
      <c r="W199" s="16"/>
    </row>
    <row r="200" spans="1:23" x14ac:dyDescent="0.25">
      <c r="A200" s="5">
        <v>199</v>
      </c>
      <c r="B200" s="4" t="s">
        <v>35</v>
      </c>
      <c r="C200" s="5">
        <v>7</v>
      </c>
      <c r="D200" s="5" t="s">
        <v>50</v>
      </c>
      <c r="E200" s="5">
        <v>2</v>
      </c>
      <c r="F200" s="5">
        <v>2</v>
      </c>
      <c r="G200" s="5" t="str">
        <f t="shared" si="17"/>
        <v>MT_A</v>
      </c>
      <c r="H200" s="5" t="s">
        <v>56</v>
      </c>
      <c r="I200" s="1">
        <v>0.21389825538777305</v>
      </c>
      <c r="J200" s="3">
        <v>0.82670454545454541</v>
      </c>
      <c r="K200" s="3">
        <v>0.70245775729646698</v>
      </c>
      <c r="L200" s="3">
        <v>0.67017892644135191</v>
      </c>
      <c r="M200" s="3">
        <f t="shared" si="15"/>
        <v>0.45628067105357883</v>
      </c>
      <c r="N200" s="1">
        <v>0</v>
      </c>
      <c r="W200" s="16"/>
    </row>
    <row r="201" spans="1:23" x14ac:dyDescent="0.25">
      <c r="A201" s="5">
        <v>200</v>
      </c>
      <c r="B201" s="4" t="s">
        <v>35</v>
      </c>
      <c r="C201" s="5">
        <v>7</v>
      </c>
      <c r="D201" s="5" t="s">
        <v>52</v>
      </c>
      <c r="E201" s="5">
        <v>2</v>
      </c>
      <c r="F201" s="5">
        <v>3</v>
      </c>
      <c r="G201" s="5" t="str">
        <f t="shared" si="17"/>
        <v>MT_B</v>
      </c>
      <c r="H201" s="5" t="s">
        <v>59</v>
      </c>
      <c r="I201" s="1">
        <v>0.29130626007916727</v>
      </c>
      <c r="J201" s="3">
        <v>0.54456676136363635</v>
      </c>
      <c r="K201" s="3">
        <v>1.2377880184331798</v>
      </c>
      <c r="L201" s="3">
        <v>0.70258449304174952</v>
      </c>
      <c r="M201" s="3">
        <f t="shared" si="15"/>
        <v>0.41127823296258226</v>
      </c>
      <c r="N201" s="1">
        <v>0</v>
      </c>
      <c r="W201" s="16"/>
    </row>
    <row r="202" spans="1:23" x14ac:dyDescent="0.25">
      <c r="A202" s="5">
        <v>201</v>
      </c>
      <c r="B202" s="4" t="s">
        <v>35</v>
      </c>
      <c r="C202" s="5">
        <v>7</v>
      </c>
      <c r="D202" s="5" t="s">
        <v>54</v>
      </c>
      <c r="E202" s="5">
        <v>2</v>
      </c>
      <c r="F202" s="5">
        <v>2</v>
      </c>
      <c r="G202" s="5" t="str">
        <f t="shared" si="17"/>
        <v>MT_C</v>
      </c>
      <c r="H202" s="5" t="s">
        <v>63</v>
      </c>
      <c r="I202" s="1">
        <v>0.23090455944876118</v>
      </c>
      <c r="J202" s="3">
        <v>0.82421875</v>
      </c>
      <c r="K202" s="3">
        <v>1.0913978494623655</v>
      </c>
      <c r="L202" s="3">
        <v>1.3353876739562625</v>
      </c>
      <c r="M202" s="3">
        <f t="shared" si="15"/>
        <v>1.1044831145075014</v>
      </c>
      <c r="N202" s="1">
        <v>0</v>
      </c>
      <c r="W202" s="16"/>
    </row>
    <row r="203" spans="1:23" x14ac:dyDescent="0.25">
      <c r="A203" s="5">
        <v>202</v>
      </c>
      <c r="B203" s="4" t="s">
        <v>35</v>
      </c>
      <c r="C203" s="5">
        <v>8</v>
      </c>
      <c r="D203" s="5" t="s">
        <v>50</v>
      </c>
      <c r="E203" s="5">
        <v>2</v>
      </c>
      <c r="F203" s="5">
        <v>2</v>
      </c>
      <c r="G203" s="5" t="str">
        <f t="shared" si="17"/>
        <v>MT_A</v>
      </c>
      <c r="H203" s="5" t="s">
        <v>56</v>
      </c>
      <c r="I203" s="1">
        <v>0.20979328544201731</v>
      </c>
      <c r="J203" s="3">
        <v>0.76331676136363635</v>
      </c>
      <c r="K203" s="3">
        <v>0.52519201228878654</v>
      </c>
      <c r="L203" s="3">
        <v>1.5703777335984095</v>
      </c>
      <c r="M203" s="3">
        <f t="shared" si="15"/>
        <v>1.3605844481563922</v>
      </c>
      <c r="N203" s="1">
        <v>0</v>
      </c>
      <c r="W203" s="16"/>
    </row>
    <row r="204" spans="1:23" x14ac:dyDescent="0.25">
      <c r="A204" s="5">
        <v>203</v>
      </c>
      <c r="B204" s="4" t="s">
        <v>35</v>
      </c>
      <c r="C204" s="5">
        <v>8</v>
      </c>
      <c r="D204" s="5" t="s">
        <v>52</v>
      </c>
      <c r="E204" s="5">
        <v>2</v>
      </c>
      <c r="F204" s="5">
        <v>3</v>
      </c>
      <c r="G204" s="5" t="str">
        <f t="shared" si="17"/>
        <v>MT_B</v>
      </c>
      <c r="H204" s="5" t="s">
        <v>59</v>
      </c>
      <c r="I204" s="1">
        <v>0.2608121976249817</v>
      </c>
      <c r="J204" s="3">
        <v>0.3125</v>
      </c>
      <c r="K204" s="3">
        <v>0.45852534562211983</v>
      </c>
      <c r="L204" s="3"/>
      <c r="M204" s="3"/>
      <c r="O204" s="2"/>
      <c r="W204" s="16"/>
    </row>
    <row r="205" spans="1:23" x14ac:dyDescent="0.25">
      <c r="A205" s="5">
        <v>204</v>
      </c>
      <c r="B205" s="4" t="s">
        <v>35</v>
      </c>
      <c r="C205" s="5">
        <v>8</v>
      </c>
      <c r="D205" s="5" t="s">
        <v>54</v>
      </c>
      <c r="E205" s="5">
        <v>2</v>
      </c>
      <c r="F205" s="5">
        <v>3</v>
      </c>
      <c r="G205" s="5" t="str">
        <f t="shared" si="17"/>
        <v>MT_C</v>
      </c>
      <c r="H205" s="5" t="s">
        <v>55</v>
      </c>
      <c r="I205" s="1">
        <v>0.25245565166397888</v>
      </c>
      <c r="J205" s="3">
        <v>0.48508522727272729</v>
      </c>
      <c r="K205" s="3">
        <v>0.54393241167434714</v>
      </c>
      <c r="L205" s="3">
        <v>0.58528827037773357</v>
      </c>
      <c r="M205" s="3">
        <f t="shared" ref="M205:M211" si="18">L205-I205</f>
        <v>0.33283261871375469</v>
      </c>
      <c r="N205" s="1">
        <v>0</v>
      </c>
      <c r="O205" s="2"/>
      <c r="W205" s="16"/>
    </row>
    <row r="206" spans="1:23" x14ac:dyDescent="0.25">
      <c r="A206" s="5">
        <v>205</v>
      </c>
      <c r="B206" s="4" t="s">
        <v>35</v>
      </c>
      <c r="C206" s="5">
        <v>9</v>
      </c>
      <c r="D206" s="5" t="s">
        <v>50</v>
      </c>
      <c r="E206" s="5">
        <v>2</v>
      </c>
      <c r="F206" s="5">
        <v>2</v>
      </c>
      <c r="G206" s="5" t="str">
        <f t="shared" si="17"/>
        <v>MT_A</v>
      </c>
      <c r="H206" s="5" t="s">
        <v>56</v>
      </c>
      <c r="I206" s="1">
        <v>0.16185310071836975</v>
      </c>
      <c r="J206" s="3">
        <v>0.65110085227272729</v>
      </c>
      <c r="K206" s="3">
        <v>0.56513056835637476</v>
      </c>
      <c r="L206" s="3">
        <v>0.64950298210735591</v>
      </c>
      <c r="M206" s="3">
        <f t="shared" si="18"/>
        <v>0.48764988138898613</v>
      </c>
      <c r="N206" s="1">
        <v>0</v>
      </c>
      <c r="O206" s="2"/>
      <c r="W206" s="16"/>
    </row>
    <row r="207" spans="1:23" x14ac:dyDescent="0.25">
      <c r="A207" s="5">
        <v>206</v>
      </c>
      <c r="B207" s="4" t="s">
        <v>35</v>
      </c>
      <c r="C207" s="5">
        <v>9</v>
      </c>
      <c r="D207" s="5" t="s">
        <v>52</v>
      </c>
      <c r="E207" s="5">
        <v>2</v>
      </c>
      <c r="F207" s="5">
        <v>2</v>
      </c>
      <c r="G207" s="5" t="str">
        <f t="shared" si="17"/>
        <v>MT_B</v>
      </c>
      <c r="H207" s="5" t="s">
        <v>57</v>
      </c>
      <c r="I207" s="1">
        <v>0.21653716463861603</v>
      </c>
      <c r="J207" s="3">
        <v>0.32013494318181818</v>
      </c>
      <c r="K207" s="3">
        <v>0.51582181259600612</v>
      </c>
      <c r="L207" s="3">
        <v>1.125248508946322</v>
      </c>
      <c r="M207" s="3">
        <f t="shared" si="18"/>
        <v>0.90871134430770595</v>
      </c>
      <c r="N207" s="1">
        <v>1</v>
      </c>
      <c r="O207" s="1">
        <v>15</v>
      </c>
      <c r="P207" s="2">
        <f>9143/63250</f>
        <v>0.14455335968379446</v>
      </c>
      <c r="Q207" s="1">
        <f>P207/L207</f>
        <v>0.12846349809354879</v>
      </c>
      <c r="R207" s="1">
        <v>0</v>
      </c>
      <c r="W207" s="16"/>
    </row>
    <row r="208" spans="1:23" x14ac:dyDescent="0.25">
      <c r="A208" s="5">
        <v>207</v>
      </c>
      <c r="B208" s="4" t="s">
        <v>35</v>
      </c>
      <c r="C208" s="5">
        <v>9</v>
      </c>
      <c r="D208" s="5" t="s">
        <v>54</v>
      </c>
      <c r="E208" s="5">
        <v>2</v>
      </c>
      <c r="F208" s="5">
        <v>1</v>
      </c>
      <c r="G208" s="5" t="str">
        <f t="shared" si="17"/>
        <v>MT_C</v>
      </c>
      <c r="H208" s="5" t="s">
        <v>58</v>
      </c>
      <c r="I208" s="1">
        <v>0.11171382495235303</v>
      </c>
      <c r="J208" s="3">
        <v>0.39222301136363635</v>
      </c>
      <c r="K208" s="3">
        <v>0.76113671274961603</v>
      </c>
      <c r="L208" s="3">
        <v>0.9071570576540755</v>
      </c>
      <c r="M208" s="3">
        <f t="shared" si="18"/>
        <v>0.79544323270172246</v>
      </c>
      <c r="N208" s="1">
        <v>1</v>
      </c>
      <c r="O208" s="1">
        <v>15</v>
      </c>
      <c r="P208" s="2">
        <f>20470/63250</f>
        <v>0.32363636363636361</v>
      </c>
      <c r="Q208" s="1">
        <f>P208/L208</f>
        <v>0.35675891060506443</v>
      </c>
      <c r="R208" s="1">
        <v>0</v>
      </c>
      <c r="W208" s="16"/>
    </row>
    <row r="209" spans="1:23" x14ac:dyDescent="0.25">
      <c r="A209" s="5">
        <v>208</v>
      </c>
      <c r="B209" s="4" t="s">
        <v>35</v>
      </c>
      <c r="C209" s="5">
        <v>10</v>
      </c>
      <c r="D209" s="5" t="s">
        <v>50</v>
      </c>
      <c r="E209" s="5">
        <v>2</v>
      </c>
      <c r="F209" s="5">
        <v>3</v>
      </c>
      <c r="G209" s="5" t="str">
        <f t="shared" si="17"/>
        <v>MT_A</v>
      </c>
      <c r="H209" s="5" t="s">
        <v>62</v>
      </c>
      <c r="I209" s="1">
        <v>0.32399941357572204</v>
      </c>
      <c r="J209" s="3">
        <v>1.0170454545454546</v>
      </c>
      <c r="K209" s="3">
        <v>0.33947772657450076</v>
      </c>
      <c r="L209" s="3">
        <v>1.9216699801192842</v>
      </c>
      <c r="M209" s="3">
        <f t="shared" si="18"/>
        <v>1.5976705665435622</v>
      </c>
      <c r="N209" s="1">
        <v>1</v>
      </c>
      <c r="O209" s="1">
        <v>16</v>
      </c>
      <c r="P209" s="2">
        <f>36200/63250</f>
        <v>0.57233201581027671</v>
      </c>
      <c r="Q209" s="1">
        <f>P209/L209</f>
        <v>0.29783054412639065</v>
      </c>
      <c r="R209" s="1">
        <v>0</v>
      </c>
      <c r="W209" s="16"/>
    </row>
    <row r="210" spans="1:23" x14ac:dyDescent="0.25">
      <c r="A210" s="5">
        <v>209</v>
      </c>
      <c r="B210" s="4" t="s">
        <v>35</v>
      </c>
      <c r="C210" s="5">
        <v>10</v>
      </c>
      <c r="D210" s="5" t="s">
        <v>52</v>
      </c>
      <c r="E210" s="5">
        <v>2</v>
      </c>
      <c r="F210" s="5">
        <v>2</v>
      </c>
      <c r="G210" s="5" t="str">
        <f t="shared" si="17"/>
        <v>MT_B</v>
      </c>
      <c r="H210" s="5" t="s">
        <v>57</v>
      </c>
      <c r="I210" s="1">
        <v>0.16933001026242486</v>
      </c>
      <c r="J210" s="3">
        <v>0.60635653409090906</v>
      </c>
      <c r="K210" s="3">
        <v>0.72826420890937016</v>
      </c>
      <c r="L210" s="3">
        <v>1.2027833001988071</v>
      </c>
      <c r="M210" s="3">
        <f t="shared" si="18"/>
        <v>1.0334532899363822</v>
      </c>
      <c r="N210" s="1">
        <v>1</v>
      </c>
      <c r="O210" s="1">
        <v>17</v>
      </c>
      <c r="P210" s="2">
        <f>33990/63250</f>
        <v>0.53739130434782612</v>
      </c>
      <c r="Q210" s="1">
        <f>P210/L210</f>
        <v>0.44678979518505213</v>
      </c>
      <c r="R210" s="1">
        <v>0</v>
      </c>
      <c r="W210" s="16"/>
    </row>
    <row r="211" spans="1:23" x14ac:dyDescent="0.25">
      <c r="A211" s="5">
        <v>210</v>
      </c>
      <c r="B211" s="4" t="s">
        <v>35</v>
      </c>
      <c r="C211" s="5">
        <v>10</v>
      </c>
      <c r="D211" s="5" t="s">
        <v>54</v>
      </c>
      <c r="E211" s="5">
        <v>2</v>
      </c>
      <c r="F211" s="5">
        <v>3</v>
      </c>
      <c r="G211" s="5" t="str">
        <f t="shared" si="17"/>
        <v>MT_C</v>
      </c>
      <c r="H211" s="5" t="s">
        <v>55</v>
      </c>
      <c r="I211" s="1">
        <v>0.32209353467233542</v>
      </c>
      <c r="J211" s="3">
        <v>0.51811079545454541</v>
      </c>
      <c r="K211" s="3">
        <v>0.72826420890937016</v>
      </c>
      <c r="L211" s="2">
        <v>0.9964214711729622</v>
      </c>
      <c r="M211" s="2">
        <f t="shared" si="18"/>
        <v>0.67432793650062672</v>
      </c>
      <c r="N211" s="1">
        <v>1</v>
      </c>
      <c r="O211" s="1">
        <v>18</v>
      </c>
      <c r="P211" s="2">
        <f>27320/63250</f>
        <v>0.43193675889328065</v>
      </c>
      <c r="Q211" s="1">
        <f>P211/L211</f>
        <v>0.43348800822689582</v>
      </c>
      <c r="R211" s="1">
        <v>0</v>
      </c>
      <c r="W211" s="16"/>
    </row>
    <row r="212" spans="1:23" x14ac:dyDescent="0.25">
      <c r="A212" s="5">
        <v>211</v>
      </c>
      <c r="B212" s="4" t="s">
        <v>35</v>
      </c>
      <c r="C212" s="5">
        <v>11</v>
      </c>
      <c r="D212" s="5" t="s">
        <v>50</v>
      </c>
      <c r="E212" s="5">
        <v>2</v>
      </c>
      <c r="F212" s="5">
        <v>1</v>
      </c>
      <c r="G212" s="5" t="str">
        <f t="shared" si="17"/>
        <v>MT_A</v>
      </c>
      <c r="H212" s="5" t="s">
        <v>51</v>
      </c>
      <c r="I212" s="1">
        <v>0.12482040756487318</v>
      </c>
      <c r="J212" s="3">
        <v>0.30368663594470047</v>
      </c>
      <c r="K212" s="3">
        <v>0.52112926136363635</v>
      </c>
      <c r="L212" s="3"/>
      <c r="M212" s="3"/>
      <c r="W212" s="16"/>
    </row>
    <row r="213" spans="1:23" x14ac:dyDescent="0.25">
      <c r="A213" s="5">
        <v>212</v>
      </c>
      <c r="B213" s="4" t="s">
        <v>35</v>
      </c>
      <c r="C213" s="5">
        <v>11</v>
      </c>
      <c r="D213" s="5" t="s">
        <v>52</v>
      </c>
      <c r="E213" s="5">
        <v>2</v>
      </c>
      <c r="F213" s="5">
        <v>3</v>
      </c>
      <c r="G213" s="5" t="str">
        <f t="shared" si="17"/>
        <v>MT_B</v>
      </c>
      <c r="H213" s="5" t="s">
        <v>59</v>
      </c>
      <c r="I213" s="1">
        <v>0.24116698431315056</v>
      </c>
      <c r="J213" s="3">
        <v>0.1620583717357911</v>
      </c>
      <c r="K213" s="3">
        <v>0.61310369318181823</v>
      </c>
      <c r="L213" s="3"/>
      <c r="M213" s="3"/>
      <c r="W213" s="16"/>
    </row>
    <row r="214" spans="1:23" x14ac:dyDescent="0.25">
      <c r="A214" s="5">
        <v>213</v>
      </c>
      <c r="B214" s="4" t="s">
        <v>35</v>
      </c>
      <c r="C214" s="5">
        <v>11</v>
      </c>
      <c r="D214" s="5" t="s">
        <v>54</v>
      </c>
      <c r="E214" s="5">
        <v>2</v>
      </c>
      <c r="F214" s="5">
        <v>3</v>
      </c>
      <c r="G214" s="5" t="str">
        <f t="shared" si="17"/>
        <v>MT_C</v>
      </c>
      <c r="H214" s="5" t="s">
        <v>55</v>
      </c>
      <c r="I214" s="1">
        <v>0.27444656208767043</v>
      </c>
      <c r="J214" s="3">
        <v>0.49449573863636365</v>
      </c>
      <c r="K214" s="3">
        <v>0.72150537634408607</v>
      </c>
      <c r="L214" s="3">
        <v>0.7795228628230616</v>
      </c>
      <c r="M214" s="3">
        <f t="shared" ref="M214:M240" si="19">L214-I214</f>
        <v>0.50507630073539111</v>
      </c>
      <c r="N214" s="1">
        <v>1</v>
      </c>
      <c r="O214" s="1">
        <v>19</v>
      </c>
      <c r="P214" s="2">
        <f>16630/63250</f>
        <v>0.26292490118577078</v>
      </c>
      <c r="Q214" s="1">
        <f t="shared" ref="Q214:Q220" si="20">P214/L214</f>
        <v>0.33728953148799468</v>
      </c>
      <c r="R214" s="1">
        <v>0</v>
      </c>
      <c r="W214" s="16"/>
    </row>
    <row r="215" spans="1:23" x14ac:dyDescent="0.25">
      <c r="A215" s="5">
        <v>214</v>
      </c>
      <c r="B215" s="4" t="s">
        <v>35</v>
      </c>
      <c r="C215" s="5">
        <v>12</v>
      </c>
      <c r="D215" s="5" t="s">
        <v>50</v>
      </c>
      <c r="E215" s="5">
        <v>2</v>
      </c>
      <c r="F215" s="5">
        <v>2</v>
      </c>
      <c r="G215" s="5" t="str">
        <f t="shared" si="17"/>
        <v>MT_A</v>
      </c>
      <c r="H215" s="5" t="s">
        <v>56</v>
      </c>
      <c r="I215" s="1">
        <v>0.18897522357425597</v>
      </c>
      <c r="J215" s="3">
        <v>0.46803977272727271</v>
      </c>
      <c r="K215" s="3">
        <v>1.0437788018433181</v>
      </c>
      <c r="L215" s="3">
        <v>1.4952286282306162</v>
      </c>
      <c r="M215" s="3">
        <f t="shared" si="19"/>
        <v>1.3062534046563603</v>
      </c>
      <c r="N215" s="1">
        <v>1</v>
      </c>
      <c r="O215" s="1">
        <v>20</v>
      </c>
      <c r="P215" s="2">
        <f>14090/63250</f>
        <v>0.22276679841897234</v>
      </c>
      <c r="Q215" s="1">
        <f t="shared" si="20"/>
        <v>0.14898510783771188</v>
      </c>
      <c r="R215" s="1">
        <v>0</v>
      </c>
      <c r="W215" s="16"/>
    </row>
    <row r="216" spans="1:23" x14ac:dyDescent="0.25">
      <c r="A216" s="5">
        <v>215</v>
      </c>
      <c r="B216" s="4" t="s">
        <v>35</v>
      </c>
      <c r="C216" s="5">
        <v>12</v>
      </c>
      <c r="D216" s="5" t="s">
        <v>52</v>
      </c>
      <c r="E216" s="5">
        <v>2</v>
      </c>
      <c r="F216" s="5">
        <v>2</v>
      </c>
      <c r="G216" s="5" t="str">
        <f t="shared" si="17"/>
        <v>MT_B</v>
      </c>
      <c r="H216" s="5" t="s">
        <v>57</v>
      </c>
      <c r="I216" s="1">
        <v>0.22034892244538923</v>
      </c>
      <c r="J216" s="3">
        <v>0.45028409090909088</v>
      </c>
      <c r="K216" s="3">
        <v>0.84470046082949313</v>
      </c>
      <c r="L216" s="3">
        <v>1.8594433399602386</v>
      </c>
      <c r="M216" s="3">
        <f t="shared" si="19"/>
        <v>1.6390944175148494</v>
      </c>
      <c r="N216" s="1">
        <v>1</v>
      </c>
      <c r="O216" s="1">
        <v>17</v>
      </c>
      <c r="P216" s="2">
        <f>24900/63250</f>
        <v>0.39367588932806324</v>
      </c>
      <c r="Q216" s="1">
        <f t="shared" si="20"/>
        <v>0.21171706653695693</v>
      </c>
      <c r="R216" s="1">
        <v>0</v>
      </c>
      <c r="W216" s="16"/>
    </row>
    <row r="217" spans="1:23" s="10" customFormat="1" x14ac:dyDescent="0.25">
      <c r="A217" s="17">
        <v>216</v>
      </c>
      <c r="B217" s="23" t="s">
        <v>35</v>
      </c>
      <c r="C217" s="17">
        <v>12</v>
      </c>
      <c r="D217" s="17" t="s">
        <v>54</v>
      </c>
      <c r="E217" s="17">
        <v>2</v>
      </c>
      <c r="F217" s="17">
        <v>2</v>
      </c>
      <c r="G217" s="17" t="str">
        <f t="shared" si="17"/>
        <v>MT_C</v>
      </c>
      <c r="H217" s="17" t="s">
        <v>63</v>
      </c>
      <c r="I217" s="9">
        <v>0.1728485559302155</v>
      </c>
      <c r="J217" s="8">
        <v>0.580078125</v>
      </c>
      <c r="K217" s="8">
        <v>0.73763440860215057</v>
      </c>
      <c r="L217" s="8">
        <v>1.6817097415506959</v>
      </c>
      <c r="M217" s="8">
        <f t="shared" si="19"/>
        <v>1.5088611856204803</v>
      </c>
      <c r="N217" s="9">
        <v>1</v>
      </c>
      <c r="O217" s="9">
        <v>17</v>
      </c>
      <c r="P217" s="2">
        <f>40320/63250</f>
        <v>0.63747035573122535</v>
      </c>
      <c r="Q217" s="9">
        <f t="shared" si="20"/>
        <v>0.37906086881759821</v>
      </c>
      <c r="R217" s="9">
        <v>0</v>
      </c>
      <c r="S217" s="9"/>
      <c r="T217" s="9"/>
      <c r="U217" s="9"/>
      <c r="V217" s="9"/>
      <c r="W217" s="18"/>
    </row>
    <row r="218" spans="1:23" x14ac:dyDescent="0.25">
      <c r="A218" s="5">
        <v>217</v>
      </c>
      <c r="B218" s="4" t="s">
        <v>19</v>
      </c>
      <c r="C218" s="5">
        <v>1</v>
      </c>
      <c r="D218" s="5" t="s">
        <v>50</v>
      </c>
      <c r="E218" s="5">
        <v>1</v>
      </c>
      <c r="F218" s="5">
        <v>5</v>
      </c>
      <c r="G218" s="5" t="str">
        <f t="shared" si="17"/>
        <v>M82_A</v>
      </c>
      <c r="H218" s="5" t="s">
        <v>69</v>
      </c>
      <c r="I218" s="1">
        <v>0.48639112903225806</v>
      </c>
      <c r="J218" s="3">
        <v>0.67297387809778964</v>
      </c>
      <c r="K218" s="3">
        <v>1.3474151234567902</v>
      </c>
      <c r="L218" s="3">
        <v>1.371703492516037</v>
      </c>
      <c r="M218" s="3">
        <f t="shared" si="19"/>
        <v>0.88531236348377895</v>
      </c>
      <c r="N218" s="1">
        <v>1</v>
      </c>
      <c r="O218" s="1">
        <v>12</v>
      </c>
      <c r="P218" s="6">
        <v>0.78777619387027797</v>
      </c>
      <c r="Q218" s="1">
        <f t="shared" si="20"/>
        <v>0.57430501428942582</v>
      </c>
      <c r="R218" s="1">
        <v>0</v>
      </c>
      <c r="W218" s="16"/>
    </row>
    <row r="219" spans="1:23" x14ac:dyDescent="0.25">
      <c r="A219" s="5">
        <v>218</v>
      </c>
      <c r="B219" s="4" t="s">
        <v>19</v>
      </c>
      <c r="C219" s="5">
        <v>1</v>
      </c>
      <c r="D219" s="5" t="s">
        <v>52</v>
      </c>
      <c r="E219" s="5">
        <v>1</v>
      </c>
      <c r="F219" s="5">
        <v>3</v>
      </c>
      <c r="G219" s="5" t="str">
        <f t="shared" si="17"/>
        <v>M82_B</v>
      </c>
      <c r="H219" s="5" t="s">
        <v>59</v>
      </c>
      <c r="I219" s="1">
        <v>0.31619623655913981</v>
      </c>
      <c r="J219" s="3">
        <v>0.53817816476892166</v>
      </c>
      <c r="K219" s="3">
        <v>8.6419753086419745E-3</v>
      </c>
      <c r="L219" s="3">
        <v>0.35620099786172488</v>
      </c>
      <c r="M219" s="3">
        <f t="shared" si="19"/>
        <v>4.0004761302585068E-2</v>
      </c>
      <c r="N219" s="1">
        <v>1</v>
      </c>
      <c r="O219" s="1">
        <v>15</v>
      </c>
      <c r="P219" s="6">
        <v>1.1329294369208838</v>
      </c>
      <c r="Q219" s="1">
        <f t="shared" si="20"/>
        <v>3.1805902951475735</v>
      </c>
      <c r="R219" s="1">
        <v>1</v>
      </c>
      <c r="S219" s="1">
        <v>14</v>
      </c>
      <c r="T219" s="1">
        <v>19</v>
      </c>
      <c r="U219" s="1">
        <v>10</v>
      </c>
      <c r="V219" s="1">
        <v>8</v>
      </c>
      <c r="W219" s="16">
        <f>V219/U219</f>
        <v>0.8</v>
      </c>
    </row>
    <row r="220" spans="1:23" x14ac:dyDescent="0.25">
      <c r="A220" s="5">
        <v>219</v>
      </c>
      <c r="B220" s="4" t="s">
        <v>19</v>
      </c>
      <c r="C220" s="5">
        <v>1</v>
      </c>
      <c r="D220" s="5" t="s">
        <v>54</v>
      </c>
      <c r="E220" s="5">
        <v>1</v>
      </c>
      <c r="F220" s="5">
        <v>5</v>
      </c>
      <c r="G220" s="5" t="str">
        <f t="shared" si="17"/>
        <v>M82_C</v>
      </c>
      <c r="H220" s="5" t="s">
        <v>61</v>
      </c>
      <c r="I220" s="1">
        <v>0.56384408602150538</v>
      </c>
      <c r="J220" s="3">
        <v>1.1304420629604823</v>
      </c>
      <c r="K220" s="3">
        <v>2.9224537037037037</v>
      </c>
      <c r="L220" s="3">
        <v>1.8923734853884533</v>
      </c>
      <c r="M220" s="3">
        <f t="shared" si="19"/>
        <v>1.328529399366948</v>
      </c>
      <c r="N220" s="1">
        <v>1</v>
      </c>
      <c r="O220" s="1">
        <v>17</v>
      </c>
      <c r="P220" s="6">
        <v>1.2906272273699215</v>
      </c>
      <c r="Q220" s="1">
        <f t="shared" si="20"/>
        <v>0.68201506591337102</v>
      </c>
      <c r="R220" s="1">
        <v>0</v>
      </c>
      <c r="W220" s="16"/>
    </row>
    <row r="221" spans="1:23" x14ac:dyDescent="0.25">
      <c r="A221" s="5">
        <v>220</v>
      </c>
      <c r="B221" s="4" t="s">
        <v>19</v>
      </c>
      <c r="C221" s="5">
        <v>2</v>
      </c>
      <c r="D221" s="5" t="s">
        <v>50</v>
      </c>
      <c r="E221" s="5">
        <v>1</v>
      </c>
      <c r="F221" s="5">
        <v>5</v>
      </c>
      <c r="G221" s="5" t="str">
        <f t="shared" si="17"/>
        <v>M82_A</v>
      </c>
      <c r="H221" s="5" t="s">
        <v>69</v>
      </c>
      <c r="I221" s="1">
        <v>0.50084005376344087</v>
      </c>
      <c r="J221" s="3">
        <v>1.2252176825184193</v>
      </c>
      <c r="K221" s="3">
        <v>1.3732638888888888</v>
      </c>
      <c r="L221" s="3">
        <v>3.2109764789736279</v>
      </c>
      <c r="M221" s="3">
        <f t="shared" si="19"/>
        <v>2.7101364252101869</v>
      </c>
      <c r="N221" s="1">
        <v>0</v>
      </c>
      <c r="W221" s="16"/>
    </row>
    <row r="222" spans="1:23" x14ac:dyDescent="0.25">
      <c r="A222" s="5">
        <v>221</v>
      </c>
      <c r="B222" s="4" t="s">
        <v>19</v>
      </c>
      <c r="C222" s="5">
        <v>2</v>
      </c>
      <c r="D222" s="5" t="s">
        <v>52</v>
      </c>
      <c r="E222" s="5">
        <v>1</v>
      </c>
      <c r="F222" s="5">
        <v>6</v>
      </c>
      <c r="G222" s="5" t="str">
        <f t="shared" si="17"/>
        <v>M82_B</v>
      </c>
      <c r="H222" s="5" t="s">
        <v>65</v>
      </c>
      <c r="I222" s="1">
        <v>0.62567204301075274</v>
      </c>
      <c r="J222" s="3">
        <v>1.6455123911587408</v>
      </c>
      <c r="K222" s="3">
        <v>3.1230709876543208</v>
      </c>
      <c r="L222" s="3">
        <v>3.929080541696365</v>
      </c>
      <c r="M222" s="3">
        <f t="shared" si="19"/>
        <v>3.303408498685612</v>
      </c>
      <c r="N222" s="1">
        <v>1</v>
      </c>
      <c r="O222" s="1">
        <v>19</v>
      </c>
      <c r="P222" s="6">
        <v>0.61653599429793304</v>
      </c>
      <c r="Q222" s="1">
        <f>P222/L222</f>
        <v>0.15691609977324264</v>
      </c>
      <c r="R222" s="1">
        <v>0</v>
      </c>
      <c r="W222" s="16"/>
    </row>
    <row r="223" spans="1:23" x14ac:dyDescent="0.25">
      <c r="A223" s="5">
        <v>222</v>
      </c>
      <c r="B223" s="4" t="s">
        <v>19</v>
      </c>
      <c r="C223" s="5">
        <v>2</v>
      </c>
      <c r="D223" s="5" t="s">
        <v>54</v>
      </c>
      <c r="E223" s="5">
        <v>1</v>
      </c>
      <c r="F223" s="5">
        <v>6</v>
      </c>
      <c r="G223" s="5" t="str">
        <f t="shared" si="17"/>
        <v>M82_C</v>
      </c>
      <c r="H223" s="5" t="s">
        <v>66</v>
      </c>
      <c r="I223" s="1">
        <v>0.84106182795698925</v>
      </c>
      <c r="J223" s="3">
        <v>1.8921634293369056</v>
      </c>
      <c r="K223" s="2">
        <f>116500/51840</f>
        <v>2.2472993827160495</v>
      </c>
      <c r="L223" s="2">
        <f>129700/56120</f>
        <v>2.31111903064861</v>
      </c>
      <c r="M223" s="2">
        <f t="shared" si="19"/>
        <v>1.4700572026916208</v>
      </c>
      <c r="N223" s="1">
        <v>1</v>
      </c>
      <c r="O223" s="1">
        <v>17</v>
      </c>
      <c r="P223" s="6">
        <v>0.64522451888809695</v>
      </c>
      <c r="Q223" s="1">
        <f>P223/L223</f>
        <v>0.27918272937548189</v>
      </c>
      <c r="R223" s="1">
        <v>0</v>
      </c>
      <c r="W223" s="16"/>
    </row>
    <row r="224" spans="1:23" x14ac:dyDescent="0.25">
      <c r="A224" s="5">
        <v>223</v>
      </c>
      <c r="B224" s="4" t="s">
        <v>19</v>
      </c>
      <c r="C224" s="5">
        <v>3</v>
      </c>
      <c r="D224" s="5" t="s">
        <v>50</v>
      </c>
      <c r="E224" s="5">
        <v>1</v>
      </c>
      <c r="F224" s="5">
        <v>3</v>
      </c>
      <c r="G224" s="5" t="str">
        <f t="shared" si="17"/>
        <v>M82_A</v>
      </c>
      <c r="H224" s="5" t="s">
        <v>62</v>
      </c>
      <c r="I224" s="1">
        <v>0.27318548387096775</v>
      </c>
      <c r="J224" s="3">
        <v>0.46399866041527127</v>
      </c>
      <c r="K224" s="3">
        <v>0.24266975308641975</v>
      </c>
      <c r="L224" s="3">
        <v>2.1044191019244476</v>
      </c>
      <c r="M224" s="3">
        <f t="shared" si="19"/>
        <v>1.8312336180534798</v>
      </c>
      <c r="N224" s="1">
        <v>0</v>
      </c>
      <c r="W224" s="16"/>
    </row>
    <row r="225" spans="1:23" x14ac:dyDescent="0.25">
      <c r="A225" s="5">
        <v>224</v>
      </c>
      <c r="B225" s="4" t="s">
        <v>19</v>
      </c>
      <c r="C225" s="5">
        <v>3</v>
      </c>
      <c r="D225" s="5" t="s">
        <v>52</v>
      </c>
      <c r="E225" s="5">
        <v>1</v>
      </c>
      <c r="F225" s="5">
        <v>2</v>
      </c>
      <c r="G225" s="5" t="str">
        <f t="shared" si="17"/>
        <v>M82_B</v>
      </c>
      <c r="H225" s="5" t="s">
        <v>57</v>
      </c>
      <c r="I225" s="1">
        <v>0.21942204301075269</v>
      </c>
      <c r="J225" s="3">
        <v>0.78332217012726058</v>
      </c>
      <c r="K225" s="3">
        <v>1.6579861111111112</v>
      </c>
      <c r="L225" s="3">
        <v>4.0235210263720598</v>
      </c>
      <c r="M225" s="3">
        <f t="shared" si="19"/>
        <v>3.8040989833613073</v>
      </c>
      <c r="N225" s="1">
        <v>1</v>
      </c>
      <c r="O225" s="1">
        <v>15</v>
      </c>
      <c r="P225" s="6">
        <v>0.37259444048467572</v>
      </c>
      <c r="Q225" s="1">
        <f t="shared" ref="Q225:Q232" si="21">P225/L225</f>
        <v>9.2604074402125786E-2</v>
      </c>
      <c r="R225" s="1">
        <v>1</v>
      </c>
      <c r="S225" s="1">
        <v>21</v>
      </c>
      <c r="T225" s="1">
        <v>27</v>
      </c>
      <c r="U225" s="1">
        <v>3</v>
      </c>
      <c r="V225" s="1">
        <v>3</v>
      </c>
      <c r="W225" s="16">
        <f>V225/U225</f>
        <v>1</v>
      </c>
    </row>
    <row r="226" spans="1:23" x14ac:dyDescent="0.25">
      <c r="A226" s="5">
        <v>225</v>
      </c>
      <c r="B226" s="4" t="s">
        <v>19</v>
      </c>
      <c r="C226" s="5">
        <v>3</v>
      </c>
      <c r="D226" s="5" t="s">
        <v>54</v>
      </c>
      <c r="E226" s="5">
        <v>1</v>
      </c>
      <c r="F226" s="5">
        <v>4</v>
      </c>
      <c r="G226" s="5" t="str">
        <f t="shared" si="17"/>
        <v>M82_C</v>
      </c>
      <c r="H226" s="5" t="s">
        <v>60</v>
      </c>
      <c r="I226" s="1">
        <v>0.3949932795698925</v>
      </c>
      <c r="J226" s="3">
        <v>1.1585733422638982</v>
      </c>
      <c r="K226" s="2">
        <f>64200/51840</f>
        <v>1.2384259259259258</v>
      </c>
      <c r="L226" s="3">
        <v>1.4827156094084106</v>
      </c>
      <c r="M226" s="3">
        <f t="shared" si="19"/>
        <v>1.0877223298385181</v>
      </c>
      <c r="N226" s="1">
        <v>1</v>
      </c>
      <c r="O226" s="1">
        <v>18</v>
      </c>
      <c r="P226" s="6">
        <v>1.3968282252316464</v>
      </c>
      <c r="Q226" s="1">
        <f t="shared" si="21"/>
        <v>0.94207426991948073</v>
      </c>
      <c r="R226" s="1">
        <v>1</v>
      </c>
      <c r="W226" s="16"/>
    </row>
    <row r="227" spans="1:23" x14ac:dyDescent="0.25">
      <c r="A227" s="5">
        <v>226</v>
      </c>
      <c r="B227" s="4" t="s">
        <v>19</v>
      </c>
      <c r="C227" s="5">
        <v>4</v>
      </c>
      <c r="D227" s="5" t="s">
        <v>50</v>
      </c>
      <c r="E227" s="5">
        <v>1</v>
      </c>
      <c r="F227" s="5">
        <v>3</v>
      </c>
      <c r="G227" s="5" t="str">
        <f t="shared" si="17"/>
        <v>M82_A</v>
      </c>
      <c r="H227" s="5" t="s">
        <v>62</v>
      </c>
      <c r="I227" s="1">
        <v>0.32694892473118281</v>
      </c>
      <c r="J227" s="3">
        <v>0.8327193569993302</v>
      </c>
      <c r="K227" s="3">
        <v>1.0167824074074074</v>
      </c>
      <c r="L227" s="3">
        <v>0.60727013542409125</v>
      </c>
      <c r="M227" s="3">
        <f t="shared" si="19"/>
        <v>0.28032121069290844</v>
      </c>
      <c r="N227" s="1">
        <v>1</v>
      </c>
      <c r="O227" s="1">
        <v>13</v>
      </c>
      <c r="P227" s="6">
        <v>0.37562366357804705</v>
      </c>
      <c r="Q227" s="1">
        <f t="shared" si="21"/>
        <v>0.61854460093896713</v>
      </c>
      <c r="R227" s="1">
        <v>0</v>
      </c>
      <c r="W227" s="16"/>
    </row>
    <row r="228" spans="1:23" x14ac:dyDescent="0.25">
      <c r="A228" s="5">
        <v>227</v>
      </c>
      <c r="B228" s="4" t="s">
        <v>19</v>
      </c>
      <c r="C228" s="5">
        <v>4</v>
      </c>
      <c r="D228" s="5" t="s">
        <v>52</v>
      </c>
      <c r="E228" s="5">
        <v>1</v>
      </c>
      <c r="F228" s="5">
        <v>4</v>
      </c>
      <c r="G228" s="5" t="str">
        <f t="shared" si="17"/>
        <v>M82_B</v>
      </c>
      <c r="H228" s="5" t="s">
        <v>53</v>
      </c>
      <c r="I228" s="1">
        <v>0.41918682795698925</v>
      </c>
      <c r="J228" s="3">
        <v>0.61018084393837912</v>
      </c>
      <c r="K228" s="3">
        <v>0.52083333333333337</v>
      </c>
      <c r="L228" s="3">
        <v>3.3570919458303634</v>
      </c>
      <c r="M228" s="3">
        <f t="shared" si="19"/>
        <v>2.9379051178733739</v>
      </c>
      <c r="N228" s="1">
        <v>1</v>
      </c>
      <c r="O228" s="1">
        <v>13</v>
      </c>
      <c r="P228" s="6">
        <v>0.56771204561653599</v>
      </c>
      <c r="Q228" s="1">
        <f t="shared" si="21"/>
        <v>0.16910828025477706</v>
      </c>
      <c r="R228" s="1">
        <v>0</v>
      </c>
      <c r="W228" s="16"/>
    </row>
    <row r="229" spans="1:23" x14ac:dyDescent="0.25">
      <c r="A229" s="5">
        <v>228</v>
      </c>
      <c r="B229" s="4" t="s">
        <v>19</v>
      </c>
      <c r="C229" s="5">
        <v>4</v>
      </c>
      <c r="D229" s="5" t="s">
        <v>54</v>
      </c>
      <c r="E229" s="5">
        <v>1</v>
      </c>
      <c r="F229" s="5">
        <v>2</v>
      </c>
      <c r="G229" s="5" t="str">
        <f t="shared" si="17"/>
        <v>M82_C</v>
      </c>
      <c r="H229" s="5" t="s">
        <v>63</v>
      </c>
      <c r="I229" s="1">
        <v>0.19186827956989247</v>
      </c>
      <c r="J229" s="3">
        <v>0.71182183523107834</v>
      </c>
      <c r="K229" s="3">
        <v>2.2704475308641974</v>
      </c>
      <c r="L229" s="3">
        <v>2.2184604419101923</v>
      </c>
      <c r="M229" s="3">
        <f t="shared" si="19"/>
        <v>2.0265921623402998</v>
      </c>
      <c r="N229" s="1">
        <v>1</v>
      </c>
      <c r="O229" s="1">
        <v>15</v>
      </c>
      <c r="P229" s="6">
        <v>1.3406985032074128</v>
      </c>
      <c r="Q229" s="1">
        <f t="shared" si="21"/>
        <v>0.60433734939759043</v>
      </c>
      <c r="R229" s="1">
        <v>1</v>
      </c>
      <c r="S229" s="1">
        <v>10</v>
      </c>
      <c r="T229" s="1">
        <v>15</v>
      </c>
      <c r="U229" s="1">
        <v>16</v>
      </c>
      <c r="V229" s="1">
        <v>14</v>
      </c>
      <c r="W229" s="16">
        <f>V229/U229</f>
        <v>0.875</v>
      </c>
    </row>
    <row r="230" spans="1:23" x14ac:dyDescent="0.25">
      <c r="A230" s="5">
        <v>229</v>
      </c>
      <c r="B230" s="4" t="s">
        <v>19</v>
      </c>
      <c r="C230" s="5">
        <v>5</v>
      </c>
      <c r="D230" s="5" t="s">
        <v>50</v>
      </c>
      <c r="E230" s="5">
        <v>1</v>
      </c>
      <c r="F230" s="5">
        <v>4</v>
      </c>
      <c r="G230" s="5" t="str">
        <f t="shared" si="17"/>
        <v>M82_A</v>
      </c>
      <c r="H230" s="5" t="s">
        <v>64</v>
      </c>
      <c r="I230" s="1">
        <v>0.39297715053763443</v>
      </c>
      <c r="J230" s="3">
        <v>1.1292699263228398</v>
      </c>
      <c r="K230" s="3">
        <v>1.5895061728395061</v>
      </c>
      <c r="L230" s="3">
        <v>3.2038488952245188</v>
      </c>
      <c r="M230" s="3">
        <f t="shared" si="19"/>
        <v>2.8108717446868843</v>
      </c>
      <c r="N230" s="1">
        <v>1</v>
      </c>
      <c r="O230" s="1">
        <v>16</v>
      </c>
      <c r="P230" s="6">
        <v>1.1231290092658588</v>
      </c>
      <c r="Q230" s="1">
        <f t="shared" si="21"/>
        <v>0.35055617352614016</v>
      </c>
      <c r="R230" s="1">
        <v>1</v>
      </c>
      <c r="S230" s="1">
        <v>18</v>
      </c>
      <c r="T230" s="1">
        <v>22</v>
      </c>
      <c r="U230" s="1">
        <v>3</v>
      </c>
      <c r="V230" s="1">
        <v>2</v>
      </c>
      <c r="W230" s="16">
        <f>V230/U230</f>
        <v>0.66666666666666663</v>
      </c>
    </row>
    <row r="231" spans="1:23" x14ac:dyDescent="0.25">
      <c r="A231" s="5">
        <v>230</v>
      </c>
      <c r="B231" s="4" t="s">
        <v>19</v>
      </c>
      <c r="C231" s="5">
        <v>5</v>
      </c>
      <c r="D231" s="5" t="s">
        <v>52</v>
      </c>
      <c r="E231" s="5">
        <v>1</v>
      </c>
      <c r="F231" s="5">
        <v>3</v>
      </c>
      <c r="G231" s="5" t="str">
        <f t="shared" si="17"/>
        <v>M82_B</v>
      </c>
      <c r="H231" s="5" t="s">
        <v>59</v>
      </c>
      <c r="I231" s="1">
        <v>0.34055779569892475</v>
      </c>
      <c r="J231" s="3">
        <v>1.016912257200268</v>
      </c>
      <c r="K231" s="3">
        <v>1.869212962962963</v>
      </c>
      <c r="L231" s="3">
        <v>4.8004276550249463</v>
      </c>
      <c r="M231" s="3">
        <f t="shared" si="19"/>
        <v>4.4598698593260213</v>
      </c>
      <c r="N231" s="1">
        <v>1</v>
      </c>
      <c r="O231" s="1">
        <v>18</v>
      </c>
      <c r="P231" s="6">
        <v>0.59960798289379902</v>
      </c>
      <c r="Q231" s="1">
        <f t="shared" si="21"/>
        <v>0.12490720118782481</v>
      </c>
      <c r="R231" s="1">
        <v>1</v>
      </c>
      <c r="S231" s="1">
        <v>20</v>
      </c>
      <c r="T231" s="1">
        <v>26</v>
      </c>
      <c r="U231" s="1">
        <v>5</v>
      </c>
      <c r="V231" s="1">
        <v>4</v>
      </c>
      <c r="W231" s="16">
        <f>V231/U231</f>
        <v>0.8</v>
      </c>
    </row>
    <row r="232" spans="1:23" x14ac:dyDescent="0.25">
      <c r="A232" s="5">
        <v>231</v>
      </c>
      <c r="B232" s="4" t="s">
        <v>19</v>
      </c>
      <c r="C232" s="5">
        <v>5</v>
      </c>
      <c r="D232" s="5" t="s">
        <v>54</v>
      </c>
      <c r="E232" s="5">
        <v>1</v>
      </c>
      <c r="F232" s="5">
        <v>6</v>
      </c>
      <c r="G232" s="5" t="str">
        <f t="shared" si="17"/>
        <v>M82_C</v>
      </c>
      <c r="H232" s="5" t="s">
        <v>66</v>
      </c>
      <c r="I232" s="1">
        <v>0.78914650537634412</v>
      </c>
      <c r="J232" s="3">
        <v>1.8251841929002008</v>
      </c>
      <c r="K232" s="3">
        <v>3.4124228395061729</v>
      </c>
      <c r="L232" s="3">
        <v>3.7277263007840342</v>
      </c>
      <c r="M232" s="3">
        <f t="shared" si="19"/>
        <v>2.9385797954076902</v>
      </c>
      <c r="N232" s="1">
        <v>1</v>
      </c>
      <c r="O232" s="1">
        <v>16</v>
      </c>
      <c r="P232" s="6">
        <v>1.7526728439059158</v>
      </c>
      <c r="Q232" s="1">
        <f t="shared" si="21"/>
        <v>0.4701720841300191</v>
      </c>
      <c r="R232" s="1">
        <v>1</v>
      </c>
      <c r="S232" s="1">
        <v>22</v>
      </c>
      <c r="T232" s="1">
        <v>28</v>
      </c>
      <c r="U232" s="1">
        <v>11</v>
      </c>
      <c r="V232" s="1">
        <v>9</v>
      </c>
      <c r="W232" s="16">
        <f>V232/U232</f>
        <v>0.81818181818181823</v>
      </c>
    </row>
    <row r="233" spans="1:23" x14ac:dyDescent="0.25">
      <c r="A233" s="5">
        <v>232</v>
      </c>
      <c r="B233" s="4" t="s">
        <v>19</v>
      </c>
      <c r="C233" s="5">
        <v>6</v>
      </c>
      <c r="D233" s="5" t="s">
        <v>50</v>
      </c>
      <c r="E233" s="5">
        <v>1</v>
      </c>
      <c r="F233" s="5">
        <v>2</v>
      </c>
      <c r="G233" s="5" t="str">
        <f t="shared" si="17"/>
        <v>M82_A</v>
      </c>
      <c r="H233" s="5" t="s">
        <v>56</v>
      </c>
      <c r="I233" s="1">
        <v>0.18817204301075269</v>
      </c>
      <c r="J233" s="3">
        <v>0.27394507702612192</v>
      </c>
      <c r="K233" s="3">
        <v>0.14444444444444443</v>
      </c>
      <c r="L233" s="3">
        <v>0.77690662865288662</v>
      </c>
      <c r="M233" s="3">
        <f t="shared" si="19"/>
        <v>0.58873458564213399</v>
      </c>
      <c r="N233" s="1">
        <v>0</v>
      </c>
      <c r="W233" s="16"/>
    </row>
    <row r="234" spans="1:23" x14ac:dyDescent="0.25">
      <c r="A234" s="5">
        <v>233</v>
      </c>
      <c r="B234" s="4" t="s">
        <v>19</v>
      </c>
      <c r="C234" s="5">
        <v>6</v>
      </c>
      <c r="D234" s="5" t="s">
        <v>52</v>
      </c>
      <c r="E234" s="5">
        <v>1</v>
      </c>
      <c r="F234" s="5">
        <v>4</v>
      </c>
      <c r="G234" s="5" t="str">
        <f t="shared" si="17"/>
        <v>M82_B</v>
      </c>
      <c r="H234" s="5" t="s">
        <v>53</v>
      </c>
      <c r="I234" s="1">
        <v>0.45917338709677419</v>
      </c>
      <c r="J234" s="3">
        <v>0.61453449430676488</v>
      </c>
      <c r="K234" s="3">
        <v>0.42997685185185186</v>
      </c>
      <c r="L234" s="3">
        <v>2.3895224518888099</v>
      </c>
      <c r="M234" s="3">
        <f t="shared" si="19"/>
        <v>1.9303490647920356</v>
      </c>
      <c r="N234" s="1">
        <v>0</v>
      </c>
      <c r="W234" s="16"/>
    </row>
    <row r="235" spans="1:23" x14ac:dyDescent="0.25">
      <c r="A235" s="5">
        <v>234</v>
      </c>
      <c r="B235" s="4" t="s">
        <v>19</v>
      </c>
      <c r="C235" s="5">
        <v>6</v>
      </c>
      <c r="D235" s="5" t="s">
        <v>54</v>
      </c>
      <c r="E235" s="5">
        <v>1</v>
      </c>
      <c r="F235" s="5">
        <v>4</v>
      </c>
      <c r="G235" s="5" t="str">
        <f t="shared" si="17"/>
        <v>M82_C</v>
      </c>
      <c r="H235" s="5" t="s">
        <v>60</v>
      </c>
      <c r="I235" s="1">
        <v>0.44909274193548387</v>
      </c>
      <c r="J235" s="3">
        <v>1.0720026791694575</v>
      </c>
      <c r="K235" s="3">
        <v>1.7658179012345678</v>
      </c>
      <c r="L235" s="3">
        <v>2.0010691375623662</v>
      </c>
      <c r="M235" s="3">
        <f t="shared" si="19"/>
        <v>1.5519763956268822</v>
      </c>
      <c r="N235" s="1">
        <v>1</v>
      </c>
      <c r="O235" s="1">
        <v>12</v>
      </c>
      <c r="P235" s="6">
        <v>0.67124019957234493</v>
      </c>
      <c r="Q235" s="1">
        <f>P235/L235</f>
        <v>0.33544078361531615</v>
      </c>
      <c r="R235" s="1">
        <v>1</v>
      </c>
      <c r="S235" s="1">
        <v>15</v>
      </c>
      <c r="T235" s="1">
        <v>21</v>
      </c>
      <c r="U235" s="1">
        <v>16</v>
      </c>
      <c r="V235" s="1">
        <v>12</v>
      </c>
      <c r="W235" s="16">
        <f>V235/U235</f>
        <v>0.75</v>
      </c>
    </row>
    <row r="236" spans="1:23" x14ac:dyDescent="0.25">
      <c r="A236" s="5">
        <v>235</v>
      </c>
      <c r="B236" s="4" t="s">
        <v>19</v>
      </c>
      <c r="C236" s="5">
        <v>7</v>
      </c>
      <c r="D236" s="5" t="s">
        <v>50</v>
      </c>
      <c r="E236" s="5">
        <v>1</v>
      </c>
      <c r="F236" s="5">
        <v>4</v>
      </c>
      <c r="G236" s="5" t="str">
        <f t="shared" si="17"/>
        <v>M82_A</v>
      </c>
      <c r="H236" s="5" t="s">
        <v>64</v>
      </c>
      <c r="I236" s="1">
        <v>0.36038306451612906</v>
      </c>
      <c r="J236" s="3">
        <v>1.0090421969189551</v>
      </c>
      <c r="K236" s="3">
        <v>0.80756172839506202</v>
      </c>
      <c r="L236" s="3">
        <v>0.88595866001425516</v>
      </c>
      <c r="M236" s="3">
        <f t="shared" si="19"/>
        <v>0.52557559549812605</v>
      </c>
      <c r="N236" s="1">
        <v>1</v>
      </c>
      <c r="R236" s="1">
        <v>1</v>
      </c>
      <c r="S236" s="1">
        <v>24</v>
      </c>
      <c r="T236" s="1">
        <v>30</v>
      </c>
      <c r="U236" s="1">
        <v>3</v>
      </c>
      <c r="V236" s="1">
        <v>3</v>
      </c>
      <c r="W236" s="16">
        <f>V236/U236</f>
        <v>1</v>
      </c>
    </row>
    <row r="237" spans="1:23" x14ac:dyDescent="0.25">
      <c r="A237" s="5">
        <v>236</v>
      </c>
      <c r="B237" s="4" t="s">
        <v>19</v>
      </c>
      <c r="C237" s="5">
        <v>7</v>
      </c>
      <c r="D237" s="5" t="s">
        <v>52</v>
      </c>
      <c r="E237" s="5">
        <v>1</v>
      </c>
      <c r="F237" s="5">
        <v>2</v>
      </c>
      <c r="G237" s="5" t="str">
        <f t="shared" si="17"/>
        <v>M82_B</v>
      </c>
      <c r="H237" s="5" t="s">
        <v>57</v>
      </c>
      <c r="I237" s="1">
        <v>0.22799059139784947</v>
      </c>
      <c r="J237" s="3">
        <v>1.5274614869390488</v>
      </c>
      <c r="K237" s="3">
        <v>0.88175154320987659</v>
      </c>
      <c r="L237" s="3">
        <v>2.9436920883820386</v>
      </c>
      <c r="M237" s="3">
        <f t="shared" si="19"/>
        <v>2.7157014969841891</v>
      </c>
      <c r="N237" s="1">
        <v>1</v>
      </c>
      <c r="O237" s="1">
        <v>13</v>
      </c>
      <c r="P237" s="6">
        <v>0.53439059158945112</v>
      </c>
      <c r="Q237" s="1">
        <f>P237/L237</f>
        <v>0.18153753026634381</v>
      </c>
      <c r="R237" s="1">
        <v>0</v>
      </c>
      <c r="W237" s="16"/>
    </row>
    <row r="238" spans="1:23" x14ac:dyDescent="0.25">
      <c r="A238" s="5">
        <v>237</v>
      </c>
      <c r="B238" s="4" t="s">
        <v>19</v>
      </c>
      <c r="C238" s="5">
        <v>7</v>
      </c>
      <c r="D238" s="5" t="s">
        <v>54</v>
      </c>
      <c r="E238" s="5">
        <v>1</v>
      </c>
      <c r="F238" s="5">
        <v>3</v>
      </c>
      <c r="G238" s="5" t="str">
        <f t="shared" si="17"/>
        <v>M82_C</v>
      </c>
      <c r="H238" s="5" t="s">
        <v>55</v>
      </c>
      <c r="I238" s="1">
        <v>0.265625</v>
      </c>
      <c r="J238" s="3">
        <v>1.9323509711989284</v>
      </c>
      <c r="K238" s="3">
        <v>1.7179783950617284</v>
      </c>
      <c r="L238" s="3">
        <v>3.570919458303635</v>
      </c>
      <c r="M238" s="3">
        <f t="shared" si="19"/>
        <v>3.305294458303635</v>
      </c>
      <c r="N238" s="1">
        <v>1</v>
      </c>
      <c r="O238" s="1">
        <v>14</v>
      </c>
      <c r="P238" s="6">
        <v>1.4919814682822523</v>
      </c>
      <c r="Q238" s="1">
        <f>P238/L238</f>
        <v>0.41781437125748505</v>
      </c>
      <c r="R238" s="1">
        <v>1</v>
      </c>
      <c r="S238" s="1">
        <v>17</v>
      </c>
      <c r="T238" s="1">
        <v>22</v>
      </c>
      <c r="U238" s="1">
        <v>8</v>
      </c>
      <c r="V238" s="1">
        <v>6</v>
      </c>
      <c r="W238" s="16">
        <f>V238/U238</f>
        <v>0.75</v>
      </c>
    </row>
    <row r="239" spans="1:23" x14ac:dyDescent="0.25">
      <c r="A239" s="5">
        <v>238</v>
      </c>
      <c r="B239" s="4" t="s">
        <v>19</v>
      </c>
      <c r="C239" s="5">
        <v>8</v>
      </c>
      <c r="D239" s="5" t="s">
        <v>50</v>
      </c>
      <c r="E239" s="5">
        <v>1</v>
      </c>
      <c r="F239" s="5">
        <v>5</v>
      </c>
      <c r="G239" s="5" t="str">
        <f t="shared" si="17"/>
        <v>M82_A</v>
      </c>
      <c r="H239" s="5" t="s">
        <v>69</v>
      </c>
      <c r="I239" s="1">
        <v>0.58854166666666663</v>
      </c>
      <c r="J239" s="3">
        <v>0.86905559276624245</v>
      </c>
      <c r="K239" s="3">
        <v>2.5733024691358026</v>
      </c>
      <c r="L239" s="3">
        <v>3.9059158945117605</v>
      </c>
      <c r="M239" s="3">
        <f t="shared" si="19"/>
        <v>3.3173742278450939</v>
      </c>
      <c r="N239" s="1">
        <v>1</v>
      </c>
      <c r="O239" s="1">
        <v>16</v>
      </c>
      <c r="P239" s="6">
        <v>0.85869565217391308</v>
      </c>
      <c r="Q239" s="1">
        <f>P239/L239</f>
        <v>0.21984489051094891</v>
      </c>
      <c r="R239" s="1">
        <v>1</v>
      </c>
      <c r="S239" s="1">
        <v>21</v>
      </c>
      <c r="T239" s="1">
        <v>27</v>
      </c>
      <c r="U239" s="1">
        <v>4</v>
      </c>
      <c r="V239" s="1">
        <v>4</v>
      </c>
      <c r="W239" s="16">
        <f>V239/U239</f>
        <v>1</v>
      </c>
    </row>
    <row r="240" spans="1:23" x14ac:dyDescent="0.25">
      <c r="A240" s="5">
        <v>239</v>
      </c>
      <c r="B240" s="4" t="s">
        <v>19</v>
      </c>
      <c r="C240" s="5">
        <v>8</v>
      </c>
      <c r="D240" s="5" t="s">
        <v>52</v>
      </c>
      <c r="E240" s="5">
        <v>1</v>
      </c>
      <c r="F240" s="5">
        <v>4</v>
      </c>
      <c r="G240" s="5" t="str">
        <f t="shared" si="17"/>
        <v>M82_B</v>
      </c>
      <c r="H240" s="5" t="s">
        <v>53</v>
      </c>
      <c r="I240" s="1">
        <v>0.47883064516129031</v>
      </c>
      <c r="J240" s="3">
        <v>0.35214333556597455</v>
      </c>
      <c r="K240" s="3">
        <v>0.37808641975308599</v>
      </c>
      <c r="L240" s="3">
        <v>0.48093371347113328</v>
      </c>
      <c r="M240" s="3">
        <f t="shared" si="19"/>
        <v>2.1030683098429703E-3</v>
      </c>
      <c r="N240" s="1">
        <v>1</v>
      </c>
      <c r="O240" s="1">
        <v>13</v>
      </c>
      <c r="P240" s="6">
        <v>0.38916607270135423</v>
      </c>
      <c r="Q240" s="1">
        <f>P240/L240</f>
        <v>0.80918858836606145</v>
      </c>
      <c r="R240" s="1">
        <v>1</v>
      </c>
      <c r="S240" s="1">
        <v>24</v>
      </c>
      <c r="T240" s="1">
        <v>30</v>
      </c>
      <c r="U240" s="1">
        <v>1</v>
      </c>
      <c r="V240" s="1">
        <v>1</v>
      </c>
      <c r="W240" s="16">
        <f>V240/U240</f>
        <v>1</v>
      </c>
    </row>
    <row r="241" spans="1:23" x14ac:dyDescent="0.25">
      <c r="A241" s="5">
        <v>240</v>
      </c>
      <c r="B241" s="4" t="s">
        <v>19</v>
      </c>
      <c r="C241" s="5">
        <v>8</v>
      </c>
      <c r="D241" s="5" t="s">
        <v>54</v>
      </c>
      <c r="E241" s="5">
        <v>1</v>
      </c>
      <c r="F241" s="5">
        <v>6</v>
      </c>
      <c r="G241" s="5" t="str">
        <f t="shared" si="17"/>
        <v>M82_C</v>
      </c>
      <c r="H241" s="5" t="s">
        <v>66</v>
      </c>
      <c r="I241" s="1">
        <v>0.62147177419354838</v>
      </c>
      <c r="J241" s="2">
        <f>36990/59520</f>
        <v>0.62147177419354838</v>
      </c>
      <c r="K241" s="2"/>
      <c r="L241" s="3"/>
      <c r="M241" s="3"/>
      <c r="W241" s="16"/>
    </row>
    <row r="242" spans="1:23" x14ac:dyDescent="0.25">
      <c r="A242" s="5">
        <v>241</v>
      </c>
      <c r="B242" s="4" t="s">
        <v>19</v>
      </c>
      <c r="C242" s="5">
        <v>9</v>
      </c>
      <c r="D242" s="5" t="s">
        <v>50</v>
      </c>
      <c r="E242" s="5">
        <v>1</v>
      </c>
      <c r="F242" s="5">
        <v>1</v>
      </c>
      <c r="G242" s="5" t="str">
        <f t="shared" si="17"/>
        <v>M82_A</v>
      </c>
      <c r="H242" s="5" t="s">
        <v>51</v>
      </c>
      <c r="I242" s="1">
        <v>0.12852822580645162</v>
      </c>
      <c r="J242" s="3">
        <v>0.89249832551908903</v>
      </c>
      <c r="K242" s="3">
        <v>0.35532407407407407</v>
      </c>
      <c r="L242" s="3">
        <v>1.486279401282965</v>
      </c>
      <c r="M242" s="3">
        <f t="shared" ref="M242:M274" si="22">L242-I242</f>
        <v>1.3577511754765133</v>
      </c>
      <c r="N242" s="1">
        <v>0</v>
      </c>
      <c r="W242" s="16"/>
    </row>
    <row r="243" spans="1:23" x14ac:dyDescent="0.25">
      <c r="A243" s="5">
        <v>242</v>
      </c>
      <c r="B243" s="4" t="s">
        <v>19</v>
      </c>
      <c r="C243" s="5">
        <v>9</v>
      </c>
      <c r="D243" s="5" t="s">
        <v>52</v>
      </c>
      <c r="E243" s="5">
        <v>1</v>
      </c>
      <c r="F243" s="5">
        <v>4</v>
      </c>
      <c r="G243" s="5" t="str">
        <f t="shared" si="17"/>
        <v>M82_B</v>
      </c>
      <c r="H243" s="5" t="s">
        <v>53</v>
      </c>
      <c r="I243" s="1">
        <v>0.46034946236559138</v>
      </c>
      <c r="J243" s="3">
        <v>0.21567314132618889</v>
      </c>
      <c r="K243" s="3">
        <v>2.7951388888888888</v>
      </c>
      <c r="L243" s="3">
        <v>4.2195295794725585</v>
      </c>
      <c r="M243" s="3">
        <f t="shared" si="22"/>
        <v>3.759180117106967</v>
      </c>
      <c r="N243" s="1">
        <v>1</v>
      </c>
      <c r="O243" s="1">
        <v>15</v>
      </c>
      <c r="P243" s="6">
        <v>0.48823948681397006</v>
      </c>
      <c r="Q243" s="1">
        <f>P243/L243</f>
        <v>0.11570945945945947</v>
      </c>
      <c r="R243" s="1">
        <v>1</v>
      </c>
      <c r="S243" s="1">
        <v>23</v>
      </c>
      <c r="T243" s="1">
        <v>30</v>
      </c>
      <c r="U243" s="1">
        <v>9</v>
      </c>
      <c r="V243" s="1">
        <v>8</v>
      </c>
      <c r="W243" s="16">
        <f>V243/U243</f>
        <v>0.88888888888888884</v>
      </c>
    </row>
    <row r="244" spans="1:23" x14ac:dyDescent="0.25">
      <c r="A244" s="5">
        <v>243</v>
      </c>
      <c r="B244" s="4" t="s">
        <v>19</v>
      </c>
      <c r="C244" s="5">
        <v>9</v>
      </c>
      <c r="D244" s="5" t="s">
        <v>54</v>
      </c>
      <c r="E244" s="5">
        <v>1</v>
      </c>
      <c r="F244" s="5">
        <v>1</v>
      </c>
      <c r="G244" s="5" t="str">
        <f t="shared" si="17"/>
        <v>M82_C</v>
      </c>
      <c r="H244" s="5" t="s">
        <v>58</v>
      </c>
      <c r="I244" s="1">
        <v>0.10277217741935483</v>
      </c>
      <c r="J244" s="3">
        <v>0.49146014735432014</v>
      </c>
      <c r="K244" s="3">
        <v>0.5991512345679012</v>
      </c>
      <c r="L244" s="3">
        <v>0.6774949765572672</v>
      </c>
      <c r="M244" s="3">
        <f t="shared" si="22"/>
        <v>0.57472279913791235</v>
      </c>
      <c r="N244" s="1">
        <v>1</v>
      </c>
      <c r="O244" s="1">
        <v>16</v>
      </c>
      <c r="P244" s="6">
        <v>1.1177833214540271</v>
      </c>
      <c r="Q244" s="1">
        <f>P244/L244</f>
        <v>1.6498769144150891</v>
      </c>
      <c r="R244" s="1">
        <v>0</v>
      </c>
      <c r="W244" s="16"/>
    </row>
    <row r="245" spans="1:23" x14ac:dyDescent="0.25">
      <c r="A245" s="5">
        <v>244</v>
      </c>
      <c r="B245" s="4" t="s">
        <v>19</v>
      </c>
      <c r="C245" s="5">
        <v>10</v>
      </c>
      <c r="D245" s="5" t="s">
        <v>50</v>
      </c>
      <c r="E245" s="5">
        <v>1</v>
      </c>
      <c r="F245" s="5">
        <v>1</v>
      </c>
      <c r="G245" s="5" t="str">
        <f t="shared" si="17"/>
        <v>M82_A</v>
      </c>
      <c r="H245" s="5" t="s">
        <v>51</v>
      </c>
      <c r="I245" s="1">
        <v>8.7617607526881719E-2</v>
      </c>
      <c r="J245" s="3">
        <v>0.85398526456798396</v>
      </c>
      <c r="K245" s="3">
        <v>2.1643518518518516</v>
      </c>
      <c r="L245" s="3">
        <v>2.1329294369208838</v>
      </c>
      <c r="M245" s="3">
        <f t="shared" si="22"/>
        <v>2.0453118293940022</v>
      </c>
      <c r="N245" s="1">
        <v>0</v>
      </c>
      <c r="W245" s="16"/>
    </row>
    <row r="246" spans="1:23" x14ac:dyDescent="0.25">
      <c r="A246" s="5">
        <v>245</v>
      </c>
      <c r="B246" s="4" t="s">
        <v>19</v>
      </c>
      <c r="C246" s="5">
        <v>10</v>
      </c>
      <c r="D246" s="5" t="s">
        <v>52</v>
      </c>
      <c r="E246" s="5">
        <v>1</v>
      </c>
      <c r="F246" s="5">
        <v>4</v>
      </c>
      <c r="G246" s="5" t="str">
        <f t="shared" si="17"/>
        <v>M82_B</v>
      </c>
      <c r="H246" s="5" t="s">
        <v>53</v>
      </c>
      <c r="I246" s="1">
        <v>0.40826612903225806</v>
      </c>
      <c r="J246" s="3">
        <v>0.12943737441393169</v>
      </c>
      <c r="K246" s="3">
        <v>2.7527006172839505</v>
      </c>
      <c r="L246" s="3">
        <v>4.8235923022095513</v>
      </c>
      <c r="M246" s="3">
        <f t="shared" si="22"/>
        <v>4.4153261731772933</v>
      </c>
      <c r="N246" s="1">
        <v>1</v>
      </c>
      <c r="P246" s="6">
        <v>1.4586600142551676</v>
      </c>
      <c r="Q246" s="1">
        <f>P246/L246</f>
        <v>0.30240118212042849</v>
      </c>
      <c r="R246" s="1">
        <v>0</v>
      </c>
      <c r="W246" s="16"/>
    </row>
    <row r="247" spans="1:23" x14ac:dyDescent="0.25">
      <c r="A247" s="5">
        <v>246</v>
      </c>
      <c r="B247" s="4" t="s">
        <v>19</v>
      </c>
      <c r="C247" s="5">
        <v>10</v>
      </c>
      <c r="D247" s="5" t="s">
        <v>54</v>
      </c>
      <c r="E247" s="5">
        <v>1</v>
      </c>
      <c r="F247" s="5">
        <v>2</v>
      </c>
      <c r="G247" s="5" t="str">
        <f t="shared" si="17"/>
        <v>M82_C</v>
      </c>
      <c r="H247" s="5" t="s">
        <v>63</v>
      </c>
      <c r="I247" s="1">
        <v>0.23241795043536503</v>
      </c>
      <c r="J247" s="3">
        <v>0.38743279569892475</v>
      </c>
      <c r="K247" s="3">
        <v>1.6576003086419753</v>
      </c>
      <c r="L247" s="3">
        <v>2.5570206699928724</v>
      </c>
      <c r="M247" s="3">
        <f t="shared" si="22"/>
        <v>2.3246027195575074</v>
      </c>
      <c r="N247" s="1">
        <v>1</v>
      </c>
      <c r="O247" s="1">
        <v>14</v>
      </c>
      <c r="P247" s="6">
        <v>0.81539558089807995</v>
      </c>
      <c r="Q247" s="1">
        <f>P247/L247</f>
        <v>0.31888501742160452</v>
      </c>
      <c r="R247" s="1">
        <v>1</v>
      </c>
      <c r="S247" s="1">
        <v>14</v>
      </c>
      <c r="U247" s="1">
        <v>17</v>
      </c>
      <c r="V247" s="1">
        <v>14</v>
      </c>
      <c r="W247" s="16">
        <f>V247/U247</f>
        <v>0.82352941176470584</v>
      </c>
    </row>
    <row r="248" spans="1:23" x14ac:dyDescent="0.25">
      <c r="A248" s="5">
        <v>247</v>
      </c>
      <c r="B248" s="4" t="s">
        <v>19</v>
      </c>
      <c r="C248" s="5">
        <v>11</v>
      </c>
      <c r="D248" s="5" t="s">
        <v>50</v>
      </c>
      <c r="E248" s="5">
        <v>1</v>
      </c>
      <c r="F248" s="5">
        <v>5</v>
      </c>
      <c r="G248" s="5" t="str">
        <f t="shared" si="17"/>
        <v>M82_A</v>
      </c>
      <c r="H248" s="5" t="s">
        <v>69</v>
      </c>
      <c r="I248" s="1">
        <v>0.50218413978494625</v>
      </c>
      <c r="J248" s="3">
        <v>0.80458807769591423</v>
      </c>
      <c r="K248" s="2">
        <f>51690/51840</f>
        <v>0.99710648148148151</v>
      </c>
      <c r="L248" s="3">
        <v>1.0890947968638631</v>
      </c>
      <c r="M248" s="3">
        <f t="shared" si="22"/>
        <v>0.58691065707891688</v>
      </c>
      <c r="N248" s="1">
        <v>1</v>
      </c>
      <c r="O248" s="1">
        <v>12</v>
      </c>
      <c r="P248" s="6">
        <v>0.29900213827512473</v>
      </c>
      <c r="Q248" s="1">
        <f>P248/L248</f>
        <v>0.27454188481675396</v>
      </c>
      <c r="R248" s="1">
        <v>1</v>
      </c>
      <c r="W248" s="16"/>
    </row>
    <row r="249" spans="1:23" x14ac:dyDescent="0.25">
      <c r="A249" s="5">
        <v>248</v>
      </c>
      <c r="B249" s="4" t="s">
        <v>19</v>
      </c>
      <c r="C249" s="5">
        <v>11</v>
      </c>
      <c r="D249" s="5" t="s">
        <v>52</v>
      </c>
      <c r="E249" s="5">
        <v>1</v>
      </c>
      <c r="F249" s="5">
        <v>2</v>
      </c>
      <c r="G249" s="5" t="str">
        <f t="shared" si="17"/>
        <v>M82_B</v>
      </c>
      <c r="H249" s="5" t="s">
        <v>57</v>
      </c>
      <c r="I249" s="1">
        <v>0.15450268817204302</v>
      </c>
      <c r="J249" s="2">
        <f>38710/59720</f>
        <v>0.64819156061620897</v>
      </c>
      <c r="K249" s="2">
        <f>40200/51840</f>
        <v>0.77546296296296291</v>
      </c>
      <c r="L249" s="3">
        <v>1.16535994297933</v>
      </c>
      <c r="M249" s="3">
        <f t="shared" si="22"/>
        <v>1.0108572548072869</v>
      </c>
      <c r="N249" s="1">
        <v>1</v>
      </c>
      <c r="O249" s="1">
        <v>13</v>
      </c>
      <c r="P249" s="6">
        <v>1.0130078403421241</v>
      </c>
      <c r="Q249" s="1">
        <f>P249/L249</f>
        <v>0.86926605504587162</v>
      </c>
      <c r="R249" s="1">
        <v>1</v>
      </c>
      <c r="S249" s="1">
        <v>14</v>
      </c>
      <c r="T249" s="1">
        <v>21</v>
      </c>
      <c r="U249" s="1">
        <v>16</v>
      </c>
      <c r="V249" s="1">
        <v>13</v>
      </c>
      <c r="W249" s="16">
        <f>V249/U249</f>
        <v>0.8125</v>
      </c>
    </row>
    <row r="250" spans="1:23" x14ac:dyDescent="0.25">
      <c r="A250" s="5">
        <v>249</v>
      </c>
      <c r="B250" s="4" t="s">
        <v>19</v>
      </c>
      <c r="C250" s="5">
        <v>11</v>
      </c>
      <c r="D250" s="5" t="s">
        <v>54</v>
      </c>
      <c r="E250" s="5">
        <v>1</v>
      </c>
      <c r="F250" s="5">
        <v>3</v>
      </c>
      <c r="G250" s="5" t="str">
        <f t="shared" si="17"/>
        <v>M82_C</v>
      </c>
      <c r="H250" s="5" t="s">
        <v>55</v>
      </c>
      <c r="I250" s="1">
        <v>0.29015456989247312</v>
      </c>
      <c r="J250" s="3">
        <v>1.267582049564635</v>
      </c>
      <c r="K250" s="3">
        <v>2.3186728395061729</v>
      </c>
      <c r="L250" s="3">
        <v>3.4550962223806128</v>
      </c>
      <c r="M250" s="3">
        <f t="shared" si="22"/>
        <v>3.1649416524881397</v>
      </c>
      <c r="N250" s="1">
        <v>1</v>
      </c>
      <c r="O250" s="1">
        <v>13</v>
      </c>
      <c r="P250" s="6">
        <v>0.4465431218816821</v>
      </c>
      <c r="Q250" s="1">
        <f>P250/L250</f>
        <v>0.12924187725631769</v>
      </c>
      <c r="R250" s="1">
        <v>1</v>
      </c>
      <c r="S250" s="1">
        <v>15</v>
      </c>
      <c r="T250" s="1">
        <v>21</v>
      </c>
      <c r="U250" s="1">
        <v>13</v>
      </c>
      <c r="V250" s="1">
        <v>12</v>
      </c>
      <c r="W250" s="16">
        <f>V250/U250</f>
        <v>0.92307692307692313</v>
      </c>
    </row>
    <row r="251" spans="1:23" x14ac:dyDescent="0.25">
      <c r="A251" s="5">
        <v>250</v>
      </c>
      <c r="B251" s="4" t="s">
        <v>19</v>
      </c>
      <c r="C251" s="5">
        <v>12</v>
      </c>
      <c r="D251" s="5" t="s">
        <v>50</v>
      </c>
      <c r="E251" s="5">
        <v>1</v>
      </c>
      <c r="F251" s="5">
        <v>1</v>
      </c>
      <c r="G251" s="5" t="str">
        <f t="shared" si="17"/>
        <v>M82_A</v>
      </c>
      <c r="H251" s="5" t="s">
        <v>51</v>
      </c>
      <c r="I251" s="1">
        <v>0.10485551075268817</v>
      </c>
      <c r="J251" s="3">
        <v>1.4104152712659075</v>
      </c>
      <c r="K251" s="3">
        <v>1.6383101851851851</v>
      </c>
      <c r="L251" s="3">
        <v>0.96489665003563796</v>
      </c>
      <c r="M251" s="3">
        <f t="shared" si="22"/>
        <v>0.86004113928294978</v>
      </c>
      <c r="N251" s="1">
        <v>0</v>
      </c>
      <c r="W251" s="16"/>
    </row>
    <row r="252" spans="1:23" x14ac:dyDescent="0.25">
      <c r="A252" s="5">
        <v>251</v>
      </c>
      <c r="B252" s="4" t="s">
        <v>19</v>
      </c>
      <c r="C252" s="5">
        <v>12</v>
      </c>
      <c r="D252" s="5" t="s">
        <v>52</v>
      </c>
      <c r="E252" s="5">
        <v>1</v>
      </c>
      <c r="F252" s="5">
        <v>3</v>
      </c>
      <c r="G252" s="5" t="str">
        <f t="shared" si="17"/>
        <v>M82_B</v>
      </c>
      <c r="H252" s="5" t="s">
        <v>59</v>
      </c>
      <c r="I252" s="1">
        <v>0.27889784946236557</v>
      </c>
      <c r="J252" s="3">
        <v>0.28382451440053585</v>
      </c>
      <c r="K252" s="3">
        <v>1.0576774691358024</v>
      </c>
      <c r="L252" s="3">
        <v>0.88898788310762655</v>
      </c>
      <c r="M252" s="3">
        <f t="shared" si="22"/>
        <v>0.61009003364526104</v>
      </c>
      <c r="N252" s="1">
        <v>1</v>
      </c>
      <c r="O252" s="1">
        <v>14</v>
      </c>
      <c r="P252" s="6">
        <v>0.66714183891660728</v>
      </c>
      <c r="Q252" s="1">
        <f>P252/L252</f>
        <v>0.75045099218280209</v>
      </c>
      <c r="R252" s="1">
        <v>1</v>
      </c>
      <c r="S252" s="1">
        <v>12</v>
      </c>
      <c r="T252" s="1">
        <v>18</v>
      </c>
      <c r="U252" s="1">
        <v>4</v>
      </c>
      <c r="V252" s="1">
        <v>3</v>
      </c>
      <c r="W252" s="16">
        <f>V252/U252</f>
        <v>0.75</v>
      </c>
    </row>
    <row r="253" spans="1:23" x14ac:dyDescent="0.25">
      <c r="A253" s="5">
        <v>252</v>
      </c>
      <c r="B253" s="4" t="s">
        <v>19</v>
      </c>
      <c r="C253" s="5">
        <v>12</v>
      </c>
      <c r="D253" s="5" t="s">
        <v>54</v>
      </c>
      <c r="E253" s="5">
        <v>1</v>
      </c>
      <c r="F253" s="5">
        <v>3</v>
      </c>
      <c r="G253" s="5" t="str">
        <f t="shared" si="17"/>
        <v>M82_C</v>
      </c>
      <c r="H253" s="5" t="s">
        <v>55</v>
      </c>
      <c r="I253" s="1">
        <v>0.31098790322580644</v>
      </c>
      <c r="J253" s="3">
        <v>0.48861352980576023</v>
      </c>
      <c r="K253" s="3">
        <v>1.8541666666666667</v>
      </c>
      <c r="L253" s="3">
        <v>2.9953670705630793</v>
      </c>
      <c r="M253" s="3">
        <f t="shared" si="22"/>
        <v>2.6843791673372728</v>
      </c>
      <c r="N253" s="1">
        <v>1</v>
      </c>
      <c r="O253" s="1">
        <v>14</v>
      </c>
      <c r="P253" s="6">
        <v>0.86511047754811121</v>
      </c>
      <c r="Q253" s="1">
        <f>P253/L253</f>
        <v>0.28881618084473526</v>
      </c>
      <c r="R253" s="1">
        <v>1</v>
      </c>
      <c r="S253" s="1">
        <v>13</v>
      </c>
      <c r="T253" s="1">
        <v>20</v>
      </c>
      <c r="U253" s="1">
        <v>15</v>
      </c>
      <c r="V253" s="1">
        <v>12</v>
      </c>
      <c r="W253" s="16">
        <f>V253/U253</f>
        <v>0.8</v>
      </c>
    </row>
    <row r="254" spans="1:23" s="15" customFormat="1" x14ac:dyDescent="0.25">
      <c r="A254" s="19">
        <v>253</v>
      </c>
      <c r="B254" s="19" t="s">
        <v>19</v>
      </c>
      <c r="C254" s="20">
        <v>1</v>
      </c>
      <c r="D254" s="20" t="s">
        <v>50</v>
      </c>
      <c r="E254" s="20">
        <v>2</v>
      </c>
      <c r="F254" s="20">
        <v>4</v>
      </c>
      <c r="G254" s="20" t="str">
        <f t="shared" si="17"/>
        <v>M82_A</v>
      </c>
      <c r="H254" s="20" t="s">
        <v>64</v>
      </c>
      <c r="I254" s="7">
        <v>0.42271505376344087</v>
      </c>
      <c r="J254" s="21">
        <v>0.8782652377762894</v>
      </c>
      <c r="K254" s="21">
        <v>1.5773533950617284</v>
      </c>
      <c r="L254" s="21">
        <v>1.9458303635067713</v>
      </c>
      <c r="M254" s="21">
        <f t="shared" si="22"/>
        <v>1.5231153097433303</v>
      </c>
      <c r="N254" s="7">
        <v>0</v>
      </c>
      <c r="O254" s="7"/>
      <c r="P254" s="7"/>
      <c r="Q254" s="7"/>
      <c r="R254" s="7">
        <v>1</v>
      </c>
      <c r="S254" s="7">
        <v>21</v>
      </c>
      <c r="T254" s="7">
        <v>25</v>
      </c>
      <c r="U254" s="7">
        <v>9</v>
      </c>
      <c r="V254" s="7">
        <v>7</v>
      </c>
      <c r="W254" s="22">
        <f>V254/U254</f>
        <v>0.77777777777777779</v>
      </c>
    </row>
    <row r="255" spans="1:23" x14ac:dyDescent="0.25">
      <c r="A255" s="4">
        <v>254</v>
      </c>
      <c r="B255" s="4" t="s">
        <v>19</v>
      </c>
      <c r="C255" s="5">
        <v>1</v>
      </c>
      <c r="D255" s="5" t="s">
        <v>52</v>
      </c>
      <c r="E255" s="5">
        <v>2</v>
      </c>
      <c r="F255" s="5">
        <v>3</v>
      </c>
      <c r="G255" s="5" t="str">
        <f t="shared" si="17"/>
        <v>M82_B</v>
      </c>
      <c r="H255" s="5" t="s">
        <v>59</v>
      </c>
      <c r="I255" s="1">
        <v>0.28276209677419356</v>
      </c>
      <c r="J255" s="3">
        <v>0.80492297387809775</v>
      </c>
      <c r="K255" s="3">
        <v>1.7770061728395061</v>
      </c>
      <c r="L255" s="3">
        <v>3.0220955096222379</v>
      </c>
      <c r="M255" s="3">
        <f t="shared" si="22"/>
        <v>2.7393334128480444</v>
      </c>
      <c r="N255" s="1">
        <v>1</v>
      </c>
      <c r="O255" s="1">
        <v>14</v>
      </c>
      <c r="P255" s="6">
        <v>0.86582323592302213</v>
      </c>
      <c r="Q255" s="1">
        <f>P255/L255</f>
        <v>0.28649764150943396</v>
      </c>
      <c r="R255" s="1">
        <v>1</v>
      </c>
      <c r="S255" s="1">
        <v>23</v>
      </c>
      <c r="T255" s="1">
        <v>30</v>
      </c>
      <c r="U255" s="1">
        <v>4</v>
      </c>
      <c r="V255" s="1">
        <v>3</v>
      </c>
      <c r="W255" s="16">
        <f>V255/U255</f>
        <v>0.75</v>
      </c>
    </row>
    <row r="256" spans="1:23" x14ac:dyDescent="0.25">
      <c r="A256" s="4">
        <v>255</v>
      </c>
      <c r="B256" s="4" t="s">
        <v>19</v>
      </c>
      <c r="C256" s="5">
        <v>1</v>
      </c>
      <c r="D256" s="5" t="s">
        <v>54</v>
      </c>
      <c r="E256" s="5">
        <v>2</v>
      </c>
      <c r="F256" s="5">
        <v>4</v>
      </c>
      <c r="G256" s="5" t="str">
        <f t="shared" si="17"/>
        <v>M82_C</v>
      </c>
      <c r="H256" s="5" t="s">
        <v>60</v>
      </c>
      <c r="I256" s="1">
        <v>0.42590725806451613</v>
      </c>
      <c r="J256" s="3">
        <v>1.5550904219691895</v>
      </c>
      <c r="K256" s="3">
        <v>3.1693672839506171</v>
      </c>
      <c r="L256" s="3">
        <v>4.0306486101211689</v>
      </c>
      <c r="M256" s="3">
        <f t="shared" si="22"/>
        <v>3.6047413520566529</v>
      </c>
      <c r="N256" s="1">
        <v>0</v>
      </c>
      <c r="R256" s="1">
        <v>1</v>
      </c>
      <c r="S256" s="1">
        <v>24</v>
      </c>
      <c r="T256" s="1">
        <v>30</v>
      </c>
      <c r="U256" s="1">
        <v>12</v>
      </c>
      <c r="V256" s="1">
        <v>10</v>
      </c>
      <c r="W256" s="16">
        <f>V256/U256</f>
        <v>0.83333333333333337</v>
      </c>
    </row>
    <row r="257" spans="1:23" x14ac:dyDescent="0.25">
      <c r="A257" s="4">
        <v>256</v>
      </c>
      <c r="B257" s="4" t="s">
        <v>19</v>
      </c>
      <c r="C257" s="5">
        <v>2</v>
      </c>
      <c r="D257" s="5" t="s">
        <v>50</v>
      </c>
      <c r="E257" s="5">
        <v>2</v>
      </c>
      <c r="F257" s="5">
        <v>3</v>
      </c>
      <c r="G257" s="5" t="str">
        <f t="shared" ref="G257:G320" si="23">CONCATENATE(B257,"_",D257)</f>
        <v>M82_A</v>
      </c>
      <c r="H257" s="5" t="s">
        <v>62</v>
      </c>
      <c r="I257" s="1">
        <v>0.27503360215053763</v>
      </c>
      <c r="J257" s="3">
        <v>0.7078030810448761</v>
      </c>
      <c r="K257" s="3">
        <v>0.3152006172839506</v>
      </c>
      <c r="L257" s="3">
        <v>1.0228082679971489</v>
      </c>
      <c r="M257" s="3">
        <f t="shared" si="22"/>
        <v>0.74777466584661123</v>
      </c>
      <c r="N257" s="1">
        <v>1</v>
      </c>
      <c r="O257" s="1">
        <v>13</v>
      </c>
      <c r="P257" s="6">
        <v>0.46097647897362792</v>
      </c>
      <c r="Q257" s="1">
        <f>P257/L257</f>
        <v>0.45069686411149829</v>
      </c>
      <c r="R257" s="1">
        <v>0</v>
      </c>
      <c r="W257" s="16"/>
    </row>
    <row r="258" spans="1:23" x14ac:dyDescent="0.25">
      <c r="A258" s="4">
        <v>257</v>
      </c>
      <c r="B258" s="4" t="s">
        <v>19</v>
      </c>
      <c r="C258" s="5">
        <v>2</v>
      </c>
      <c r="D258" s="5" t="s">
        <v>52</v>
      </c>
      <c r="E258" s="5">
        <v>2</v>
      </c>
      <c r="F258" s="5">
        <v>6</v>
      </c>
      <c r="G258" s="5" t="str">
        <f t="shared" si="23"/>
        <v>M82_B</v>
      </c>
      <c r="H258" s="5" t="s">
        <v>65</v>
      </c>
      <c r="I258" s="1">
        <v>0.61004704301075274</v>
      </c>
      <c r="J258" s="3">
        <v>0.77511721366376418</v>
      </c>
      <c r="K258" s="3">
        <v>0.24170524691358025</v>
      </c>
      <c r="L258" s="3">
        <v>3.0363506771204563</v>
      </c>
      <c r="M258" s="3">
        <f t="shared" si="22"/>
        <v>2.4263036341097033</v>
      </c>
      <c r="N258" s="1">
        <v>1</v>
      </c>
      <c r="O258" s="1">
        <v>13</v>
      </c>
      <c r="P258" s="6">
        <v>1.5163934426229508</v>
      </c>
      <c r="Q258" s="1">
        <f>P258/L258</f>
        <v>0.49941314553990607</v>
      </c>
      <c r="R258" s="1">
        <v>1</v>
      </c>
      <c r="S258" s="1">
        <v>14</v>
      </c>
      <c r="T258" s="1">
        <v>20</v>
      </c>
      <c r="U258" s="1">
        <v>17</v>
      </c>
      <c r="V258" s="1">
        <v>15</v>
      </c>
      <c r="W258" s="16">
        <f>V258/U258</f>
        <v>0.88235294117647056</v>
      </c>
    </row>
    <row r="259" spans="1:23" x14ac:dyDescent="0.25">
      <c r="A259" s="4">
        <v>258</v>
      </c>
      <c r="B259" s="4" t="s">
        <v>19</v>
      </c>
      <c r="C259" s="5">
        <v>2</v>
      </c>
      <c r="D259" s="5" t="s">
        <v>54</v>
      </c>
      <c r="E259" s="5">
        <v>2</v>
      </c>
      <c r="F259" s="5">
        <v>6</v>
      </c>
      <c r="G259" s="5" t="str">
        <f t="shared" si="23"/>
        <v>M82_C</v>
      </c>
      <c r="H259" s="5" t="s">
        <v>66</v>
      </c>
      <c r="I259" s="1">
        <v>0.90742607526881724</v>
      </c>
      <c r="J259" s="3">
        <v>1.0167448091091762</v>
      </c>
      <c r="K259" s="3">
        <v>1.9458303635067713</v>
      </c>
      <c r="L259" s="3">
        <v>3.298289379900214</v>
      </c>
      <c r="M259" s="3">
        <f t="shared" si="22"/>
        <v>2.390863304631397</v>
      </c>
      <c r="N259" s="1">
        <v>1</v>
      </c>
      <c r="O259" s="1">
        <v>14</v>
      </c>
      <c r="P259" s="6">
        <v>1.5987170349251603</v>
      </c>
      <c r="Q259" s="1">
        <f>P259/L259</f>
        <v>0.48471096704484057</v>
      </c>
      <c r="R259" s="1">
        <v>0</v>
      </c>
      <c r="W259" s="16"/>
    </row>
    <row r="260" spans="1:23" x14ac:dyDescent="0.25">
      <c r="A260" s="4">
        <v>259</v>
      </c>
      <c r="B260" s="4" t="s">
        <v>19</v>
      </c>
      <c r="C260" s="5">
        <v>3</v>
      </c>
      <c r="D260" s="5" t="s">
        <v>50</v>
      </c>
      <c r="E260" s="5">
        <v>2</v>
      </c>
      <c r="F260" s="5">
        <v>1</v>
      </c>
      <c r="G260" s="5" t="str">
        <f t="shared" si="23"/>
        <v>M82_A</v>
      </c>
      <c r="H260" s="5" t="s">
        <v>51</v>
      </c>
      <c r="I260" s="1">
        <v>0.11386088709677419</v>
      </c>
      <c r="J260" s="3">
        <v>0.23961821835231079</v>
      </c>
      <c r="K260" s="3">
        <v>0.52044753086419748</v>
      </c>
      <c r="L260" s="3">
        <v>2.9080541696364932</v>
      </c>
      <c r="M260" s="3">
        <f t="shared" si="22"/>
        <v>2.7941932825397191</v>
      </c>
      <c r="N260" s="1">
        <v>0</v>
      </c>
      <c r="W260" s="16"/>
    </row>
    <row r="261" spans="1:23" x14ac:dyDescent="0.25">
      <c r="A261" s="4">
        <v>260</v>
      </c>
      <c r="B261" s="4" t="s">
        <v>19</v>
      </c>
      <c r="C261" s="5">
        <v>3</v>
      </c>
      <c r="D261" s="5" t="s">
        <v>52</v>
      </c>
      <c r="E261" s="5">
        <v>2</v>
      </c>
      <c r="F261" s="5">
        <v>4</v>
      </c>
      <c r="G261" s="5" t="str">
        <f t="shared" si="23"/>
        <v>M82_B</v>
      </c>
      <c r="H261" s="5" t="s">
        <v>53</v>
      </c>
      <c r="I261" s="1">
        <v>0.42657930107526881</v>
      </c>
      <c r="J261" s="3">
        <v>0.8464005702066999</v>
      </c>
      <c r="K261" s="3">
        <v>1.2014400535833891</v>
      </c>
      <c r="L261" s="3">
        <v>3.9861012116892374</v>
      </c>
      <c r="M261" s="3">
        <f t="shared" si="22"/>
        <v>3.5595219106139684</v>
      </c>
      <c r="N261" s="1">
        <v>1</v>
      </c>
      <c r="O261" s="1">
        <v>14</v>
      </c>
      <c r="P261" s="6">
        <v>1.8317890235210263</v>
      </c>
      <c r="Q261" s="1">
        <f>P261/L261</f>
        <v>0.45954403218596335</v>
      </c>
      <c r="R261" s="1">
        <v>0</v>
      </c>
      <c r="W261" s="16"/>
    </row>
    <row r="262" spans="1:23" x14ac:dyDescent="0.25">
      <c r="A262" s="4">
        <v>261</v>
      </c>
      <c r="B262" s="4" t="s">
        <v>19</v>
      </c>
      <c r="C262" s="5">
        <v>3</v>
      </c>
      <c r="D262" s="5" t="s">
        <v>54</v>
      </c>
      <c r="E262" s="5">
        <v>2</v>
      </c>
      <c r="F262" s="5">
        <v>2</v>
      </c>
      <c r="G262" s="5" t="str">
        <f t="shared" si="23"/>
        <v>M82_C</v>
      </c>
      <c r="H262" s="5" t="s">
        <v>63</v>
      </c>
      <c r="I262" s="1">
        <v>0.20161290322580644</v>
      </c>
      <c r="J262" s="3">
        <v>0.75552578700602813</v>
      </c>
      <c r="K262" s="3">
        <v>2.2665895061728394</v>
      </c>
      <c r="L262" s="3">
        <v>1.6778332145402708</v>
      </c>
      <c r="M262" s="3">
        <f t="shared" si="22"/>
        <v>1.4762203113144643</v>
      </c>
      <c r="N262" s="1">
        <v>1</v>
      </c>
      <c r="O262" s="1">
        <v>14</v>
      </c>
      <c r="P262" s="6">
        <v>0.63417676407697787</v>
      </c>
      <c r="Q262" s="1">
        <f>P262/L262</f>
        <v>0.37797366185216652</v>
      </c>
      <c r="R262" s="1">
        <v>1</v>
      </c>
      <c r="S262" s="1">
        <v>18</v>
      </c>
      <c r="T262" s="1">
        <v>24</v>
      </c>
      <c r="U262" s="1">
        <v>9</v>
      </c>
      <c r="V262" s="1">
        <v>7</v>
      </c>
      <c r="W262" s="16">
        <f>V262/U262</f>
        <v>0.77777777777777779</v>
      </c>
    </row>
    <row r="263" spans="1:23" x14ac:dyDescent="0.25">
      <c r="A263" s="4">
        <v>262</v>
      </c>
      <c r="B263" s="4" t="s">
        <v>19</v>
      </c>
      <c r="C263" s="5">
        <v>4</v>
      </c>
      <c r="D263" s="5" t="s">
        <v>50</v>
      </c>
      <c r="E263" s="5">
        <v>2</v>
      </c>
      <c r="F263" s="5">
        <v>3</v>
      </c>
      <c r="G263" s="5" t="str">
        <f t="shared" si="23"/>
        <v>M82_A</v>
      </c>
      <c r="H263" s="5" t="s">
        <v>62</v>
      </c>
      <c r="I263" s="1">
        <v>0.24143145161290322</v>
      </c>
      <c r="J263" s="3">
        <v>0.47186872069658403</v>
      </c>
      <c r="K263" s="3">
        <v>1.8210976478973628</v>
      </c>
      <c r="L263" s="3">
        <v>1.9226657163221668</v>
      </c>
      <c r="M263" s="3">
        <f t="shared" si="22"/>
        <v>1.6812342647092635</v>
      </c>
      <c r="N263" s="1">
        <v>0</v>
      </c>
      <c r="W263" s="16"/>
    </row>
    <row r="264" spans="1:23" x14ac:dyDescent="0.25">
      <c r="A264" s="4">
        <v>263</v>
      </c>
      <c r="B264" s="4" t="s">
        <v>19</v>
      </c>
      <c r="C264" s="5">
        <v>4</v>
      </c>
      <c r="D264" s="5" t="s">
        <v>52</v>
      </c>
      <c r="E264" s="5">
        <v>2</v>
      </c>
      <c r="F264" s="5">
        <v>2</v>
      </c>
      <c r="G264" s="5" t="str">
        <f t="shared" si="23"/>
        <v>M82_B</v>
      </c>
      <c r="H264" s="5" t="s">
        <v>57</v>
      </c>
      <c r="I264" s="1">
        <v>0.21219758064516128</v>
      </c>
      <c r="J264" s="3">
        <v>3.7509653865056516E-2</v>
      </c>
      <c r="K264" s="3">
        <v>1.1089891975308641</v>
      </c>
      <c r="L264" s="3">
        <v>1.6644689950106915</v>
      </c>
      <c r="M264" s="3">
        <f t="shared" si="22"/>
        <v>1.4522714143655302</v>
      </c>
      <c r="N264" s="1">
        <v>1</v>
      </c>
      <c r="O264" s="1">
        <v>13</v>
      </c>
      <c r="P264" s="6">
        <v>1.2904490377761939</v>
      </c>
      <c r="Q264" s="1">
        <f>P264/L264</f>
        <v>0.77529172465474783</v>
      </c>
      <c r="R264" s="1">
        <v>0</v>
      </c>
      <c r="W264" s="16"/>
    </row>
    <row r="265" spans="1:23" x14ac:dyDescent="0.25">
      <c r="A265" s="4">
        <v>264</v>
      </c>
      <c r="B265" s="4" t="s">
        <v>19</v>
      </c>
      <c r="C265" s="5">
        <v>4</v>
      </c>
      <c r="D265" s="5" t="s">
        <v>54</v>
      </c>
      <c r="E265" s="5">
        <v>2</v>
      </c>
      <c r="F265" s="5">
        <v>3</v>
      </c>
      <c r="G265" s="5" t="str">
        <f t="shared" si="23"/>
        <v>M82_C</v>
      </c>
      <c r="H265" s="5" t="s">
        <v>55</v>
      </c>
      <c r="I265" s="1">
        <v>0.25151209677419356</v>
      </c>
      <c r="J265" s="3">
        <v>0.72304085733422641</v>
      </c>
      <c r="K265" s="3">
        <v>1.2361111111111112</v>
      </c>
      <c r="L265" s="3">
        <v>3.0256593014967925</v>
      </c>
      <c r="M265" s="3">
        <f t="shared" si="22"/>
        <v>2.774147204722599</v>
      </c>
      <c r="N265" s="1">
        <v>1</v>
      </c>
      <c r="O265" s="1">
        <v>15</v>
      </c>
      <c r="P265" s="6">
        <v>0.55274411974340698</v>
      </c>
      <c r="Q265" s="1">
        <f>P265/L265</f>
        <v>0.18268551236749117</v>
      </c>
      <c r="R265" s="1">
        <v>1</v>
      </c>
      <c r="S265" s="1">
        <v>14</v>
      </c>
      <c r="T265" s="1">
        <v>20</v>
      </c>
      <c r="U265" s="1">
        <v>6</v>
      </c>
      <c r="V265" s="1">
        <v>5</v>
      </c>
      <c r="W265" s="16">
        <f>V265/U265</f>
        <v>0.83333333333333337</v>
      </c>
    </row>
    <row r="266" spans="1:23" x14ac:dyDescent="0.25">
      <c r="A266" s="4">
        <v>265</v>
      </c>
      <c r="B266" s="4" t="s">
        <v>19</v>
      </c>
      <c r="C266" s="5">
        <v>5</v>
      </c>
      <c r="D266" s="5" t="s">
        <v>50</v>
      </c>
      <c r="E266" s="5">
        <v>2</v>
      </c>
      <c r="F266" s="5">
        <v>2</v>
      </c>
      <c r="G266" s="5" t="str">
        <f t="shared" si="23"/>
        <v>M82_A</v>
      </c>
      <c r="H266" s="5" t="s">
        <v>56</v>
      </c>
      <c r="I266" s="1">
        <v>0.18346774193548387</v>
      </c>
      <c r="J266" s="3">
        <v>0.3201607501674481</v>
      </c>
      <c r="K266" s="3">
        <v>1.9230324074074074</v>
      </c>
      <c r="L266" s="3">
        <v>3.6261582323592303</v>
      </c>
      <c r="M266" s="3">
        <f t="shared" si="22"/>
        <v>3.4426904904237463</v>
      </c>
      <c r="N266" s="1">
        <v>0</v>
      </c>
      <c r="W266" s="16"/>
    </row>
    <row r="267" spans="1:23" x14ac:dyDescent="0.25">
      <c r="A267" s="4">
        <v>266</v>
      </c>
      <c r="B267" s="4" t="s">
        <v>19</v>
      </c>
      <c r="C267" s="5">
        <v>5</v>
      </c>
      <c r="D267" s="5" t="s">
        <v>52</v>
      </c>
      <c r="E267" s="5">
        <v>2</v>
      </c>
      <c r="F267" s="5">
        <v>1</v>
      </c>
      <c r="G267" s="5" t="str">
        <f t="shared" si="23"/>
        <v>M82_B</v>
      </c>
      <c r="H267" s="5" t="s">
        <v>67</v>
      </c>
      <c r="I267" s="1">
        <v>0.11631384408602151</v>
      </c>
      <c r="J267" s="3">
        <v>1.1054922973878099</v>
      </c>
      <c r="K267" s="3">
        <v>2.5713734567901234</v>
      </c>
      <c r="L267" s="3">
        <v>2.731646471846044</v>
      </c>
      <c r="M267" s="3">
        <f t="shared" si="22"/>
        <v>2.6153326277600226</v>
      </c>
      <c r="N267" s="1">
        <v>1</v>
      </c>
      <c r="O267" s="1">
        <v>15</v>
      </c>
      <c r="P267" s="6">
        <v>0.85477548111190305</v>
      </c>
      <c r="Q267" s="1">
        <f>P267/L267</f>
        <v>0.31291585127201565</v>
      </c>
      <c r="R267" s="1">
        <v>1</v>
      </c>
      <c r="S267" s="1">
        <v>15</v>
      </c>
      <c r="T267" s="1">
        <v>22</v>
      </c>
      <c r="U267" s="1">
        <v>8</v>
      </c>
      <c r="V267" s="1">
        <v>5</v>
      </c>
      <c r="W267" s="16">
        <f>V267/U267</f>
        <v>0.625</v>
      </c>
    </row>
    <row r="268" spans="1:23" x14ac:dyDescent="0.25">
      <c r="A268" s="4">
        <v>267</v>
      </c>
      <c r="B268" s="4" t="s">
        <v>19</v>
      </c>
      <c r="C268" s="5">
        <v>5</v>
      </c>
      <c r="D268" s="5" t="s">
        <v>54</v>
      </c>
      <c r="E268" s="5">
        <v>2</v>
      </c>
      <c r="F268" s="5">
        <v>2</v>
      </c>
      <c r="G268" s="5" t="str">
        <f t="shared" si="23"/>
        <v>M82_C</v>
      </c>
      <c r="H268" s="5" t="s">
        <v>63</v>
      </c>
      <c r="I268" s="1">
        <v>0.19035618279569894</v>
      </c>
      <c r="J268" s="3">
        <v>0.62910247823174814</v>
      </c>
      <c r="K268" s="3">
        <v>1.0968364197530864</v>
      </c>
      <c r="L268" s="3">
        <v>1.5367070563079117</v>
      </c>
      <c r="M268" s="3">
        <f t="shared" si="22"/>
        <v>1.3463508735122127</v>
      </c>
      <c r="N268" s="1">
        <v>1</v>
      </c>
      <c r="O268" s="1">
        <v>17</v>
      </c>
      <c r="P268" s="6">
        <v>2.16143977191732</v>
      </c>
      <c r="Q268" s="1">
        <f>P268/L268</f>
        <v>1.4065398886827456</v>
      </c>
      <c r="R268" s="1">
        <v>1</v>
      </c>
      <c r="S268" s="1">
        <v>12</v>
      </c>
      <c r="T268" s="1">
        <v>18</v>
      </c>
      <c r="U268" s="1">
        <v>14</v>
      </c>
      <c r="V268" s="1">
        <v>11</v>
      </c>
      <c r="W268" s="16">
        <f>V268/U268</f>
        <v>0.7857142857142857</v>
      </c>
    </row>
    <row r="269" spans="1:23" x14ac:dyDescent="0.25">
      <c r="A269" s="4">
        <v>268</v>
      </c>
      <c r="B269" s="4" t="s">
        <v>19</v>
      </c>
      <c r="C269" s="5">
        <v>6</v>
      </c>
      <c r="D269" s="5" t="s">
        <v>50</v>
      </c>
      <c r="E269" s="5">
        <v>2</v>
      </c>
      <c r="F269" s="5">
        <v>2</v>
      </c>
      <c r="G269" s="5" t="str">
        <f t="shared" si="23"/>
        <v>M82_A</v>
      </c>
      <c r="H269" s="5" t="s">
        <v>56</v>
      </c>
      <c r="I269" s="1">
        <v>0.13709677419354838</v>
      </c>
      <c r="J269" s="3">
        <v>0.41795043536503684</v>
      </c>
      <c r="K269" s="3">
        <v>0.96662808641975306</v>
      </c>
      <c r="L269" s="3">
        <v>2.4839629365645046</v>
      </c>
      <c r="M269" s="3">
        <f t="shared" si="22"/>
        <v>2.3468661623709561</v>
      </c>
      <c r="N269" s="1">
        <v>1</v>
      </c>
      <c r="O269" s="1">
        <v>14</v>
      </c>
      <c r="P269" s="6">
        <v>0.63132573057733432</v>
      </c>
      <c r="Q269" s="1">
        <f>P269/L269</f>
        <v>0.25416068866571018</v>
      </c>
      <c r="R269" s="1">
        <v>1</v>
      </c>
      <c r="S269" s="1">
        <v>14</v>
      </c>
      <c r="T269" s="1">
        <v>21</v>
      </c>
      <c r="U269" s="1">
        <v>16</v>
      </c>
      <c r="V269" s="1">
        <v>11</v>
      </c>
      <c r="W269" s="16">
        <f>V269/U269</f>
        <v>0.6875</v>
      </c>
    </row>
    <row r="270" spans="1:23" x14ac:dyDescent="0.25">
      <c r="A270" s="4">
        <v>269</v>
      </c>
      <c r="B270" s="4" t="s">
        <v>19</v>
      </c>
      <c r="C270" s="5">
        <v>6</v>
      </c>
      <c r="D270" s="5" t="s">
        <v>52</v>
      </c>
      <c r="E270" s="5">
        <v>2</v>
      </c>
      <c r="F270" s="5">
        <v>4</v>
      </c>
      <c r="G270" s="5" t="str">
        <f t="shared" si="23"/>
        <v>M82_B</v>
      </c>
      <c r="H270" s="5" t="s">
        <v>53</v>
      </c>
      <c r="I270" s="1">
        <v>0.36307123655913981</v>
      </c>
      <c r="J270" s="3">
        <v>0.35482250502344276</v>
      </c>
      <c r="K270" s="3">
        <v>1.816358024691358</v>
      </c>
      <c r="L270" s="3">
        <v>1.7745901639344261</v>
      </c>
      <c r="M270" s="3">
        <f t="shared" si="22"/>
        <v>1.4115189273752864</v>
      </c>
      <c r="N270" s="1">
        <v>1</v>
      </c>
      <c r="O270" s="1">
        <v>14</v>
      </c>
      <c r="P270" s="6">
        <v>1.3989665003563792</v>
      </c>
      <c r="Q270" s="1">
        <f>P270/L270</f>
        <v>0.78833216186364097</v>
      </c>
      <c r="R270" s="1">
        <v>1</v>
      </c>
      <c r="S270" s="1">
        <v>21</v>
      </c>
      <c r="T270" s="1">
        <v>26</v>
      </c>
      <c r="U270" s="1">
        <v>6</v>
      </c>
      <c r="V270" s="1">
        <v>5</v>
      </c>
      <c r="W270" s="16">
        <f>V270/U270</f>
        <v>0.83333333333333337</v>
      </c>
    </row>
    <row r="271" spans="1:23" x14ac:dyDescent="0.25">
      <c r="A271" s="4">
        <v>270</v>
      </c>
      <c r="B271" s="4" t="s">
        <v>19</v>
      </c>
      <c r="C271" s="5">
        <v>6</v>
      </c>
      <c r="D271" s="5" t="s">
        <v>54</v>
      </c>
      <c r="E271" s="5">
        <v>2</v>
      </c>
      <c r="F271" s="5">
        <v>2</v>
      </c>
      <c r="G271" s="5" t="str">
        <f t="shared" si="23"/>
        <v>M82_C</v>
      </c>
      <c r="H271" s="5" t="s">
        <v>63</v>
      </c>
      <c r="I271" s="1">
        <v>0.13876008064516129</v>
      </c>
      <c r="J271" s="3">
        <v>0.74715338245144003</v>
      </c>
      <c r="K271" s="3">
        <v>1.3074845679012346</v>
      </c>
      <c r="L271" s="3">
        <v>0.80327868852459017</v>
      </c>
      <c r="M271" s="3">
        <f t="shared" si="22"/>
        <v>0.66451860787942885</v>
      </c>
      <c r="N271" s="1">
        <v>1</v>
      </c>
      <c r="O271" s="1">
        <v>15</v>
      </c>
      <c r="P271" s="6">
        <v>0.59319315751960089</v>
      </c>
      <c r="Q271" s="1">
        <f>P271/L271</f>
        <v>0.73846495119787048</v>
      </c>
      <c r="R271" s="1">
        <v>1</v>
      </c>
      <c r="S271" s="1">
        <v>22</v>
      </c>
      <c r="T271" s="1">
        <v>27</v>
      </c>
      <c r="U271" s="1">
        <v>9</v>
      </c>
      <c r="V271" s="1">
        <v>7</v>
      </c>
      <c r="W271" s="16">
        <f>V271/U271</f>
        <v>0.77777777777777779</v>
      </c>
    </row>
    <row r="272" spans="1:23" x14ac:dyDescent="0.25">
      <c r="A272" s="4">
        <v>271</v>
      </c>
      <c r="B272" s="4" t="s">
        <v>19</v>
      </c>
      <c r="C272" s="5">
        <v>7</v>
      </c>
      <c r="D272" s="5" t="s">
        <v>50</v>
      </c>
      <c r="E272" s="5">
        <v>2</v>
      </c>
      <c r="F272" s="5">
        <v>3</v>
      </c>
      <c r="G272" s="5" t="str">
        <f t="shared" si="23"/>
        <v>M82_A</v>
      </c>
      <c r="H272" s="5" t="s">
        <v>62</v>
      </c>
      <c r="I272" s="1">
        <v>0.30930779569892475</v>
      </c>
      <c r="J272" s="3">
        <v>0.60884125920964505</v>
      </c>
      <c r="K272" s="3">
        <v>0.62789351851851849</v>
      </c>
      <c r="L272" s="3">
        <v>0.56129722024233786</v>
      </c>
      <c r="M272" s="3">
        <f t="shared" si="22"/>
        <v>0.25198942454341311</v>
      </c>
      <c r="N272" s="1">
        <v>0</v>
      </c>
      <c r="W272" s="16"/>
    </row>
    <row r="273" spans="1:23" x14ac:dyDescent="0.25">
      <c r="A273" s="4">
        <v>272</v>
      </c>
      <c r="B273" s="4" t="s">
        <v>19</v>
      </c>
      <c r="C273" s="5">
        <v>7</v>
      </c>
      <c r="D273" s="5" t="s">
        <v>52</v>
      </c>
      <c r="E273" s="5">
        <v>2</v>
      </c>
      <c r="F273" s="5">
        <v>3</v>
      </c>
      <c r="G273" s="5" t="str">
        <f t="shared" si="23"/>
        <v>M82_B</v>
      </c>
      <c r="H273" s="5" t="s">
        <v>59</v>
      </c>
      <c r="I273" s="1">
        <v>0.28259408602150538</v>
      </c>
      <c r="J273" s="3">
        <v>0.84829202947086402</v>
      </c>
      <c r="K273" s="3">
        <v>0.96547067901234573</v>
      </c>
      <c r="L273" s="3">
        <v>1.3187811831789022</v>
      </c>
      <c r="M273" s="3">
        <f t="shared" si="22"/>
        <v>1.0361870971573968</v>
      </c>
      <c r="N273" s="1">
        <v>0</v>
      </c>
      <c r="R273" s="1">
        <v>1</v>
      </c>
      <c r="S273" s="1">
        <v>22</v>
      </c>
      <c r="T273" s="1">
        <v>28</v>
      </c>
      <c r="U273" s="1">
        <v>3</v>
      </c>
      <c r="V273" s="1">
        <v>3</v>
      </c>
      <c r="W273" s="16">
        <f>V273/U273</f>
        <v>1</v>
      </c>
    </row>
    <row r="274" spans="1:23" x14ac:dyDescent="0.25">
      <c r="A274" s="4">
        <v>273</v>
      </c>
      <c r="B274" s="4" t="s">
        <v>19</v>
      </c>
      <c r="C274" s="5">
        <v>7</v>
      </c>
      <c r="D274" s="5" t="s">
        <v>54</v>
      </c>
      <c r="E274" s="5">
        <v>2</v>
      </c>
      <c r="F274" s="5">
        <v>4</v>
      </c>
      <c r="G274" s="5" t="str">
        <f t="shared" si="23"/>
        <v>M82_C</v>
      </c>
      <c r="H274" s="5" t="s">
        <v>60</v>
      </c>
      <c r="I274" s="1">
        <v>0.39616935483870969</v>
      </c>
      <c r="J274" s="3">
        <v>1.1689551239115874</v>
      </c>
      <c r="K274" s="3">
        <v>2.5694444444444446</v>
      </c>
      <c r="L274" s="3">
        <v>2.7459016393442623</v>
      </c>
      <c r="M274" s="3">
        <f t="shared" si="22"/>
        <v>2.3497322845055528</v>
      </c>
      <c r="N274" s="1">
        <v>1</v>
      </c>
      <c r="O274" s="1">
        <v>20</v>
      </c>
      <c r="P274" s="6">
        <v>1.5297576621525304</v>
      </c>
      <c r="Q274" s="1">
        <f>P274/L274</f>
        <v>0.5571057754704738</v>
      </c>
      <c r="R274" s="1">
        <v>1</v>
      </c>
      <c r="S274" s="1">
        <v>23</v>
      </c>
      <c r="T274" s="1">
        <v>30</v>
      </c>
      <c r="U274" s="1">
        <v>4</v>
      </c>
      <c r="V274" s="1">
        <v>4</v>
      </c>
      <c r="W274" s="16">
        <f>V274/U274</f>
        <v>1</v>
      </c>
    </row>
    <row r="275" spans="1:23" x14ac:dyDescent="0.25">
      <c r="A275" s="4">
        <v>274</v>
      </c>
      <c r="B275" s="4" t="s">
        <v>19</v>
      </c>
      <c r="C275" s="5">
        <v>8</v>
      </c>
      <c r="D275" s="5" t="s">
        <v>50</v>
      </c>
      <c r="E275" s="5">
        <v>2</v>
      </c>
      <c r="F275" s="5">
        <v>3</v>
      </c>
      <c r="G275" s="5" t="str">
        <f t="shared" si="23"/>
        <v>M82_A</v>
      </c>
      <c r="H275" s="5" t="s">
        <v>62</v>
      </c>
      <c r="I275" s="1">
        <v>0.24479166666666666</v>
      </c>
      <c r="J275" s="2">
        <f>14570/59520</f>
        <v>0.24479166666666666</v>
      </c>
      <c r="K275" s="3"/>
      <c r="L275" s="3"/>
      <c r="M275" s="3"/>
      <c r="W275" s="16"/>
    </row>
    <row r="276" spans="1:23" x14ac:dyDescent="0.25">
      <c r="A276" s="4">
        <v>275</v>
      </c>
      <c r="B276" s="4" t="s">
        <v>19</v>
      </c>
      <c r="C276" s="5">
        <v>8</v>
      </c>
      <c r="D276" s="5" t="s">
        <v>52</v>
      </c>
      <c r="E276" s="5">
        <v>2</v>
      </c>
      <c r="F276" s="5">
        <v>5</v>
      </c>
      <c r="G276" s="5" t="str">
        <f t="shared" si="23"/>
        <v>M82_B</v>
      </c>
      <c r="H276" s="5" t="s">
        <v>70</v>
      </c>
      <c r="I276" s="1">
        <v>0.58534946236559138</v>
      </c>
      <c r="J276" s="2">
        <f>34840/59520</f>
        <v>0.58534946236559138</v>
      </c>
      <c r="K276" s="3"/>
      <c r="L276" s="3"/>
      <c r="M276" s="3"/>
      <c r="W276" s="16"/>
    </row>
    <row r="277" spans="1:23" x14ac:dyDescent="0.25">
      <c r="A277" s="4">
        <v>276</v>
      </c>
      <c r="B277" s="4" t="s">
        <v>19</v>
      </c>
      <c r="C277" s="5">
        <v>8</v>
      </c>
      <c r="D277" s="5" t="s">
        <v>54</v>
      </c>
      <c r="E277" s="5">
        <v>2</v>
      </c>
      <c r="F277" s="5">
        <v>6</v>
      </c>
      <c r="G277" s="5" t="str">
        <f t="shared" si="23"/>
        <v>M82_C</v>
      </c>
      <c r="H277" s="5" t="s">
        <v>66</v>
      </c>
      <c r="I277" s="1">
        <v>0.96841397849462363</v>
      </c>
      <c r="J277" s="3">
        <v>0.95010046885465504</v>
      </c>
      <c r="K277" s="3">
        <v>1.4506172839506173</v>
      </c>
      <c r="L277" s="3">
        <v>2.2576621525302922</v>
      </c>
      <c r="M277" s="3">
        <f t="shared" ref="M277:M319" si="24">L277-I277</f>
        <v>1.2892481740356687</v>
      </c>
      <c r="N277" s="1">
        <v>0</v>
      </c>
      <c r="W277" s="16"/>
    </row>
    <row r="278" spans="1:23" x14ac:dyDescent="0.25">
      <c r="A278" s="4">
        <v>277</v>
      </c>
      <c r="B278" s="4" t="s">
        <v>19</v>
      </c>
      <c r="C278" s="5">
        <v>9</v>
      </c>
      <c r="D278" s="5" t="s">
        <v>50</v>
      </c>
      <c r="E278" s="5">
        <v>2</v>
      </c>
      <c r="F278" s="5">
        <v>1</v>
      </c>
      <c r="G278" s="5" t="str">
        <f t="shared" si="23"/>
        <v>M82_A</v>
      </c>
      <c r="H278" s="5" t="s">
        <v>51</v>
      </c>
      <c r="I278" s="1">
        <v>2.3353494623655914E-2</v>
      </c>
      <c r="J278" s="3">
        <v>0.62625586068318817</v>
      </c>
      <c r="K278" s="3">
        <v>2.0679012345679011</v>
      </c>
      <c r="L278" s="3">
        <v>4.1981468282252319</v>
      </c>
      <c r="M278" s="3">
        <f t="shared" si="24"/>
        <v>4.1747933336015759</v>
      </c>
      <c r="N278" s="1">
        <v>0</v>
      </c>
      <c r="W278" s="16"/>
    </row>
    <row r="279" spans="1:23" x14ac:dyDescent="0.25">
      <c r="A279" s="4">
        <v>278</v>
      </c>
      <c r="B279" s="4" t="s">
        <v>19</v>
      </c>
      <c r="C279" s="5">
        <v>9</v>
      </c>
      <c r="D279" s="5" t="s">
        <v>52</v>
      </c>
      <c r="E279" s="5">
        <v>2</v>
      </c>
      <c r="F279" s="5">
        <v>4</v>
      </c>
      <c r="G279" s="5" t="str">
        <f t="shared" si="23"/>
        <v>M82_B</v>
      </c>
      <c r="H279" s="5" t="s">
        <v>53</v>
      </c>
      <c r="I279" s="1">
        <v>0.42271505376344087</v>
      </c>
      <c r="J279" s="3">
        <v>0.46416610850636303</v>
      </c>
      <c r="K279" s="3">
        <v>3.6091820987654319</v>
      </c>
      <c r="L279" s="3">
        <v>2.2380612972202423</v>
      </c>
      <c r="M279" s="3">
        <f t="shared" si="24"/>
        <v>1.8153462434568013</v>
      </c>
      <c r="N279" s="1">
        <v>1</v>
      </c>
      <c r="O279" s="1">
        <v>18</v>
      </c>
      <c r="P279" s="6">
        <v>0.58553100498930866</v>
      </c>
      <c r="Q279" s="1">
        <f>P279/L279</f>
        <v>0.26162420382165608</v>
      </c>
      <c r="R279" s="1">
        <v>1</v>
      </c>
      <c r="S279" s="1">
        <v>20</v>
      </c>
      <c r="T279" s="1">
        <v>26</v>
      </c>
      <c r="U279" s="1">
        <v>9</v>
      </c>
      <c r="V279" s="1">
        <v>7</v>
      </c>
      <c r="W279" s="16">
        <f>V279/U279</f>
        <v>0.77777777777777779</v>
      </c>
    </row>
    <row r="280" spans="1:23" x14ac:dyDescent="0.25">
      <c r="A280" s="4">
        <v>279</v>
      </c>
      <c r="B280" s="4" t="s">
        <v>19</v>
      </c>
      <c r="C280" s="5">
        <v>9</v>
      </c>
      <c r="D280" s="5" t="s">
        <v>54</v>
      </c>
      <c r="E280" s="5">
        <v>2</v>
      </c>
      <c r="F280" s="5">
        <v>2</v>
      </c>
      <c r="G280" s="5" t="str">
        <f t="shared" si="23"/>
        <v>M82_C</v>
      </c>
      <c r="H280" s="5" t="s">
        <v>63</v>
      </c>
      <c r="I280" s="1">
        <v>0.20060483870967741</v>
      </c>
      <c r="J280" s="3">
        <v>0.49882786336235768</v>
      </c>
      <c r="K280" s="3">
        <v>2.1103395061728394</v>
      </c>
      <c r="L280" s="3">
        <v>2.5873129009265861</v>
      </c>
      <c r="M280" s="3">
        <f t="shared" si="24"/>
        <v>2.3867080622169086</v>
      </c>
      <c r="N280" s="1">
        <v>1</v>
      </c>
      <c r="O280" s="1">
        <v>18</v>
      </c>
      <c r="P280" s="6">
        <v>1.486279401282965</v>
      </c>
      <c r="Q280" s="1">
        <f>P280/L280</f>
        <v>0.57444903581267215</v>
      </c>
      <c r="R280" s="1">
        <v>1</v>
      </c>
      <c r="S280" s="1">
        <v>15</v>
      </c>
      <c r="T280" s="1">
        <v>20</v>
      </c>
      <c r="U280" s="1">
        <v>25</v>
      </c>
      <c r="V280" s="1">
        <v>19</v>
      </c>
      <c r="W280" s="16">
        <f>V280/U280</f>
        <v>0.76</v>
      </c>
    </row>
    <row r="281" spans="1:23" x14ac:dyDescent="0.25">
      <c r="A281" s="4">
        <v>280</v>
      </c>
      <c r="B281" s="4" t="s">
        <v>19</v>
      </c>
      <c r="C281" s="5">
        <v>10</v>
      </c>
      <c r="D281" s="5" t="s">
        <v>50</v>
      </c>
      <c r="E281" s="5">
        <v>2</v>
      </c>
      <c r="F281" s="5">
        <v>2</v>
      </c>
      <c r="G281" s="5" t="str">
        <f t="shared" si="23"/>
        <v>M82_A</v>
      </c>
      <c r="H281" s="5" t="s">
        <v>56</v>
      </c>
      <c r="I281" s="1">
        <v>0.18581989247311828</v>
      </c>
      <c r="J281" s="3">
        <v>0.65974547890154056</v>
      </c>
      <c r="K281" s="3">
        <v>1.6315586419753085</v>
      </c>
      <c r="L281" s="3">
        <v>1.66928011404134</v>
      </c>
      <c r="M281" s="3">
        <f t="shared" si="24"/>
        <v>1.4834602215682218</v>
      </c>
      <c r="N281" s="1">
        <v>0</v>
      </c>
      <c r="R281" s="1">
        <v>1</v>
      </c>
      <c r="S281" s="1">
        <v>19</v>
      </c>
      <c r="T281" s="1">
        <v>21</v>
      </c>
      <c r="U281" s="1">
        <v>10</v>
      </c>
      <c r="V281" s="1">
        <v>9</v>
      </c>
      <c r="W281" s="16">
        <f>V281/U281</f>
        <v>0.9</v>
      </c>
    </row>
    <row r="282" spans="1:23" x14ac:dyDescent="0.25">
      <c r="A282" s="4">
        <v>281</v>
      </c>
      <c r="B282" s="4" t="s">
        <v>19</v>
      </c>
      <c r="C282" s="5">
        <v>10</v>
      </c>
      <c r="D282" s="5" t="s">
        <v>52</v>
      </c>
      <c r="E282" s="5">
        <v>2</v>
      </c>
      <c r="F282" s="5">
        <v>3</v>
      </c>
      <c r="G282" s="5" t="str">
        <f t="shared" si="23"/>
        <v>M82_B</v>
      </c>
      <c r="H282" s="5" t="s">
        <v>59</v>
      </c>
      <c r="I282" s="1">
        <v>0.245127688172043</v>
      </c>
      <c r="J282" s="3">
        <v>0.65137307434695246</v>
      </c>
      <c r="K282" s="3">
        <v>1.0862437633642195</v>
      </c>
      <c r="L282" s="3">
        <v>1.0978009259259258</v>
      </c>
      <c r="M282" s="3">
        <f t="shared" si="24"/>
        <v>0.85267323775388282</v>
      </c>
      <c r="N282" s="1">
        <v>0</v>
      </c>
      <c r="R282" s="1">
        <v>1</v>
      </c>
      <c r="S282" s="1">
        <v>21</v>
      </c>
      <c r="T282" s="1">
        <v>26</v>
      </c>
      <c r="U282" s="1">
        <v>6</v>
      </c>
      <c r="V282" s="1">
        <v>5</v>
      </c>
      <c r="W282" s="16">
        <f>V282/U282</f>
        <v>0.83333333333333337</v>
      </c>
    </row>
    <row r="283" spans="1:23" x14ac:dyDescent="0.25">
      <c r="A283" s="4">
        <v>282</v>
      </c>
      <c r="B283" s="4" t="s">
        <v>19</v>
      </c>
      <c r="C283" s="5">
        <v>10</v>
      </c>
      <c r="D283" s="5" t="s">
        <v>54</v>
      </c>
      <c r="E283" s="5">
        <v>2</v>
      </c>
      <c r="F283" s="5">
        <v>2</v>
      </c>
      <c r="G283" s="5" t="str">
        <f t="shared" si="23"/>
        <v>M82_C</v>
      </c>
      <c r="H283" s="5" t="s">
        <v>63</v>
      </c>
      <c r="I283" s="1">
        <v>0.22614247311827956</v>
      </c>
      <c r="J283" s="3">
        <v>0.31681178834561285</v>
      </c>
      <c r="K283" s="3">
        <v>1.3441358024691359</v>
      </c>
      <c r="L283" s="3">
        <v>2.3984319315751961</v>
      </c>
      <c r="M283" s="3">
        <f t="shared" si="24"/>
        <v>2.1722894584569166</v>
      </c>
      <c r="N283" s="1">
        <v>1</v>
      </c>
      <c r="O283" s="1">
        <v>17</v>
      </c>
      <c r="P283" s="6">
        <v>0.59693513898788308</v>
      </c>
      <c r="Q283" s="1">
        <f t="shared" ref="Q283:Q289" si="25">P283/L283</f>
        <v>0.24888558692421989</v>
      </c>
      <c r="R283" s="1">
        <v>0</v>
      </c>
      <c r="W283" s="16"/>
    </row>
    <row r="284" spans="1:23" x14ac:dyDescent="0.25">
      <c r="A284" s="4">
        <v>283</v>
      </c>
      <c r="B284" s="4" t="s">
        <v>19</v>
      </c>
      <c r="C284" s="5">
        <v>11</v>
      </c>
      <c r="D284" s="5" t="s">
        <v>50</v>
      </c>
      <c r="E284" s="5">
        <v>2</v>
      </c>
      <c r="F284" s="5">
        <v>2</v>
      </c>
      <c r="G284" s="5" t="str">
        <f t="shared" si="23"/>
        <v>M82_A</v>
      </c>
      <c r="H284" s="5" t="s">
        <v>56</v>
      </c>
      <c r="I284" s="1">
        <v>0.22379032258064516</v>
      </c>
      <c r="J284" s="3">
        <v>1.4976557267247153</v>
      </c>
      <c r="K284" s="3">
        <v>1.4307484567901234</v>
      </c>
      <c r="L284" s="3">
        <v>4.3709907341411265</v>
      </c>
      <c r="M284" s="3">
        <f t="shared" si="24"/>
        <v>4.1472004115604815</v>
      </c>
      <c r="N284" s="1">
        <v>1</v>
      </c>
      <c r="O284" s="1">
        <v>14</v>
      </c>
      <c r="P284" s="6">
        <v>0.54615110477548112</v>
      </c>
      <c r="Q284" s="1">
        <f t="shared" si="25"/>
        <v>0.12494904198940072</v>
      </c>
      <c r="R284" s="1">
        <v>1</v>
      </c>
      <c r="S284" s="1">
        <v>16</v>
      </c>
      <c r="T284" s="1">
        <v>21</v>
      </c>
      <c r="U284" s="1">
        <v>15</v>
      </c>
      <c r="V284" s="1">
        <v>13</v>
      </c>
      <c r="W284" s="16">
        <f>V284/U284</f>
        <v>0.8666666666666667</v>
      </c>
    </row>
    <row r="285" spans="1:23" x14ac:dyDescent="0.25">
      <c r="A285" s="4">
        <v>284</v>
      </c>
      <c r="B285" s="4" t="s">
        <v>19</v>
      </c>
      <c r="C285" s="5">
        <v>11</v>
      </c>
      <c r="D285" s="5" t="s">
        <v>52</v>
      </c>
      <c r="E285" s="5">
        <v>2</v>
      </c>
      <c r="F285" s="5">
        <v>2</v>
      </c>
      <c r="G285" s="5" t="str">
        <f t="shared" si="23"/>
        <v>M82_B</v>
      </c>
      <c r="H285" s="5" t="s">
        <v>57</v>
      </c>
      <c r="I285" s="1">
        <v>0.2133736559139785</v>
      </c>
      <c r="J285" s="3">
        <v>0.30843938379102476</v>
      </c>
      <c r="K285" s="3">
        <v>1.5825617283950617</v>
      </c>
      <c r="L285" s="3">
        <v>2.2808267997148968</v>
      </c>
      <c r="M285" s="3">
        <f t="shared" si="24"/>
        <v>2.0674531438009183</v>
      </c>
      <c r="N285" s="1">
        <v>1</v>
      </c>
      <c r="O285" s="1">
        <v>14</v>
      </c>
      <c r="P285" s="6">
        <v>0.67070563079116174</v>
      </c>
      <c r="Q285" s="1">
        <f t="shared" si="25"/>
        <v>0.29406249999999995</v>
      </c>
      <c r="R285" s="1">
        <v>0</v>
      </c>
      <c r="W285" s="16"/>
    </row>
    <row r="286" spans="1:23" x14ac:dyDescent="0.25">
      <c r="A286" s="4">
        <v>285</v>
      </c>
      <c r="B286" s="4" t="s">
        <v>19</v>
      </c>
      <c r="C286" s="5">
        <v>11</v>
      </c>
      <c r="D286" s="5" t="s">
        <v>54</v>
      </c>
      <c r="E286" s="5">
        <v>2</v>
      </c>
      <c r="F286" s="5">
        <v>5</v>
      </c>
      <c r="G286" s="5" t="str">
        <f t="shared" si="23"/>
        <v>M82_C</v>
      </c>
      <c r="H286" s="5" t="s">
        <v>61</v>
      </c>
      <c r="I286" s="1">
        <v>0.51311728395061729</v>
      </c>
      <c r="J286" s="3">
        <v>0.52923387096774188</v>
      </c>
      <c r="K286" s="3">
        <v>1.7299382716049383</v>
      </c>
      <c r="L286" s="3">
        <v>2.4679258731290092</v>
      </c>
      <c r="M286" s="3">
        <f t="shared" si="24"/>
        <v>1.954808589178392</v>
      </c>
      <c r="N286" s="1">
        <v>1</v>
      </c>
      <c r="O286" s="1">
        <v>18</v>
      </c>
      <c r="P286" s="6">
        <v>0.73788310762651466</v>
      </c>
      <c r="Q286" s="1">
        <f t="shared" si="25"/>
        <v>0.29898916967509026</v>
      </c>
      <c r="R286" s="1">
        <v>0</v>
      </c>
      <c r="W286" s="16"/>
    </row>
    <row r="287" spans="1:23" x14ac:dyDescent="0.25">
      <c r="A287" s="4">
        <v>286</v>
      </c>
      <c r="B287" s="4" t="s">
        <v>19</v>
      </c>
      <c r="C287" s="5">
        <v>12</v>
      </c>
      <c r="D287" s="5" t="s">
        <v>50</v>
      </c>
      <c r="E287" s="5">
        <v>2</v>
      </c>
      <c r="F287" s="5">
        <v>2</v>
      </c>
      <c r="G287" s="5" t="str">
        <f t="shared" si="23"/>
        <v>M82_A</v>
      </c>
      <c r="H287" s="5" t="s">
        <v>56</v>
      </c>
      <c r="I287" s="1">
        <v>0.15107526881720429</v>
      </c>
      <c r="J287" s="3">
        <v>1.2760416666666667</v>
      </c>
      <c r="K287" s="3">
        <v>1.0978009259259258</v>
      </c>
      <c r="L287" s="3">
        <v>1.6468282252316464</v>
      </c>
      <c r="M287" s="3">
        <f t="shared" si="24"/>
        <v>1.4957529564144421</v>
      </c>
      <c r="N287" s="1">
        <v>1</v>
      </c>
      <c r="O287" s="1">
        <v>15</v>
      </c>
      <c r="P287" s="6">
        <v>1.378296507483963</v>
      </c>
      <c r="Q287" s="1">
        <f t="shared" si="25"/>
        <v>0.83694005626487789</v>
      </c>
      <c r="R287" s="1">
        <v>1</v>
      </c>
      <c r="S287" s="1">
        <v>12</v>
      </c>
      <c r="T287" s="1">
        <v>18</v>
      </c>
      <c r="U287" s="1">
        <v>19</v>
      </c>
      <c r="V287" s="1">
        <v>17</v>
      </c>
      <c r="W287" s="16">
        <f>V287/U287</f>
        <v>0.89473684210526316</v>
      </c>
    </row>
    <row r="288" spans="1:23" x14ac:dyDescent="0.25">
      <c r="A288" s="4">
        <v>287</v>
      </c>
      <c r="B288" s="4" t="s">
        <v>19</v>
      </c>
      <c r="C288" s="5">
        <v>12</v>
      </c>
      <c r="D288" s="5" t="s">
        <v>52</v>
      </c>
      <c r="E288" s="5">
        <v>2</v>
      </c>
      <c r="F288" s="5">
        <v>4</v>
      </c>
      <c r="G288" s="5" t="str">
        <f t="shared" si="23"/>
        <v>M82_B</v>
      </c>
      <c r="H288" s="5" t="s">
        <v>53</v>
      </c>
      <c r="I288" s="1">
        <v>0.39684139784946237</v>
      </c>
      <c r="J288" s="3">
        <v>0.98693904889484263</v>
      </c>
      <c r="K288" s="3">
        <v>1.7394868139700641</v>
      </c>
      <c r="L288" s="3">
        <v>2.9062722736992161</v>
      </c>
      <c r="M288" s="3">
        <f t="shared" si="24"/>
        <v>2.5094308758497537</v>
      </c>
      <c r="N288" s="1">
        <v>1</v>
      </c>
      <c r="O288" s="1">
        <v>17</v>
      </c>
      <c r="P288" s="6">
        <v>1.0443692088382039</v>
      </c>
      <c r="Q288" s="1">
        <f t="shared" si="25"/>
        <v>0.35935009196811774</v>
      </c>
      <c r="R288" s="1">
        <v>1</v>
      </c>
      <c r="S288" s="1">
        <v>16</v>
      </c>
      <c r="T288" s="1">
        <v>21</v>
      </c>
      <c r="U288" s="1">
        <v>9</v>
      </c>
      <c r="V288" s="1">
        <v>7</v>
      </c>
      <c r="W288" s="16">
        <f>V288/U288</f>
        <v>0.77777777777777779</v>
      </c>
    </row>
    <row r="289" spans="1:23" s="10" customFormat="1" x14ac:dyDescent="0.25">
      <c r="A289" s="23">
        <v>288</v>
      </c>
      <c r="B289" s="23" t="s">
        <v>19</v>
      </c>
      <c r="C289" s="17">
        <v>12</v>
      </c>
      <c r="D289" s="17" t="s">
        <v>54</v>
      </c>
      <c r="E289" s="17">
        <v>2</v>
      </c>
      <c r="F289" s="17">
        <v>4</v>
      </c>
      <c r="G289" s="17" t="str">
        <f t="shared" si="23"/>
        <v>M82_C</v>
      </c>
      <c r="H289" s="17" t="s">
        <v>60</v>
      </c>
      <c r="I289" s="9">
        <v>0.37365591397849462</v>
      </c>
      <c r="J289" s="8">
        <v>1.2617213663764233</v>
      </c>
      <c r="K289" s="8">
        <v>3.0690586419753085</v>
      </c>
      <c r="L289" s="8">
        <v>3.3535281539558088</v>
      </c>
      <c r="M289" s="8">
        <f t="shared" si="24"/>
        <v>2.9798722399773143</v>
      </c>
      <c r="N289" s="9">
        <v>1</v>
      </c>
      <c r="O289" s="9">
        <v>18</v>
      </c>
      <c r="P289" s="42">
        <v>0.84034212401995723</v>
      </c>
      <c r="Q289" s="9">
        <f t="shared" si="25"/>
        <v>0.2505844845908608</v>
      </c>
      <c r="R289" s="9">
        <v>1</v>
      </c>
      <c r="S289" s="9">
        <v>10</v>
      </c>
      <c r="T289" s="9">
        <v>16</v>
      </c>
      <c r="U289" s="9">
        <v>14</v>
      </c>
      <c r="V289" s="9">
        <v>11</v>
      </c>
      <c r="W289" s="18">
        <f>V289/U289</f>
        <v>0.7857142857142857</v>
      </c>
    </row>
    <row r="290" spans="1:23" x14ac:dyDescent="0.25">
      <c r="A290" s="5">
        <v>289</v>
      </c>
      <c r="B290" s="4" t="s">
        <v>71</v>
      </c>
      <c r="C290" s="5">
        <v>1</v>
      </c>
      <c r="D290" s="5" t="s">
        <v>50</v>
      </c>
      <c r="E290" s="5">
        <v>1</v>
      </c>
      <c r="F290" s="5">
        <v>2</v>
      </c>
      <c r="G290" s="5" t="str">
        <f t="shared" si="23"/>
        <v>BGV007910_A</v>
      </c>
      <c r="H290" s="5" t="s">
        <v>56</v>
      </c>
      <c r="I290" s="1">
        <v>0.17960159362549802</v>
      </c>
      <c r="J290" s="3">
        <v>0.11898854961832062</v>
      </c>
      <c r="K290" s="3">
        <v>0.2039154539154539</v>
      </c>
      <c r="L290" s="3">
        <v>0.2072072072072072</v>
      </c>
      <c r="M290" s="3">
        <f t="shared" si="24"/>
        <v>2.7605613581709182E-2</v>
      </c>
      <c r="N290" s="1">
        <v>0</v>
      </c>
      <c r="W290" s="16"/>
    </row>
    <row r="291" spans="1:23" x14ac:dyDescent="0.25">
      <c r="A291" s="5">
        <v>290</v>
      </c>
      <c r="B291" s="4" t="s">
        <v>71</v>
      </c>
      <c r="C291" s="5">
        <v>1</v>
      </c>
      <c r="D291" s="5" t="s">
        <v>52</v>
      </c>
      <c r="E291" s="5">
        <v>1</v>
      </c>
      <c r="F291" s="5">
        <v>3</v>
      </c>
      <c r="G291" s="5" t="str">
        <f t="shared" si="23"/>
        <v>BGV007910_B</v>
      </c>
      <c r="H291" s="5" t="s">
        <v>59</v>
      </c>
      <c r="I291" s="1">
        <v>0.28812749003984062</v>
      </c>
      <c r="J291" s="3">
        <v>0.28721374045801529</v>
      </c>
      <c r="K291" s="3">
        <v>0.81202356202356207</v>
      </c>
      <c r="L291" s="3">
        <v>1.1853029500088323</v>
      </c>
      <c r="M291" s="3">
        <f t="shared" si="24"/>
        <v>0.89717545996899173</v>
      </c>
      <c r="N291" s="1">
        <v>1</v>
      </c>
      <c r="O291" s="1">
        <v>15</v>
      </c>
      <c r="P291" s="2">
        <f>64650/56610</f>
        <v>1.142024377318495</v>
      </c>
      <c r="Q291" s="1">
        <f>P291/L291</f>
        <v>0.96348733233979145</v>
      </c>
      <c r="R291" s="1">
        <v>0</v>
      </c>
      <c r="W291" s="16"/>
    </row>
    <row r="292" spans="1:23" x14ac:dyDescent="0.25">
      <c r="A292" s="5">
        <v>291</v>
      </c>
      <c r="B292" s="4" t="s">
        <v>71</v>
      </c>
      <c r="C292" s="5">
        <v>1</v>
      </c>
      <c r="D292" s="5" t="s">
        <v>54</v>
      </c>
      <c r="E292" s="5">
        <v>1</v>
      </c>
      <c r="F292" s="5">
        <v>3</v>
      </c>
      <c r="G292" s="5" t="str">
        <f t="shared" si="23"/>
        <v>BGV007910_C</v>
      </c>
      <c r="H292" s="5" t="s">
        <v>55</v>
      </c>
      <c r="I292" s="1">
        <v>0.30374501992031872</v>
      </c>
      <c r="J292" s="3">
        <v>0.31937022900763357</v>
      </c>
      <c r="K292" s="3">
        <v>0.9215176715176715</v>
      </c>
      <c r="L292" s="3">
        <v>1.2598480833774952</v>
      </c>
      <c r="M292" s="3">
        <f t="shared" si="24"/>
        <v>0.95610306345717655</v>
      </c>
      <c r="N292" s="1">
        <v>1</v>
      </c>
      <c r="O292" s="1">
        <v>18</v>
      </c>
      <c r="P292" s="2">
        <f>58160/56610</f>
        <v>1.0273803214979687</v>
      </c>
      <c r="Q292" s="1">
        <f>P292/L292</f>
        <v>0.81547952888390352</v>
      </c>
      <c r="R292" s="1">
        <v>0</v>
      </c>
      <c r="W292" s="16"/>
    </row>
    <row r="293" spans="1:23" x14ac:dyDescent="0.25">
      <c r="A293" s="5">
        <v>292</v>
      </c>
      <c r="B293" s="4" t="s">
        <v>71</v>
      </c>
      <c r="C293" s="5">
        <v>2</v>
      </c>
      <c r="D293" s="5" t="s">
        <v>50</v>
      </c>
      <c r="E293" s="5">
        <v>1</v>
      </c>
      <c r="F293" s="5">
        <v>2</v>
      </c>
      <c r="G293" s="5" t="str">
        <f t="shared" si="23"/>
        <v>BGV007910_A</v>
      </c>
      <c r="H293" s="5" t="s">
        <v>56</v>
      </c>
      <c r="I293" s="1">
        <v>0.17561752988047807</v>
      </c>
      <c r="J293" s="3">
        <v>0.16221374045801526</v>
      </c>
      <c r="K293" s="3">
        <v>0.10282397782397783</v>
      </c>
      <c r="L293" s="3">
        <v>0.19943472884649355</v>
      </c>
      <c r="M293" s="3">
        <f t="shared" si="24"/>
        <v>2.3817198966015474E-2</v>
      </c>
      <c r="N293" s="1">
        <v>0</v>
      </c>
      <c r="W293" s="16"/>
    </row>
    <row r="294" spans="1:23" x14ac:dyDescent="0.25">
      <c r="A294" s="5">
        <v>293</v>
      </c>
      <c r="B294" s="4" t="s">
        <v>71</v>
      </c>
      <c r="C294" s="5">
        <v>2</v>
      </c>
      <c r="D294" s="5" t="s">
        <v>52</v>
      </c>
      <c r="E294" s="5">
        <v>1</v>
      </c>
      <c r="F294" s="5">
        <v>1</v>
      </c>
      <c r="G294" s="5" t="str">
        <f t="shared" si="23"/>
        <v>BGV007910_B</v>
      </c>
      <c r="H294" s="5" t="s">
        <v>67</v>
      </c>
      <c r="I294" s="1">
        <v>8.2881679389312971E-2</v>
      </c>
      <c r="J294" s="3">
        <v>0.11244621513944224</v>
      </c>
      <c r="K294" s="3">
        <v>0.28153153153153154</v>
      </c>
      <c r="L294" s="3">
        <v>0.39180356827415652</v>
      </c>
      <c r="M294" s="3">
        <f t="shared" si="24"/>
        <v>0.30892188888484357</v>
      </c>
      <c r="N294" s="1">
        <v>0</v>
      </c>
      <c r="W294" s="16"/>
    </row>
    <row r="295" spans="1:23" x14ac:dyDescent="0.25">
      <c r="A295" s="5">
        <v>294</v>
      </c>
      <c r="B295" s="4" t="s">
        <v>71</v>
      </c>
      <c r="C295" s="5">
        <v>2</v>
      </c>
      <c r="D295" s="5" t="s">
        <v>54</v>
      </c>
      <c r="E295" s="5">
        <v>1</v>
      </c>
      <c r="F295" s="5">
        <v>1</v>
      </c>
      <c r="G295" s="5" t="str">
        <f t="shared" si="23"/>
        <v>BGV007910_C</v>
      </c>
      <c r="H295" s="5" t="s">
        <v>58</v>
      </c>
      <c r="I295" s="1">
        <v>6.9074844074844072E-2</v>
      </c>
      <c r="J295" s="3">
        <v>0.20366533864541833</v>
      </c>
      <c r="K295" s="3">
        <v>0.34141221374045799</v>
      </c>
      <c r="L295" s="3">
        <v>0.35193428722840486</v>
      </c>
      <c r="M295" s="3">
        <f t="shared" si="24"/>
        <v>0.28285944315356082</v>
      </c>
      <c r="N295" s="1">
        <v>0</v>
      </c>
      <c r="W295" s="16"/>
    </row>
    <row r="296" spans="1:23" x14ac:dyDescent="0.25">
      <c r="A296" s="5">
        <v>295</v>
      </c>
      <c r="B296" s="4" t="s">
        <v>71</v>
      </c>
      <c r="C296" s="5">
        <v>3</v>
      </c>
      <c r="D296" s="5" t="s">
        <v>50</v>
      </c>
      <c r="E296" s="5">
        <v>1</v>
      </c>
      <c r="F296" s="5">
        <v>1</v>
      </c>
      <c r="G296" s="5" t="str">
        <f t="shared" si="23"/>
        <v>BGV007910_A</v>
      </c>
      <c r="H296" s="5" t="s">
        <v>51</v>
      </c>
      <c r="I296" s="1">
        <v>7.5059760956175295E-2</v>
      </c>
      <c r="J296" s="3">
        <v>0.14284351145038168</v>
      </c>
      <c r="K296" s="3">
        <v>0.19507969507969508</v>
      </c>
      <c r="L296" s="3">
        <v>0.21303656597774245</v>
      </c>
      <c r="M296" s="3">
        <f t="shared" si="24"/>
        <v>0.13797680502156717</v>
      </c>
      <c r="N296" s="1">
        <v>0</v>
      </c>
      <c r="W296" s="16"/>
    </row>
    <row r="297" spans="1:23" x14ac:dyDescent="0.25">
      <c r="A297" s="5">
        <v>296</v>
      </c>
      <c r="B297" s="4" t="s">
        <v>71</v>
      </c>
      <c r="C297" s="5">
        <v>3</v>
      </c>
      <c r="D297" s="5" t="s">
        <v>52</v>
      </c>
      <c r="E297" s="5">
        <v>1</v>
      </c>
      <c r="F297" s="5">
        <v>1</v>
      </c>
      <c r="G297" s="5" t="str">
        <f t="shared" si="23"/>
        <v>BGV007910_B</v>
      </c>
      <c r="H297" s="5" t="s">
        <v>67</v>
      </c>
      <c r="I297" s="1">
        <v>8.1011450381679395E-2</v>
      </c>
      <c r="J297" s="3">
        <v>0.15278087649402392</v>
      </c>
      <c r="K297" s="3">
        <v>0.20997920997920999</v>
      </c>
      <c r="L297" s="3">
        <v>0.23246776187952659</v>
      </c>
      <c r="M297" s="3">
        <f t="shared" si="24"/>
        <v>0.15145631149784719</v>
      </c>
      <c r="N297" s="1">
        <v>1</v>
      </c>
      <c r="O297" s="1">
        <v>18</v>
      </c>
      <c r="P297" s="2">
        <f>12200/56610</f>
        <v>0.21550962727433315</v>
      </c>
      <c r="Q297" s="3">
        <f>P297/L297</f>
        <v>0.92705167173252279</v>
      </c>
      <c r="R297" s="1">
        <v>0</v>
      </c>
      <c r="W297" s="16"/>
    </row>
    <row r="298" spans="1:23" x14ac:dyDescent="0.25">
      <c r="A298" s="5">
        <v>297</v>
      </c>
      <c r="B298" s="4" t="s">
        <v>71</v>
      </c>
      <c r="C298" s="5">
        <v>3</v>
      </c>
      <c r="D298" s="5" t="s">
        <v>54</v>
      </c>
      <c r="E298" s="5">
        <v>1</v>
      </c>
      <c r="F298" s="5">
        <v>3</v>
      </c>
      <c r="G298" s="5" t="str">
        <f t="shared" si="23"/>
        <v>BGV007910_C</v>
      </c>
      <c r="H298" s="5" t="s">
        <v>55</v>
      </c>
      <c r="I298" s="1">
        <v>0.30151394422310757</v>
      </c>
      <c r="J298" s="3">
        <v>0.30486641221374045</v>
      </c>
      <c r="K298" s="3">
        <v>0.87803187803187799</v>
      </c>
      <c r="L298" s="3">
        <v>1.0897367956191486</v>
      </c>
      <c r="M298" s="3">
        <f t="shared" si="24"/>
        <v>0.78822285139604098</v>
      </c>
      <c r="N298" s="1">
        <v>1</v>
      </c>
      <c r="O298" s="1">
        <v>20</v>
      </c>
      <c r="P298" s="2">
        <f>14440/56610</f>
        <v>0.25507860801978449</v>
      </c>
      <c r="Q298" s="1">
        <f>P298/L298</f>
        <v>0.23407359377532824</v>
      </c>
      <c r="R298" s="1">
        <v>1</v>
      </c>
      <c r="S298" s="1">
        <v>17</v>
      </c>
      <c r="T298" s="1">
        <v>23</v>
      </c>
      <c r="U298" s="1">
        <v>2</v>
      </c>
      <c r="V298" s="1">
        <v>2</v>
      </c>
      <c r="W298" s="16">
        <f>V298/U298</f>
        <v>1</v>
      </c>
    </row>
    <row r="299" spans="1:23" x14ac:dyDescent="0.25">
      <c r="A299" s="5">
        <v>298</v>
      </c>
      <c r="B299" s="4" t="s">
        <v>71</v>
      </c>
      <c r="C299" s="5">
        <v>4</v>
      </c>
      <c r="D299" s="5" t="s">
        <v>50</v>
      </c>
      <c r="E299" s="5">
        <v>1</v>
      </c>
      <c r="F299" s="5">
        <v>1</v>
      </c>
      <c r="G299" s="5" t="str">
        <f t="shared" si="23"/>
        <v>BGV007910_A</v>
      </c>
      <c r="H299" s="5" t="s">
        <v>51</v>
      </c>
      <c r="I299" s="1">
        <v>5.9569721115537849E-2</v>
      </c>
      <c r="J299" s="3">
        <v>7.1278625954198468E-2</v>
      </c>
      <c r="K299" s="3">
        <v>0.69941094941094939</v>
      </c>
      <c r="L299" s="3">
        <v>1.0814343755520226</v>
      </c>
      <c r="M299" s="3">
        <f t="shared" si="24"/>
        <v>1.0218646544364847</v>
      </c>
      <c r="N299" s="1">
        <v>0</v>
      </c>
      <c r="W299" s="16"/>
    </row>
    <row r="300" spans="1:23" x14ac:dyDescent="0.25">
      <c r="A300" s="5">
        <v>299</v>
      </c>
      <c r="B300" s="4" t="s">
        <v>71</v>
      </c>
      <c r="C300" s="5">
        <v>4</v>
      </c>
      <c r="D300" s="5" t="s">
        <v>52</v>
      </c>
      <c r="E300" s="5">
        <v>1</v>
      </c>
      <c r="F300" s="5">
        <v>1</v>
      </c>
      <c r="G300" s="5" t="str">
        <f t="shared" si="23"/>
        <v>BGV007910_B</v>
      </c>
      <c r="H300" s="5" t="s">
        <v>67</v>
      </c>
      <c r="I300" s="1">
        <v>0.11154580152671756</v>
      </c>
      <c r="J300" s="3">
        <v>0.14395219123505976</v>
      </c>
      <c r="K300" s="3">
        <v>0.24722799722799724</v>
      </c>
      <c r="L300" s="3">
        <v>0.3169051404345522</v>
      </c>
      <c r="M300" s="3">
        <f t="shared" si="24"/>
        <v>0.20535933890783464</v>
      </c>
      <c r="N300" s="1">
        <v>0</v>
      </c>
      <c r="W300" s="16"/>
    </row>
    <row r="301" spans="1:23" x14ac:dyDescent="0.25">
      <c r="A301" s="5">
        <v>300</v>
      </c>
      <c r="B301" s="4" t="s">
        <v>71</v>
      </c>
      <c r="C301" s="5">
        <v>4</v>
      </c>
      <c r="D301" s="5" t="s">
        <v>54</v>
      </c>
      <c r="E301" s="5">
        <v>1</v>
      </c>
      <c r="F301" s="5">
        <v>1</v>
      </c>
      <c r="G301" s="5" t="str">
        <f t="shared" si="23"/>
        <v>BGV007910_C</v>
      </c>
      <c r="H301" s="5" t="s">
        <v>58</v>
      </c>
      <c r="I301" s="1">
        <v>0.11781673306772908</v>
      </c>
      <c r="J301" s="3">
        <v>0.13091603053435114</v>
      </c>
      <c r="K301" s="3">
        <v>0.17096327096327096</v>
      </c>
      <c r="L301" s="3">
        <v>0.2393570040628864</v>
      </c>
      <c r="M301" s="3">
        <f t="shared" si="24"/>
        <v>0.12154027099515732</v>
      </c>
      <c r="N301" s="1">
        <v>0</v>
      </c>
      <c r="W301" s="16"/>
    </row>
    <row r="302" spans="1:23" x14ac:dyDescent="0.25">
      <c r="A302" s="5">
        <v>301</v>
      </c>
      <c r="B302" s="4" t="s">
        <v>71</v>
      </c>
      <c r="C302" s="5">
        <v>5</v>
      </c>
      <c r="D302" s="5" t="s">
        <v>50</v>
      </c>
      <c r="E302" s="5">
        <v>1</v>
      </c>
      <c r="F302" s="5">
        <v>2</v>
      </c>
      <c r="G302" s="5" t="str">
        <f t="shared" si="23"/>
        <v>BGV007910_A</v>
      </c>
      <c r="H302" s="5" t="s">
        <v>56</v>
      </c>
      <c r="I302" s="1">
        <v>0.13174501992031873</v>
      </c>
      <c r="J302" s="3">
        <v>0.12767175572519085</v>
      </c>
      <c r="K302" s="3">
        <v>0.32189882189882191</v>
      </c>
      <c r="L302" s="3">
        <v>0.68521462639109698</v>
      </c>
      <c r="M302" s="3">
        <f t="shared" si="24"/>
        <v>0.55346960647077825</v>
      </c>
      <c r="N302" s="1">
        <v>1</v>
      </c>
      <c r="O302" s="1">
        <v>18</v>
      </c>
      <c r="P302" s="2">
        <f>30770/56610</f>
        <v>0.54354354354354351</v>
      </c>
      <c r="Q302" s="1">
        <f>P302/L302</f>
        <v>0.79324568187677236</v>
      </c>
      <c r="R302" s="1">
        <v>0</v>
      </c>
      <c r="W302" s="16"/>
    </row>
    <row r="303" spans="1:23" x14ac:dyDescent="0.25">
      <c r="A303" s="5">
        <v>302</v>
      </c>
      <c r="B303" s="4" t="s">
        <v>71</v>
      </c>
      <c r="C303" s="5">
        <v>5</v>
      </c>
      <c r="D303" s="5" t="s">
        <v>52</v>
      </c>
      <c r="E303" s="5">
        <v>1</v>
      </c>
      <c r="F303" s="5">
        <v>2</v>
      </c>
      <c r="G303" s="5" t="str">
        <f t="shared" si="23"/>
        <v>BGV007910_B</v>
      </c>
      <c r="H303" s="5" t="s">
        <v>57</v>
      </c>
      <c r="I303" s="1">
        <v>0.23936254980079683</v>
      </c>
      <c r="J303" s="3">
        <v>0.29818702290076338</v>
      </c>
      <c r="K303" s="3">
        <v>0.82969507969507972</v>
      </c>
      <c r="L303" s="3">
        <v>1.3644232467761879</v>
      </c>
      <c r="M303" s="3">
        <f t="shared" si="24"/>
        <v>1.1250606969753911</v>
      </c>
      <c r="N303" s="1">
        <v>1</v>
      </c>
      <c r="O303" s="1">
        <v>19</v>
      </c>
      <c r="P303" s="2">
        <f>21300/56610</f>
        <v>0.37625861155272922</v>
      </c>
      <c r="Q303" s="1">
        <f>P303/L303</f>
        <v>0.27576385292594513</v>
      </c>
      <c r="R303" s="1">
        <v>0</v>
      </c>
      <c r="W303" s="16"/>
    </row>
    <row r="304" spans="1:23" x14ac:dyDescent="0.25">
      <c r="A304" s="5">
        <v>303</v>
      </c>
      <c r="B304" s="4" t="s">
        <v>71</v>
      </c>
      <c r="C304" s="5">
        <v>5</v>
      </c>
      <c r="D304" s="5" t="s">
        <v>54</v>
      </c>
      <c r="E304" s="5">
        <v>1</v>
      </c>
      <c r="F304" s="5">
        <v>4</v>
      </c>
      <c r="G304" s="5" t="str">
        <f t="shared" si="23"/>
        <v>BGV007910_C</v>
      </c>
      <c r="H304" s="5" t="s">
        <v>60</v>
      </c>
      <c r="I304" s="1">
        <v>0.37595419847328243</v>
      </c>
      <c r="J304" s="3">
        <v>0.40462151394422313</v>
      </c>
      <c r="K304" s="3">
        <v>0.99948024948024949</v>
      </c>
      <c r="L304" s="3">
        <v>1.3195548489666136</v>
      </c>
      <c r="M304" s="3">
        <f t="shared" si="24"/>
        <v>0.94360065049333119</v>
      </c>
      <c r="N304" s="1">
        <v>1</v>
      </c>
      <c r="O304" s="1">
        <v>20</v>
      </c>
      <c r="P304" s="2">
        <f>28470/56610</f>
        <v>0.50291467938526757</v>
      </c>
      <c r="Q304" s="1">
        <f>P304/L304</f>
        <v>0.38112449799196785</v>
      </c>
      <c r="R304" s="1">
        <v>0</v>
      </c>
      <c r="W304" s="16"/>
    </row>
    <row r="305" spans="1:23" x14ac:dyDescent="0.25">
      <c r="A305" s="5">
        <v>304</v>
      </c>
      <c r="B305" s="4" t="s">
        <v>71</v>
      </c>
      <c r="C305" s="5">
        <v>6</v>
      </c>
      <c r="D305" s="5" t="s">
        <v>50</v>
      </c>
      <c r="E305" s="5">
        <v>1</v>
      </c>
      <c r="F305" s="5">
        <v>1</v>
      </c>
      <c r="G305" s="5" t="str">
        <f t="shared" si="23"/>
        <v>BGV007910_A</v>
      </c>
      <c r="H305" s="5" t="s">
        <v>51</v>
      </c>
      <c r="I305" s="1">
        <v>7.0629482071713143E-2</v>
      </c>
      <c r="J305" s="3">
        <v>0.13272900763358778</v>
      </c>
      <c r="K305" s="3">
        <v>1.6962924462924462</v>
      </c>
      <c r="L305" s="3">
        <v>1.9024907260201378</v>
      </c>
      <c r="M305" s="3">
        <f t="shared" si="24"/>
        <v>1.8318612439484248</v>
      </c>
      <c r="N305" s="1">
        <v>1</v>
      </c>
      <c r="O305" s="1">
        <v>21</v>
      </c>
      <c r="P305" s="2">
        <f>28510/56610</f>
        <v>0.50362126832715071</v>
      </c>
      <c r="Q305" s="1">
        <f>P305/L305</f>
        <v>0.26471680594243269</v>
      </c>
      <c r="R305" s="1">
        <v>0</v>
      </c>
      <c r="W305" s="16"/>
    </row>
    <row r="306" spans="1:23" x14ac:dyDescent="0.25">
      <c r="A306" s="5">
        <v>305</v>
      </c>
      <c r="B306" s="4" t="s">
        <v>71</v>
      </c>
      <c r="C306" s="5">
        <v>6</v>
      </c>
      <c r="D306" s="5" t="s">
        <v>52</v>
      </c>
      <c r="E306" s="5">
        <v>1</v>
      </c>
      <c r="F306" s="5">
        <v>2</v>
      </c>
      <c r="G306" s="5" t="str">
        <f t="shared" si="23"/>
        <v>BGV007910_B</v>
      </c>
      <c r="H306" s="5" t="s">
        <v>57</v>
      </c>
      <c r="I306" s="1">
        <v>0.21131474103585657</v>
      </c>
      <c r="J306" s="3">
        <v>0.22958015267175572</v>
      </c>
      <c r="K306" s="3">
        <v>1.1233541233541233</v>
      </c>
      <c r="L306" s="3">
        <v>1.5135135135135136</v>
      </c>
      <c r="M306" s="3">
        <f t="shared" si="24"/>
        <v>1.3021987724776571</v>
      </c>
      <c r="N306" s="1">
        <v>1</v>
      </c>
      <c r="O306" s="1">
        <v>18</v>
      </c>
      <c r="P306" s="2">
        <f>33030/56610</f>
        <v>0.58346581875993642</v>
      </c>
      <c r="Q306" s="1">
        <f>P306/L306</f>
        <v>0.38550420168067223</v>
      </c>
      <c r="R306" s="1">
        <v>0</v>
      </c>
      <c r="W306" s="16"/>
    </row>
    <row r="307" spans="1:23" x14ac:dyDescent="0.25">
      <c r="A307" s="5">
        <v>306</v>
      </c>
      <c r="B307" s="4" t="s">
        <v>71</v>
      </c>
      <c r="C307" s="5">
        <v>6</v>
      </c>
      <c r="D307" s="5" t="s">
        <v>54</v>
      </c>
      <c r="E307" s="5">
        <v>1</v>
      </c>
      <c r="F307" s="5">
        <v>1</v>
      </c>
      <c r="G307" s="5" t="str">
        <f t="shared" si="23"/>
        <v>BGV007910_C</v>
      </c>
      <c r="H307" s="5" t="s">
        <v>58</v>
      </c>
      <c r="I307" s="1">
        <v>0.10372908366533864</v>
      </c>
      <c r="J307" s="3">
        <v>0.12280534351145038</v>
      </c>
      <c r="K307" s="3">
        <v>1.0095287595287594</v>
      </c>
      <c r="L307" s="3">
        <v>1.1229464758876524</v>
      </c>
      <c r="M307" s="3">
        <f t="shared" si="24"/>
        <v>1.0192173922223138</v>
      </c>
      <c r="N307" s="1">
        <v>0</v>
      </c>
      <c r="R307" s="1">
        <v>1</v>
      </c>
      <c r="S307" s="1">
        <v>16</v>
      </c>
      <c r="T307" s="1">
        <v>22</v>
      </c>
      <c r="U307" s="1">
        <v>1</v>
      </c>
      <c r="V307" s="1">
        <v>1</v>
      </c>
      <c r="W307" s="16">
        <f>V307/U307</f>
        <v>1</v>
      </c>
    </row>
    <row r="308" spans="1:23" x14ac:dyDescent="0.25">
      <c r="A308" s="5">
        <v>307</v>
      </c>
      <c r="B308" s="4" t="s">
        <v>71</v>
      </c>
      <c r="C308" s="5">
        <v>7</v>
      </c>
      <c r="D308" s="5" t="s">
        <v>50</v>
      </c>
      <c r="E308" s="5">
        <v>1</v>
      </c>
      <c r="F308" s="5">
        <v>1</v>
      </c>
      <c r="G308" s="5" t="str">
        <f t="shared" si="23"/>
        <v>BGV007910_A</v>
      </c>
      <c r="H308" s="5" t="s">
        <v>51</v>
      </c>
      <c r="I308" s="1">
        <v>9.3645038167938927E-2</v>
      </c>
      <c r="J308" s="3">
        <v>0.10221513944223108</v>
      </c>
      <c r="K308" s="3">
        <v>0.67428967428967423</v>
      </c>
      <c r="L308" s="3">
        <v>0.75075075075075071</v>
      </c>
      <c r="M308" s="3">
        <f t="shared" si="24"/>
        <v>0.65710571258281181</v>
      </c>
      <c r="N308" s="1">
        <v>1</v>
      </c>
      <c r="R308" s="1">
        <v>0</v>
      </c>
      <c r="W308" s="16"/>
    </row>
    <row r="309" spans="1:23" x14ac:dyDescent="0.25">
      <c r="A309" s="5">
        <v>308</v>
      </c>
      <c r="B309" s="4" t="s">
        <v>71</v>
      </c>
      <c r="C309" s="5">
        <v>7</v>
      </c>
      <c r="D309" s="5" t="s">
        <v>52</v>
      </c>
      <c r="E309" s="5">
        <v>1</v>
      </c>
      <c r="F309" s="5">
        <v>1</v>
      </c>
      <c r="G309" s="5" t="str">
        <f t="shared" si="23"/>
        <v>BGV007910_B</v>
      </c>
      <c r="H309" s="5" t="s">
        <v>67</v>
      </c>
      <c r="I309" s="1">
        <v>7.8980079681274906E-2</v>
      </c>
      <c r="J309" s="3">
        <v>7.6345419847328247E-2</v>
      </c>
      <c r="K309" s="3">
        <v>0.83610533610533611</v>
      </c>
      <c r="L309" s="3">
        <v>1.2819289878113407</v>
      </c>
      <c r="M309" s="3">
        <f t="shared" si="24"/>
        <v>1.2029489081300657</v>
      </c>
      <c r="N309" s="1">
        <v>0</v>
      </c>
      <c r="W309" s="16"/>
    </row>
    <row r="310" spans="1:23" x14ac:dyDescent="0.25">
      <c r="A310" s="5">
        <v>309</v>
      </c>
      <c r="B310" s="4" t="s">
        <v>71</v>
      </c>
      <c r="C310" s="5">
        <v>7</v>
      </c>
      <c r="D310" s="5" t="s">
        <v>54</v>
      </c>
      <c r="E310" s="5">
        <v>1</v>
      </c>
      <c r="F310" s="5">
        <v>1</v>
      </c>
      <c r="G310" s="5" t="str">
        <f t="shared" si="23"/>
        <v>BGV007910_C</v>
      </c>
      <c r="H310" s="5" t="s">
        <v>58</v>
      </c>
      <c r="I310" s="1">
        <v>7.02788844621514E-2</v>
      </c>
      <c r="J310" s="3">
        <v>0.14360687022900764</v>
      </c>
      <c r="K310" s="3">
        <v>0.60585585585585588</v>
      </c>
      <c r="L310" s="3">
        <v>1.0008832361773539</v>
      </c>
      <c r="M310" s="3">
        <f t="shared" si="24"/>
        <v>0.9306043517152025</v>
      </c>
      <c r="N310" s="1">
        <v>0</v>
      </c>
      <c r="W310" s="16"/>
    </row>
    <row r="311" spans="1:23" x14ac:dyDescent="0.25">
      <c r="A311" s="5">
        <v>310</v>
      </c>
      <c r="B311" s="4" t="s">
        <v>71</v>
      </c>
      <c r="C311" s="5">
        <v>8</v>
      </c>
      <c r="D311" s="5" t="s">
        <v>50</v>
      </c>
      <c r="E311" s="5">
        <v>1</v>
      </c>
      <c r="F311" s="5">
        <v>1</v>
      </c>
      <c r="G311" s="5" t="str">
        <f t="shared" si="23"/>
        <v>BGV007910_A</v>
      </c>
      <c r="H311" s="5" t="s">
        <v>51</v>
      </c>
      <c r="I311" s="1">
        <v>6.2486055776892431E-2</v>
      </c>
      <c r="J311" s="3">
        <v>8.3501908396946559E-2</v>
      </c>
      <c r="K311" s="3">
        <v>0.56862745098039214</v>
      </c>
      <c r="L311" s="3">
        <v>0.65887040887040882</v>
      </c>
      <c r="M311" s="3">
        <f t="shared" si="24"/>
        <v>0.59638435309351634</v>
      </c>
      <c r="N311" s="1">
        <v>0</v>
      </c>
      <c r="W311" s="16"/>
    </row>
    <row r="312" spans="1:23" x14ac:dyDescent="0.25">
      <c r="A312" s="5">
        <v>311</v>
      </c>
      <c r="B312" s="4" t="s">
        <v>71</v>
      </c>
      <c r="C312" s="5">
        <v>8</v>
      </c>
      <c r="D312" s="5" t="s">
        <v>52</v>
      </c>
      <c r="E312" s="5">
        <v>1</v>
      </c>
      <c r="F312" s="5">
        <v>1</v>
      </c>
      <c r="G312" s="5" t="str">
        <f t="shared" si="23"/>
        <v>BGV007910_B</v>
      </c>
      <c r="H312" s="5" t="s">
        <v>67</v>
      </c>
      <c r="I312" s="1">
        <v>3.2414342629482069E-2</v>
      </c>
      <c r="J312" s="3">
        <v>4.279580152671756E-2</v>
      </c>
      <c r="K312" s="3">
        <v>0.4734145910616499</v>
      </c>
      <c r="L312" s="3">
        <v>0.4734145910616499</v>
      </c>
      <c r="M312" s="3">
        <f t="shared" si="24"/>
        <v>0.44100024843216784</v>
      </c>
      <c r="N312" s="1">
        <v>0</v>
      </c>
      <c r="W312" s="16"/>
    </row>
    <row r="313" spans="1:23" x14ac:dyDescent="0.25">
      <c r="A313" s="5">
        <v>312</v>
      </c>
      <c r="B313" s="4" t="s">
        <v>71</v>
      </c>
      <c r="C313" s="5">
        <v>8</v>
      </c>
      <c r="D313" s="5" t="s">
        <v>54</v>
      </c>
      <c r="E313" s="5">
        <v>1</v>
      </c>
      <c r="F313" s="5">
        <v>2</v>
      </c>
      <c r="G313" s="5" t="str">
        <f t="shared" si="23"/>
        <v>BGV007910_C</v>
      </c>
      <c r="H313" s="5" t="s">
        <v>63</v>
      </c>
      <c r="I313" s="1">
        <v>0.22804780876494024</v>
      </c>
      <c r="J313" s="3">
        <v>0.34809160305343512</v>
      </c>
      <c r="K313" s="3">
        <v>0.84996534996535</v>
      </c>
      <c r="L313" s="3">
        <v>1.081964317258435</v>
      </c>
      <c r="M313" s="3">
        <f t="shared" si="24"/>
        <v>0.85391650849349476</v>
      </c>
      <c r="N313" s="1">
        <v>1</v>
      </c>
      <c r="O313" s="1">
        <v>19</v>
      </c>
      <c r="P313" s="2">
        <f>23960/56610</f>
        <v>0.42324677618795264</v>
      </c>
      <c r="Q313" s="1">
        <f>P313/L313</f>
        <v>0.3911836734693877</v>
      </c>
      <c r="R313" s="1">
        <v>0</v>
      </c>
      <c r="W313" s="16"/>
    </row>
    <row r="314" spans="1:23" x14ac:dyDescent="0.25">
      <c r="A314" s="5">
        <v>313</v>
      </c>
      <c r="B314" s="4" t="s">
        <v>71</v>
      </c>
      <c r="C314" s="5">
        <v>9</v>
      </c>
      <c r="D314" s="5" t="s">
        <v>50</v>
      </c>
      <c r="E314" s="5">
        <v>1</v>
      </c>
      <c r="F314" s="5">
        <v>1</v>
      </c>
      <c r="G314" s="5" t="str">
        <f t="shared" si="23"/>
        <v>BGV007910_A</v>
      </c>
      <c r="H314" s="5" t="s">
        <v>51</v>
      </c>
      <c r="I314" s="1">
        <v>8.6199203187250995E-2</v>
      </c>
      <c r="J314" s="3">
        <v>8.4064885496183211E-2</v>
      </c>
      <c r="K314" s="3">
        <v>0.34130284130284128</v>
      </c>
      <c r="L314" s="3">
        <v>0.35294117647058826</v>
      </c>
      <c r="M314" s="3">
        <f t="shared" si="24"/>
        <v>0.26674197328333726</v>
      </c>
      <c r="N314" s="1">
        <v>0</v>
      </c>
      <c r="W314" s="16"/>
    </row>
    <row r="315" spans="1:23" x14ac:dyDescent="0.25">
      <c r="A315" s="5">
        <v>314</v>
      </c>
      <c r="B315" s="4" t="s">
        <v>71</v>
      </c>
      <c r="C315" s="5">
        <v>9</v>
      </c>
      <c r="D315" s="5" t="s">
        <v>52</v>
      </c>
      <c r="E315" s="5">
        <v>1</v>
      </c>
      <c r="F315" s="5">
        <v>2</v>
      </c>
      <c r="G315" s="5" t="str">
        <f t="shared" si="23"/>
        <v>BGV007910_B</v>
      </c>
      <c r="H315" s="5" t="s">
        <v>57</v>
      </c>
      <c r="I315" s="1">
        <v>0.14874900398406374</v>
      </c>
      <c r="J315" s="3">
        <v>0.12843511450381678</v>
      </c>
      <c r="K315" s="3">
        <v>0.29625779625779625</v>
      </c>
      <c r="L315" s="3">
        <v>0.29394099982335276</v>
      </c>
      <c r="M315" s="3">
        <f t="shared" si="24"/>
        <v>0.14519199583928902</v>
      </c>
      <c r="N315" s="1">
        <v>0</v>
      </c>
      <c r="W315" s="16"/>
    </row>
    <row r="316" spans="1:23" x14ac:dyDescent="0.25">
      <c r="A316" s="5">
        <v>315</v>
      </c>
      <c r="B316" s="4" t="s">
        <v>71</v>
      </c>
      <c r="C316" s="5">
        <v>9</v>
      </c>
      <c r="D316" s="5" t="s">
        <v>54</v>
      </c>
      <c r="E316" s="5">
        <v>1</v>
      </c>
      <c r="F316" s="5">
        <v>3</v>
      </c>
      <c r="G316" s="5" t="str">
        <f t="shared" si="23"/>
        <v>BGV007910_C</v>
      </c>
      <c r="H316" s="5" t="s">
        <v>55</v>
      </c>
      <c r="I316" s="1">
        <v>0.24127490039840638</v>
      </c>
      <c r="J316" s="3">
        <v>0.38158396946564888</v>
      </c>
      <c r="K316" s="3">
        <v>1.0381150381150381</v>
      </c>
      <c r="L316" s="3">
        <v>1.6677265500794913</v>
      </c>
      <c r="M316" s="3">
        <f t="shared" si="24"/>
        <v>1.4264516496810851</v>
      </c>
      <c r="N316" s="1">
        <v>1</v>
      </c>
      <c r="O316" s="1">
        <v>21</v>
      </c>
      <c r="P316" s="2">
        <f>34240/56610</f>
        <v>0.60484013425189898</v>
      </c>
      <c r="Q316" s="1">
        <f>P316/L316</f>
        <v>0.36267344560957526</v>
      </c>
      <c r="R316" s="1">
        <v>0</v>
      </c>
      <c r="W316" s="16"/>
    </row>
    <row r="317" spans="1:23" x14ac:dyDescent="0.25">
      <c r="A317" s="5">
        <v>316</v>
      </c>
      <c r="B317" s="4" t="s">
        <v>71</v>
      </c>
      <c r="C317" s="5">
        <v>10</v>
      </c>
      <c r="D317" s="5" t="s">
        <v>50</v>
      </c>
      <c r="E317" s="5">
        <v>1</v>
      </c>
      <c r="F317" s="5">
        <v>1</v>
      </c>
      <c r="G317" s="5" t="str">
        <f t="shared" si="23"/>
        <v>BGV007910_A</v>
      </c>
      <c r="H317" s="5" t="s">
        <v>51</v>
      </c>
      <c r="I317" s="1">
        <v>8.1577689243027884E-2</v>
      </c>
      <c r="J317" s="3">
        <v>0.18616412213740458</v>
      </c>
      <c r="K317" s="3">
        <v>0.19092169092169092</v>
      </c>
      <c r="L317" s="3">
        <v>0.32043808514396749</v>
      </c>
      <c r="M317" s="3">
        <f t="shared" si="24"/>
        <v>0.2388603959009396</v>
      </c>
      <c r="N317" s="1">
        <v>0</v>
      </c>
      <c r="W317" s="16"/>
    </row>
    <row r="318" spans="1:23" x14ac:dyDescent="0.25">
      <c r="A318" s="5">
        <v>317</v>
      </c>
      <c r="B318" s="4" t="s">
        <v>71</v>
      </c>
      <c r="C318" s="5">
        <v>10</v>
      </c>
      <c r="D318" s="5" t="s">
        <v>52</v>
      </c>
      <c r="E318" s="5">
        <v>1</v>
      </c>
      <c r="F318" s="5">
        <v>1</v>
      </c>
      <c r="G318" s="5" t="str">
        <f t="shared" si="23"/>
        <v>BGV007910_B</v>
      </c>
      <c r="H318" s="5" t="s">
        <v>67</v>
      </c>
      <c r="I318" s="1">
        <v>0.10664541832669323</v>
      </c>
      <c r="J318" s="3">
        <v>0.14112595419847329</v>
      </c>
      <c r="K318" s="3">
        <v>0.5644490644490644</v>
      </c>
      <c r="L318" s="3">
        <v>0.69175057410351526</v>
      </c>
      <c r="M318" s="3">
        <f t="shared" si="24"/>
        <v>0.58510515577682198</v>
      </c>
      <c r="N318" s="1">
        <v>0</v>
      </c>
      <c r="W318" s="16"/>
    </row>
    <row r="319" spans="1:23" x14ac:dyDescent="0.25">
      <c r="A319" s="5">
        <v>318</v>
      </c>
      <c r="B319" s="4" t="s">
        <v>71</v>
      </c>
      <c r="C319" s="5">
        <v>10</v>
      </c>
      <c r="D319" s="5" t="s">
        <v>54</v>
      </c>
      <c r="E319" s="5">
        <v>1</v>
      </c>
      <c r="F319" s="5">
        <v>1</v>
      </c>
      <c r="G319" s="5" t="str">
        <f t="shared" si="23"/>
        <v>BGV007910_C</v>
      </c>
      <c r="H319" s="5" t="s">
        <v>58</v>
      </c>
      <c r="I319" s="1">
        <v>6.782470119521912E-2</v>
      </c>
      <c r="J319" s="3">
        <v>7.0095419847328241E-2</v>
      </c>
      <c r="K319" s="3">
        <v>0.57345807345807343</v>
      </c>
      <c r="L319" s="3">
        <v>0.61614555732202791</v>
      </c>
      <c r="M319" s="3">
        <f t="shared" si="24"/>
        <v>0.54832085612680881</v>
      </c>
      <c r="N319" s="1">
        <v>0</v>
      </c>
      <c r="R319" s="1">
        <v>1</v>
      </c>
      <c r="S319" s="1">
        <v>19</v>
      </c>
      <c r="T319" s="1">
        <v>22</v>
      </c>
      <c r="U319" s="1">
        <v>4</v>
      </c>
      <c r="V319" s="1">
        <v>4</v>
      </c>
      <c r="W319" s="16">
        <f>V319/U319</f>
        <v>1</v>
      </c>
    </row>
    <row r="320" spans="1:23" x14ac:dyDescent="0.25">
      <c r="A320" s="5">
        <v>319</v>
      </c>
      <c r="B320" s="4" t="s">
        <v>71</v>
      </c>
      <c r="C320" s="5">
        <v>11</v>
      </c>
      <c r="D320" s="5" t="s">
        <v>50</v>
      </c>
      <c r="E320" s="5">
        <v>1</v>
      </c>
      <c r="F320" s="5">
        <v>4</v>
      </c>
      <c r="G320" s="5" t="str">
        <f t="shared" si="23"/>
        <v>BGV007910_A</v>
      </c>
      <c r="H320" s="5" t="s">
        <v>64</v>
      </c>
      <c r="I320" s="1">
        <v>0.43027888446215101</v>
      </c>
      <c r="J320" s="2">
        <f>46060/104800</f>
        <v>0.43950381679389311</v>
      </c>
      <c r="K320" s="3"/>
      <c r="L320" s="2"/>
      <c r="M320" s="2"/>
      <c r="W320" s="16"/>
    </row>
    <row r="321" spans="1:23" x14ac:dyDescent="0.25">
      <c r="A321" s="5">
        <v>320</v>
      </c>
      <c r="B321" s="4" t="s">
        <v>71</v>
      </c>
      <c r="C321" s="5">
        <v>11</v>
      </c>
      <c r="D321" s="5" t="s">
        <v>52</v>
      </c>
      <c r="E321" s="5">
        <v>1</v>
      </c>
      <c r="F321" s="5">
        <v>2</v>
      </c>
      <c r="G321" s="5" t="str">
        <f t="shared" ref="G321:G384" si="26">CONCATENATE(B321,"_",D321)</f>
        <v>BGV007910_B</v>
      </c>
      <c r="H321" s="5" t="s">
        <v>57</v>
      </c>
      <c r="I321" s="1">
        <v>0.14551394422310757</v>
      </c>
      <c r="J321" s="3">
        <v>0.23683206106870228</v>
      </c>
      <c r="K321" s="3">
        <v>0.46500346500346501</v>
      </c>
      <c r="L321" s="3">
        <v>0.57993287405052107</v>
      </c>
      <c r="M321" s="3">
        <f t="shared" ref="M321:M384" si="27">L321-I321</f>
        <v>0.43441892982741348</v>
      </c>
      <c r="N321" s="1">
        <v>1</v>
      </c>
      <c r="O321" s="1">
        <v>17</v>
      </c>
      <c r="P321" s="2">
        <f>20760/56610</f>
        <v>0.36671966083730789</v>
      </c>
      <c r="Q321" s="1">
        <f>P321/L321</f>
        <v>0.63234846177276882</v>
      </c>
      <c r="R321" s="1">
        <v>0</v>
      </c>
      <c r="W321" s="16"/>
    </row>
    <row r="322" spans="1:23" x14ac:dyDescent="0.25">
      <c r="A322" s="5">
        <v>321</v>
      </c>
      <c r="B322" s="4" t="s">
        <v>71</v>
      </c>
      <c r="C322" s="5">
        <v>11</v>
      </c>
      <c r="D322" s="5" t="s">
        <v>54</v>
      </c>
      <c r="E322" s="5">
        <v>1</v>
      </c>
      <c r="F322" s="5">
        <v>3</v>
      </c>
      <c r="G322" s="5" t="str">
        <f t="shared" si="26"/>
        <v>BGV007910_C</v>
      </c>
      <c r="H322" s="5" t="s">
        <v>55</v>
      </c>
      <c r="I322" s="1">
        <v>0.24286852589641433</v>
      </c>
      <c r="J322" s="3">
        <v>0.51354961832061063</v>
      </c>
      <c r="K322" s="3">
        <v>1.0284130284130284</v>
      </c>
      <c r="L322" s="3">
        <v>1.2038509097332626</v>
      </c>
      <c r="M322" s="3">
        <f t="shared" si="27"/>
        <v>0.96098238383684831</v>
      </c>
      <c r="N322" s="1">
        <v>0</v>
      </c>
      <c r="W322" s="16"/>
    </row>
    <row r="323" spans="1:23" x14ac:dyDescent="0.25">
      <c r="A323" s="5">
        <v>322</v>
      </c>
      <c r="B323" s="4" t="s">
        <v>71</v>
      </c>
      <c r="C323" s="5">
        <v>12</v>
      </c>
      <c r="D323" s="5" t="s">
        <v>50</v>
      </c>
      <c r="E323" s="5">
        <v>1</v>
      </c>
      <c r="F323" s="5">
        <v>2</v>
      </c>
      <c r="G323" s="5" t="str">
        <f t="shared" si="26"/>
        <v>BGV007910_A</v>
      </c>
      <c r="H323" s="5" t="s">
        <v>56</v>
      </c>
      <c r="I323" s="1">
        <v>0.16844621513944222</v>
      </c>
      <c r="J323" s="3">
        <v>0.51192748091603058</v>
      </c>
      <c r="K323" s="3">
        <v>0.49774774774774777</v>
      </c>
      <c r="L323" s="3">
        <v>0.53259141494435613</v>
      </c>
      <c r="M323" s="3">
        <f t="shared" si="27"/>
        <v>0.36414519980491389</v>
      </c>
      <c r="N323" s="1">
        <v>0</v>
      </c>
      <c r="W323" s="16"/>
    </row>
    <row r="324" spans="1:23" x14ac:dyDescent="0.25">
      <c r="A324" s="5">
        <v>323</v>
      </c>
      <c r="B324" s="4" t="s">
        <v>71</v>
      </c>
      <c r="C324" s="5">
        <v>12</v>
      </c>
      <c r="D324" s="5" t="s">
        <v>52</v>
      </c>
      <c r="E324" s="5">
        <v>1</v>
      </c>
      <c r="F324" s="5">
        <v>2</v>
      </c>
      <c r="G324" s="5" t="str">
        <f t="shared" si="26"/>
        <v>BGV007910_B</v>
      </c>
      <c r="H324" s="5" t="s">
        <v>57</v>
      </c>
      <c r="I324" s="1">
        <v>0.14777689243027889</v>
      </c>
      <c r="J324" s="3">
        <v>0.28330152671755726</v>
      </c>
      <c r="K324" s="3">
        <v>0.52044352044352049</v>
      </c>
      <c r="L324" s="3">
        <v>0.6255078608019784</v>
      </c>
      <c r="M324" s="3">
        <f t="shared" si="27"/>
        <v>0.47773096837169948</v>
      </c>
      <c r="N324" s="1">
        <v>0</v>
      </c>
      <c r="W324" s="16"/>
    </row>
    <row r="325" spans="1:23" x14ac:dyDescent="0.25">
      <c r="A325" s="5">
        <v>324</v>
      </c>
      <c r="B325" s="4" t="s">
        <v>71</v>
      </c>
      <c r="C325" s="5">
        <v>12</v>
      </c>
      <c r="D325" s="5" t="s">
        <v>54</v>
      </c>
      <c r="E325" s="5">
        <v>1</v>
      </c>
      <c r="F325" s="5">
        <v>1</v>
      </c>
      <c r="G325" s="5" t="str">
        <f t="shared" si="26"/>
        <v>BGV007910_C</v>
      </c>
      <c r="H325" s="5" t="s">
        <v>58</v>
      </c>
      <c r="I325" s="1">
        <v>9.4645418326693223E-2</v>
      </c>
      <c r="J325" s="3">
        <v>0.28540076335877862</v>
      </c>
      <c r="K325" s="3">
        <v>0.89330506977565804</v>
      </c>
      <c r="L325" s="3">
        <v>0.92013167013167008</v>
      </c>
      <c r="M325" s="3">
        <f t="shared" si="27"/>
        <v>0.82548625180497681</v>
      </c>
      <c r="N325" s="1">
        <v>0</v>
      </c>
      <c r="W325" s="16"/>
    </row>
    <row r="326" spans="1:23" s="15" customFormat="1" x14ac:dyDescent="0.25">
      <c r="A326" s="19">
        <v>325</v>
      </c>
      <c r="B326" s="19" t="s">
        <v>71</v>
      </c>
      <c r="C326" s="20">
        <v>1</v>
      </c>
      <c r="D326" s="20" t="s">
        <v>50</v>
      </c>
      <c r="E326" s="20">
        <v>2</v>
      </c>
      <c r="F326" s="20">
        <v>2</v>
      </c>
      <c r="G326" s="20" t="str">
        <f t="shared" si="26"/>
        <v>BGV007910_A</v>
      </c>
      <c r="H326" s="20" t="s">
        <v>56</v>
      </c>
      <c r="I326" s="7">
        <v>0.22900398406374503</v>
      </c>
      <c r="J326" s="21">
        <v>0.10314885496183206</v>
      </c>
      <c r="K326" s="21">
        <v>0.80692457163045395</v>
      </c>
      <c r="L326" s="21">
        <v>0.96898821898821896</v>
      </c>
      <c r="M326" s="21">
        <f t="shared" si="27"/>
        <v>0.73998423492447396</v>
      </c>
      <c r="N326" s="7">
        <v>1</v>
      </c>
      <c r="O326" s="7">
        <v>17</v>
      </c>
      <c r="P326" s="15">
        <f>29750/56610</f>
        <v>0.52552552552552556</v>
      </c>
      <c r="Q326" s="7">
        <f t="shared" ref="Q326:Q331" si="28">P326/L326</f>
        <v>0.54234459741343355</v>
      </c>
      <c r="R326" s="7">
        <v>0</v>
      </c>
      <c r="S326" s="7"/>
      <c r="T326" s="7"/>
      <c r="U326" s="7"/>
      <c r="V326" s="7"/>
      <c r="W326" s="22"/>
    </row>
    <row r="327" spans="1:23" x14ac:dyDescent="0.25">
      <c r="A327" s="4">
        <v>326</v>
      </c>
      <c r="B327" s="4" t="s">
        <v>71</v>
      </c>
      <c r="C327" s="5">
        <v>1</v>
      </c>
      <c r="D327" s="5" t="s">
        <v>52</v>
      </c>
      <c r="E327" s="5">
        <v>2</v>
      </c>
      <c r="F327" s="5">
        <v>2</v>
      </c>
      <c r="G327" s="5" t="str">
        <f t="shared" si="26"/>
        <v>BGV007910_B</v>
      </c>
      <c r="H327" s="5" t="s">
        <v>57</v>
      </c>
      <c r="I327" s="1">
        <v>0.21059160305343511</v>
      </c>
      <c r="J327" s="3">
        <v>0.31697211155378485</v>
      </c>
      <c r="K327" s="3">
        <v>0.85117810117810122</v>
      </c>
      <c r="L327" s="3">
        <v>1.2220455749867514</v>
      </c>
      <c r="M327" s="3">
        <f t="shared" si="27"/>
        <v>1.0114539719333162</v>
      </c>
      <c r="N327" s="1">
        <v>1</v>
      </c>
      <c r="O327" s="1">
        <v>19</v>
      </c>
      <c r="P327" s="2">
        <f>22250/56610</f>
        <v>0.39304009892245184</v>
      </c>
      <c r="Q327" s="1">
        <f t="shared" si="28"/>
        <v>0.32162474703671584</v>
      </c>
      <c r="R327" s="1">
        <v>1</v>
      </c>
      <c r="S327" s="1">
        <v>21</v>
      </c>
      <c r="T327" s="1">
        <v>27</v>
      </c>
      <c r="U327" s="1">
        <v>6</v>
      </c>
      <c r="V327" s="1">
        <v>5</v>
      </c>
      <c r="W327" s="16">
        <f>V327/U327</f>
        <v>0.83333333333333337</v>
      </c>
    </row>
    <row r="328" spans="1:23" x14ac:dyDescent="0.25">
      <c r="A328" s="4">
        <v>327</v>
      </c>
      <c r="B328" s="4" t="s">
        <v>71</v>
      </c>
      <c r="C328" s="5">
        <v>1</v>
      </c>
      <c r="D328" s="5" t="s">
        <v>54</v>
      </c>
      <c r="E328" s="5">
        <v>2</v>
      </c>
      <c r="F328" s="5">
        <v>3</v>
      </c>
      <c r="G328" s="5" t="str">
        <f t="shared" si="26"/>
        <v>BGV007910_C</v>
      </c>
      <c r="H328" s="5" t="s">
        <v>55</v>
      </c>
      <c r="I328" s="1">
        <v>0.33370517928286852</v>
      </c>
      <c r="J328" s="3">
        <v>0.24847328244274808</v>
      </c>
      <c r="K328" s="3">
        <v>1.1257796257796258</v>
      </c>
      <c r="L328" s="3">
        <v>1.3935700406288642</v>
      </c>
      <c r="M328" s="3">
        <f t="shared" si="27"/>
        <v>1.0598648613459958</v>
      </c>
      <c r="N328" s="1">
        <v>1</v>
      </c>
      <c r="O328" s="1">
        <v>15</v>
      </c>
      <c r="P328" s="2">
        <f>19520/56610</f>
        <v>0.34481540363893304</v>
      </c>
      <c r="Q328" s="1">
        <f t="shared" si="28"/>
        <v>0.24743313474458103</v>
      </c>
      <c r="R328" s="1">
        <v>0</v>
      </c>
      <c r="W328" s="16"/>
    </row>
    <row r="329" spans="1:23" x14ac:dyDescent="0.25">
      <c r="A329" s="4">
        <v>328</v>
      </c>
      <c r="B329" s="4" t="s">
        <v>71</v>
      </c>
      <c r="C329" s="5">
        <v>2</v>
      </c>
      <c r="D329" s="5" t="s">
        <v>50</v>
      </c>
      <c r="E329" s="5">
        <v>2</v>
      </c>
      <c r="F329" s="5">
        <v>1</v>
      </c>
      <c r="G329" s="5" t="str">
        <f t="shared" si="26"/>
        <v>BGV007910_A</v>
      </c>
      <c r="H329" s="5" t="s">
        <v>51</v>
      </c>
      <c r="I329" s="1">
        <v>8.9169847328244276E-2</v>
      </c>
      <c r="J329" s="3">
        <v>0.16509960159362549</v>
      </c>
      <c r="K329" s="3">
        <v>0.86850311850311845</v>
      </c>
      <c r="L329" s="3">
        <v>1.1759406465288818</v>
      </c>
      <c r="M329" s="3">
        <f t="shared" si="27"/>
        <v>1.0867707992006375</v>
      </c>
      <c r="N329" s="1">
        <v>1</v>
      </c>
      <c r="O329" s="1">
        <v>17</v>
      </c>
      <c r="P329" s="2">
        <f>25750/56610</f>
        <v>0.45486663133721955</v>
      </c>
      <c r="Q329" s="1">
        <f t="shared" si="28"/>
        <v>0.38681087576986634</v>
      </c>
      <c r="R329" s="1">
        <v>1</v>
      </c>
      <c r="S329" s="1">
        <v>19</v>
      </c>
      <c r="T329" s="1">
        <v>25</v>
      </c>
      <c r="U329" s="1">
        <v>4</v>
      </c>
      <c r="V329" s="1">
        <v>3</v>
      </c>
      <c r="W329" s="16">
        <f>V329/U329</f>
        <v>0.75</v>
      </c>
    </row>
    <row r="330" spans="1:23" x14ac:dyDescent="0.25">
      <c r="A330" s="4">
        <v>329</v>
      </c>
      <c r="B330" s="4" t="s">
        <v>71</v>
      </c>
      <c r="C330" s="5">
        <v>2</v>
      </c>
      <c r="D330" s="5" t="s">
        <v>52</v>
      </c>
      <c r="E330" s="5">
        <v>2</v>
      </c>
      <c r="F330" s="5">
        <v>1</v>
      </c>
      <c r="G330" s="5" t="str">
        <f t="shared" si="26"/>
        <v>BGV007910_B</v>
      </c>
      <c r="H330" s="5" t="s">
        <v>67</v>
      </c>
      <c r="I330" s="1">
        <v>0.1078406374501992</v>
      </c>
      <c r="J330" s="3">
        <v>0.28501908396946563</v>
      </c>
      <c r="K330" s="3">
        <v>1.496881496881497</v>
      </c>
      <c r="L330" s="3">
        <v>1.9501854795972442</v>
      </c>
      <c r="M330" s="3">
        <f t="shared" si="27"/>
        <v>1.842344842147045</v>
      </c>
      <c r="N330" s="1">
        <v>1</v>
      </c>
      <c r="O330" s="1">
        <v>18</v>
      </c>
      <c r="P330" s="2">
        <f>35540/56610</f>
        <v>0.62780427486309842</v>
      </c>
      <c r="Q330" s="1">
        <f t="shared" si="28"/>
        <v>0.32192028985507248</v>
      </c>
      <c r="R330" s="1">
        <v>0</v>
      </c>
      <c r="W330" s="16"/>
    </row>
    <row r="331" spans="1:23" x14ac:dyDescent="0.25">
      <c r="A331" s="4">
        <v>330</v>
      </c>
      <c r="B331" s="4" t="s">
        <v>71</v>
      </c>
      <c r="C331" s="5">
        <v>2</v>
      </c>
      <c r="D331" s="5" t="s">
        <v>54</v>
      </c>
      <c r="E331" s="5">
        <v>2</v>
      </c>
      <c r="F331" s="5">
        <v>3</v>
      </c>
      <c r="G331" s="5" t="str">
        <f t="shared" si="26"/>
        <v>BGV007910_C</v>
      </c>
      <c r="H331" s="5" t="s">
        <v>55</v>
      </c>
      <c r="I331" s="1">
        <v>0.2404780876494024</v>
      </c>
      <c r="J331" s="3">
        <v>0.32833969465648855</v>
      </c>
      <c r="K331" s="3">
        <v>1.4083506583506584</v>
      </c>
      <c r="L331" s="3">
        <v>1.9219219219219219</v>
      </c>
      <c r="M331" s="3">
        <f t="shared" si="27"/>
        <v>1.6814438342725195</v>
      </c>
      <c r="N331" s="1">
        <v>1</v>
      </c>
      <c r="O331" s="1">
        <v>19</v>
      </c>
      <c r="P331" s="2">
        <f>19900/56610</f>
        <v>0.3515279985868221</v>
      </c>
      <c r="Q331" s="1">
        <f t="shared" si="28"/>
        <v>0.18290441176470587</v>
      </c>
      <c r="R331" s="1">
        <v>0</v>
      </c>
      <c r="W331" s="16"/>
    </row>
    <row r="332" spans="1:23" x14ac:dyDescent="0.25">
      <c r="A332" s="4">
        <v>331</v>
      </c>
      <c r="B332" s="4" t="s">
        <v>71</v>
      </c>
      <c r="C332" s="5">
        <v>3</v>
      </c>
      <c r="D332" s="5" t="s">
        <v>50</v>
      </c>
      <c r="E332" s="5">
        <v>2</v>
      </c>
      <c r="F332" s="5">
        <v>2</v>
      </c>
      <c r="G332" s="5" t="str">
        <f t="shared" si="26"/>
        <v>BGV007910_A</v>
      </c>
      <c r="H332" s="5" t="s">
        <v>56</v>
      </c>
      <c r="I332" s="1">
        <v>0.20366533864541833</v>
      </c>
      <c r="J332" s="3">
        <v>0.16669847328244275</v>
      </c>
      <c r="K332" s="3">
        <v>1.0079695079695079</v>
      </c>
      <c r="L332" s="3">
        <v>1.2308779367602898</v>
      </c>
      <c r="M332" s="3">
        <f t="shared" si="27"/>
        <v>1.0272125981148714</v>
      </c>
      <c r="N332" s="1">
        <v>0</v>
      </c>
      <c r="W332" s="16"/>
    </row>
    <row r="333" spans="1:23" x14ac:dyDescent="0.25">
      <c r="A333" s="4">
        <v>332</v>
      </c>
      <c r="B333" s="4" t="s">
        <v>71</v>
      </c>
      <c r="C333" s="5">
        <v>3</v>
      </c>
      <c r="D333" s="5" t="s">
        <v>52</v>
      </c>
      <c r="E333" s="5">
        <v>2</v>
      </c>
      <c r="F333" s="5">
        <v>1</v>
      </c>
      <c r="G333" s="5" t="str">
        <f t="shared" si="26"/>
        <v>BGV007910_B</v>
      </c>
      <c r="H333" s="5" t="s">
        <v>67</v>
      </c>
      <c r="I333" s="1">
        <v>9.8581673306772907E-2</v>
      </c>
      <c r="J333" s="3">
        <v>0.16688931297709925</v>
      </c>
      <c r="K333" s="3">
        <v>0.99064449064449067</v>
      </c>
      <c r="L333" s="3">
        <v>1.4765942413001236</v>
      </c>
      <c r="M333" s="3">
        <f t="shared" si="27"/>
        <v>1.3780125679933508</v>
      </c>
      <c r="N333" s="1">
        <v>0</v>
      </c>
      <c r="R333" s="1">
        <v>1</v>
      </c>
      <c r="S333" s="1">
        <v>20</v>
      </c>
      <c r="T333" s="1">
        <v>26</v>
      </c>
      <c r="U333" s="1">
        <v>1</v>
      </c>
      <c r="V333" s="1">
        <v>1</v>
      </c>
      <c r="W333" s="16">
        <f>V333/U333</f>
        <v>1</v>
      </c>
    </row>
    <row r="334" spans="1:23" x14ac:dyDescent="0.25">
      <c r="A334" s="4">
        <v>333</v>
      </c>
      <c r="B334" s="4" t="s">
        <v>71</v>
      </c>
      <c r="C334" s="5">
        <v>3</v>
      </c>
      <c r="D334" s="5" t="s">
        <v>54</v>
      </c>
      <c r="E334" s="5">
        <v>2</v>
      </c>
      <c r="F334" s="5">
        <v>1</v>
      </c>
      <c r="G334" s="5" t="str">
        <f t="shared" si="26"/>
        <v>BGV007910_C</v>
      </c>
      <c r="H334" s="5" t="s">
        <v>58</v>
      </c>
      <c r="I334" s="1">
        <v>9.0852589641434264E-2</v>
      </c>
      <c r="J334" s="3">
        <v>0.13635496183206106</v>
      </c>
      <c r="K334" s="3">
        <v>1.2162162162162162</v>
      </c>
      <c r="L334" s="3">
        <v>1.2953541777071189</v>
      </c>
      <c r="M334" s="3">
        <f t="shared" si="27"/>
        <v>1.2045015880656846</v>
      </c>
      <c r="N334" s="1">
        <v>1</v>
      </c>
      <c r="R334" s="1">
        <v>0</v>
      </c>
      <c r="W334" s="16"/>
    </row>
    <row r="335" spans="1:23" x14ac:dyDescent="0.25">
      <c r="A335" s="4">
        <v>334</v>
      </c>
      <c r="B335" s="4" t="s">
        <v>71</v>
      </c>
      <c r="C335" s="5">
        <v>4</v>
      </c>
      <c r="D335" s="5" t="s">
        <v>50</v>
      </c>
      <c r="E335" s="5">
        <v>2</v>
      </c>
      <c r="F335" s="5">
        <v>1</v>
      </c>
      <c r="G335" s="5" t="str">
        <f t="shared" si="26"/>
        <v>BGV007910_A</v>
      </c>
      <c r="H335" s="5" t="s">
        <v>51</v>
      </c>
      <c r="I335" s="1">
        <v>7.697519083969466E-2</v>
      </c>
      <c r="J335" s="3">
        <v>9.8613545816733067E-2</v>
      </c>
      <c r="K335" s="3">
        <v>1.4263686763686763</v>
      </c>
      <c r="L335" s="3">
        <v>1.9360537007595831</v>
      </c>
      <c r="M335" s="3">
        <f t="shared" si="27"/>
        <v>1.8590785099198883</v>
      </c>
      <c r="N335" s="1">
        <v>1</v>
      </c>
      <c r="O335" s="1">
        <v>14</v>
      </c>
      <c r="P335" s="2">
        <f>31290/56610</f>
        <v>0.55272919978802326</v>
      </c>
      <c r="Q335" s="1">
        <f t="shared" ref="Q335:Q340" si="29">P335/L335</f>
        <v>0.285492700729927</v>
      </c>
      <c r="R335" s="1">
        <v>0</v>
      </c>
      <c r="W335" s="16"/>
    </row>
    <row r="336" spans="1:23" x14ac:dyDescent="0.25">
      <c r="A336" s="4">
        <v>335</v>
      </c>
      <c r="B336" s="4" t="s">
        <v>71</v>
      </c>
      <c r="C336" s="5">
        <v>4</v>
      </c>
      <c r="D336" s="5" t="s">
        <v>52</v>
      </c>
      <c r="E336" s="5">
        <v>2</v>
      </c>
      <c r="F336" s="5">
        <v>1</v>
      </c>
      <c r="G336" s="5" t="str">
        <f t="shared" si="26"/>
        <v>BGV007910_B</v>
      </c>
      <c r="H336" s="5" t="s">
        <v>67</v>
      </c>
      <c r="I336" s="1">
        <v>8.4143426294820717E-2</v>
      </c>
      <c r="J336" s="3">
        <v>0.14713740458015268</v>
      </c>
      <c r="K336" s="3">
        <v>1.2545045045045045</v>
      </c>
      <c r="L336" s="3">
        <v>1.6627804274863098</v>
      </c>
      <c r="M336" s="3">
        <f t="shared" si="27"/>
        <v>1.5786370011914892</v>
      </c>
      <c r="N336" s="1">
        <v>1</v>
      </c>
      <c r="O336" s="1">
        <v>16</v>
      </c>
      <c r="P336" s="2">
        <f>21390/56610</f>
        <v>0.3778484366719661</v>
      </c>
      <c r="Q336" s="1">
        <f t="shared" si="29"/>
        <v>0.22723892489110806</v>
      </c>
      <c r="R336" s="1">
        <v>1</v>
      </c>
      <c r="S336" s="1">
        <v>16</v>
      </c>
      <c r="T336" s="1">
        <v>23</v>
      </c>
      <c r="U336" s="1">
        <v>6</v>
      </c>
      <c r="V336" s="1">
        <v>5</v>
      </c>
      <c r="W336" s="16">
        <f>V336/U336</f>
        <v>0.83333333333333337</v>
      </c>
    </row>
    <row r="337" spans="1:23" x14ac:dyDescent="0.25">
      <c r="A337" s="4">
        <v>336</v>
      </c>
      <c r="B337" s="4" t="s">
        <v>71</v>
      </c>
      <c r="C337" s="5">
        <v>4</v>
      </c>
      <c r="D337" s="5" t="s">
        <v>54</v>
      </c>
      <c r="E337" s="5">
        <v>2</v>
      </c>
      <c r="F337" s="5">
        <v>2</v>
      </c>
      <c r="G337" s="5" t="str">
        <f t="shared" si="26"/>
        <v>BGV007910_C</v>
      </c>
      <c r="H337" s="5" t="s">
        <v>63</v>
      </c>
      <c r="I337" s="1">
        <v>0.13969721115537848</v>
      </c>
      <c r="J337" s="3">
        <v>0.15744274809160305</v>
      </c>
      <c r="K337" s="3">
        <v>1.1716909216909217</v>
      </c>
      <c r="L337" s="3">
        <v>1.4917859035506094</v>
      </c>
      <c r="M337" s="3">
        <f t="shared" si="27"/>
        <v>1.3520886923952309</v>
      </c>
      <c r="N337" s="1">
        <v>1</v>
      </c>
      <c r="O337" s="1">
        <v>17</v>
      </c>
      <c r="P337" s="2">
        <f>15180/56610</f>
        <v>0.2681505034446211</v>
      </c>
      <c r="Q337" s="1">
        <f t="shared" si="29"/>
        <v>0.17975133214920072</v>
      </c>
      <c r="R337" s="1">
        <v>1</v>
      </c>
      <c r="S337" s="1">
        <v>14</v>
      </c>
      <c r="T337" s="1">
        <v>20</v>
      </c>
      <c r="U337" s="1">
        <v>8</v>
      </c>
      <c r="V337" s="1">
        <v>7</v>
      </c>
      <c r="W337" s="16">
        <f>V337/U337</f>
        <v>0.875</v>
      </c>
    </row>
    <row r="338" spans="1:23" x14ac:dyDescent="0.25">
      <c r="A338" s="4">
        <v>337</v>
      </c>
      <c r="B338" s="4" t="s">
        <v>71</v>
      </c>
      <c r="C338" s="5">
        <v>5</v>
      </c>
      <c r="D338" s="5" t="s">
        <v>50</v>
      </c>
      <c r="E338" s="5">
        <v>2</v>
      </c>
      <c r="F338" s="5">
        <v>3</v>
      </c>
      <c r="G338" s="5" t="str">
        <f t="shared" si="26"/>
        <v>BGV007910_A</v>
      </c>
      <c r="H338" s="5" t="s">
        <v>62</v>
      </c>
      <c r="I338" s="1">
        <v>0.28047808764940241</v>
      </c>
      <c r="J338" s="3">
        <v>0.26421755725190837</v>
      </c>
      <c r="K338" s="3">
        <v>1.4041926541926542</v>
      </c>
      <c r="L338" s="3">
        <v>1.6244479773891538</v>
      </c>
      <c r="M338" s="3">
        <f t="shared" si="27"/>
        <v>1.3439698897397514</v>
      </c>
      <c r="N338" s="1">
        <v>1</v>
      </c>
      <c r="O338" s="1">
        <v>20</v>
      </c>
      <c r="P338" s="2">
        <f>18490/56610</f>
        <v>0.32662073838544425</v>
      </c>
      <c r="Q338" s="1">
        <f t="shared" si="29"/>
        <v>0.20106568073075251</v>
      </c>
      <c r="R338" s="1">
        <v>0</v>
      </c>
      <c r="W338" s="16"/>
    </row>
    <row r="339" spans="1:23" x14ac:dyDescent="0.25">
      <c r="A339" s="4">
        <v>338</v>
      </c>
      <c r="B339" s="4" t="s">
        <v>71</v>
      </c>
      <c r="C339" s="5">
        <v>5</v>
      </c>
      <c r="D339" s="5" t="s">
        <v>52</v>
      </c>
      <c r="E339" s="5">
        <v>2</v>
      </c>
      <c r="F339" s="5">
        <v>1</v>
      </c>
      <c r="G339" s="5" t="str">
        <f t="shared" si="26"/>
        <v>BGV007910_B</v>
      </c>
      <c r="H339" s="5" t="s">
        <v>67</v>
      </c>
      <c r="I339" s="1">
        <v>6.626294820717131E-2</v>
      </c>
      <c r="J339" s="3">
        <v>9.3511450381679392E-2</v>
      </c>
      <c r="K339" s="3">
        <v>1.9698544698544698</v>
      </c>
      <c r="L339" s="3">
        <v>2.5649178590355062</v>
      </c>
      <c r="M339" s="3">
        <f t="shared" si="27"/>
        <v>2.4986549108283347</v>
      </c>
      <c r="N339" s="1">
        <v>1</v>
      </c>
      <c r="O339" s="1">
        <v>16</v>
      </c>
      <c r="P339" s="2">
        <f>26070/56610</f>
        <v>0.46051934287228408</v>
      </c>
      <c r="Q339" s="1">
        <f t="shared" si="29"/>
        <v>0.17954545454545456</v>
      </c>
      <c r="R339" s="1">
        <v>1</v>
      </c>
      <c r="S339" s="1">
        <v>20</v>
      </c>
      <c r="T339" s="1">
        <v>25</v>
      </c>
      <c r="U339" s="1">
        <v>4</v>
      </c>
      <c r="V339" s="1">
        <v>4</v>
      </c>
      <c r="W339" s="16">
        <f>V339/U339</f>
        <v>1</v>
      </c>
    </row>
    <row r="340" spans="1:23" x14ac:dyDescent="0.25">
      <c r="A340" s="4">
        <v>339</v>
      </c>
      <c r="B340" s="4" t="s">
        <v>71</v>
      </c>
      <c r="C340" s="5">
        <v>5</v>
      </c>
      <c r="D340" s="5" t="s">
        <v>54</v>
      </c>
      <c r="E340" s="5">
        <v>2</v>
      </c>
      <c r="F340" s="5">
        <v>2</v>
      </c>
      <c r="G340" s="5" t="str">
        <f t="shared" si="26"/>
        <v>BGV007910_C</v>
      </c>
      <c r="H340" s="5" t="s">
        <v>63</v>
      </c>
      <c r="I340" s="1">
        <v>0.16318725099601594</v>
      </c>
      <c r="J340" s="3">
        <v>0.19532442748091602</v>
      </c>
      <c r="K340" s="3">
        <v>1.1205821205821205</v>
      </c>
      <c r="L340" s="3">
        <v>1.5739268680445151</v>
      </c>
      <c r="M340" s="3">
        <f t="shared" si="27"/>
        <v>1.4107396170484992</v>
      </c>
      <c r="N340" s="1">
        <v>1</v>
      </c>
      <c r="O340" s="1">
        <v>16</v>
      </c>
      <c r="P340" s="2">
        <f>27430/56610</f>
        <v>0.48454336689630806</v>
      </c>
      <c r="Q340" s="1">
        <f t="shared" si="29"/>
        <v>0.30785634118967453</v>
      </c>
      <c r="R340" s="1">
        <v>1</v>
      </c>
      <c r="S340" s="1">
        <v>18</v>
      </c>
      <c r="T340" s="1">
        <v>26</v>
      </c>
      <c r="U340" s="1">
        <v>3</v>
      </c>
      <c r="V340" s="1">
        <v>3</v>
      </c>
      <c r="W340" s="16">
        <f>V340/U340</f>
        <v>1</v>
      </c>
    </row>
    <row r="341" spans="1:23" x14ac:dyDescent="0.25">
      <c r="A341" s="4">
        <v>340</v>
      </c>
      <c r="B341" s="4" t="s">
        <v>71</v>
      </c>
      <c r="C341" s="5">
        <v>6</v>
      </c>
      <c r="D341" s="5" t="s">
        <v>50</v>
      </c>
      <c r="E341" s="5">
        <v>2</v>
      </c>
      <c r="F341" s="5">
        <v>1</v>
      </c>
      <c r="G341" s="5" t="str">
        <f t="shared" si="26"/>
        <v>BGV007910_A</v>
      </c>
      <c r="H341" s="5" t="s">
        <v>51</v>
      </c>
      <c r="I341" s="1">
        <v>0.10793625498007968</v>
      </c>
      <c r="J341" s="3">
        <v>0.18635496183206107</v>
      </c>
      <c r="K341" s="3">
        <v>0.48510048510048509</v>
      </c>
      <c r="L341" s="3">
        <v>0.70817876700229643</v>
      </c>
      <c r="M341" s="3">
        <f t="shared" si="27"/>
        <v>0.60024251202221679</v>
      </c>
      <c r="N341" s="1">
        <v>1</v>
      </c>
      <c r="R341" s="1">
        <v>0</v>
      </c>
      <c r="W341" s="16"/>
    </row>
    <row r="342" spans="1:23" x14ac:dyDescent="0.25">
      <c r="A342" s="4">
        <v>341</v>
      </c>
      <c r="B342" s="4" t="s">
        <v>71</v>
      </c>
      <c r="C342" s="5">
        <v>6</v>
      </c>
      <c r="D342" s="5" t="s">
        <v>52</v>
      </c>
      <c r="E342" s="5">
        <v>2</v>
      </c>
      <c r="F342" s="5">
        <v>3</v>
      </c>
      <c r="G342" s="5" t="str">
        <f t="shared" si="26"/>
        <v>BGV007910_B</v>
      </c>
      <c r="H342" s="5" t="s">
        <v>59</v>
      </c>
      <c r="I342" s="1">
        <v>0.24239043824701195</v>
      </c>
      <c r="J342" s="3">
        <v>0.25028625954198475</v>
      </c>
      <c r="K342" s="3">
        <v>0.47041158805864686</v>
      </c>
      <c r="L342" s="3">
        <v>1.5410602910602911</v>
      </c>
      <c r="M342" s="3">
        <f t="shared" si="27"/>
        <v>1.2986698528132792</v>
      </c>
      <c r="N342" s="1">
        <v>1</v>
      </c>
      <c r="R342" s="1">
        <v>0</v>
      </c>
      <c r="W342" s="16"/>
    </row>
    <row r="343" spans="1:23" x14ac:dyDescent="0.25">
      <c r="A343" s="4">
        <v>342</v>
      </c>
      <c r="B343" s="4" t="s">
        <v>71</v>
      </c>
      <c r="C343" s="5">
        <v>6</v>
      </c>
      <c r="D343" s="5" t="s">
        <v>54</v>
      </c>
      <c r="E343" s="5">
        <v>2</v>
      </c>
      <c r="F343" s="5">
        <v>1</v>
      </c>
      <c r="G343" s="5" t="str">
        <f t="shared" si="26"/>
        <v>BGV007910_C</v>
      </c>
      <c r="H343" s="5" t="s">
        <v>58</v>
      </c>
      <c r="I343" s="1">
        <v>9.3513944223107576E-2</v>
      </c>
      <c r="J343" s="3">
        <v>0.10095419847328244</v>
      </c>
      <c r="K343" s="3">
        <v>1.1943119590178413</v>
      </c>
      <c r="L343" s="3">
        <v>1.3603603603603605</v>
      </c>
      <c r="M343" s="3">
        <f t="shared" si="27"/>
        <v>1.2668464161372528</v>
      </c>
      <c r="N343" s="1">
        <v>1</v>
      </c>
      <c r="R343" s="1">
        <v>0</v>
      </c>
      <c r="W343" s="16"/>
    </row>
    <row r="344" spans="1:23" x14ac:dyDescent="0.25">
      <c r="A344" s="4">
        <v>343</v>
      </c>
      <c r="B344" s="4" t="s">
        <v>71</v>
      </c>
      <c r="C344" s="5">
        <v>7</v>
      </c>
      <c r="D344" s="5" t="s">
        <v>50</v>
      </c>
      <c r="E344" s="5">
        <v>2</v>
      </c>
      <c r="F344" s="5">
        <v>2</v>
      </c>
      <c r="G344" s="5" t="str">
        <f t="shared" si="26"/>
        <v>BGV007910_A</v>
      </c>
      <c r="H344" s="5" t="s">
        <v>56</v>
      </c>
      <c r="I344" s="1">
        <v>0.19394422310756973</v>
      </c>
      <c r="J344" s="3">
        <v>0.37280534351145039</v>
      </c>
      <c r="K344" s="3">
        <v>0.73977823977823975</v>
      </c>
      <c r="L344" s="3">
        <v>1.0340929164458577</v>
      </c>
      <c r="M344" s="3">
        <f t="shared" si="27"/>
        <v>0.8401486933382879</v>
      </c>
      <c r="N344" s="1">
        <v>1</v>
      </c>
      <c r="O344" s="1">
        <v>16</v>
      </c>
      <c r="P344" s="2">
        <f>31970/56610</f>
        <v>0.56474121180003534</v>
      </c>
      <c r="Q344" s="1">
        <f>P344/L344</f>
        <v>0.54612230953194396</v>
      </c>
      <c r="R344" s="1">
        <v>0</v>
      </c>
      <c r="W344" s="16"/>
    </row>
    <row r="345" spans="1:23" x14ac:dyDescent="0.25">
      <c r="A345" s="4">
        <v>344</v>
      </c>
      <c r="B345" s="4" t="s">
        <v>71</v>
      </c>
      <c r="C345" s="5">
        <v>7</v>
      </c>
      <c r="D345" s="5" t="s">
        <v>52</v>
      </c>
      <c r="E345" s="5">
        <v>2</v>
      </c>
      <c r="F345" s="5">
        <v>1</v>
      </c>
      <c r="G345" s="5" t="str">
        <f t="shared" si="26"/>
        <v>BGV007910_B</v>
      </c>
      <c r="H345" s="5" t="s">
        <v>67</v>
      </c>
      <c r="I345" s="1">
        <v>0.12784063745019919</v>
      </c>
      <c r="J345" s="3">
        <v>0.26402671755725193</v>
      </c>
      <c r="K345" s="3">
        <v>0.59909909909909909</v>
      </c>
      <c r="L345" s="3">
        <v>0.71347818406641939</v>
      </c>
      <c r="M345" s="3">
        <f t="shared" si="27"/>
        <v>0.58563754661622025</v>
      </c>
      <c r="N345" s="1">
        <v>0</v>
      </c>
      <c r="P345" s="3">
        <v>0</v>
      </c>
      <c r="W345" s="16"/>
    </row>
    <row r="346" spans="1:23" x14ac:dyDescent="0.25">
      <c r="A346" s="4">
        <v>345</v>
      </c>
      <c r="B346" s="4" t="s">
        <v>71</v>
      </c>
      <c r="C346" s="5">
        <v>7</v>
      </c>
      <c r="D346" s="5" t="s">
        <v>54</v>
      </c>
      <c r="E346" s="5">
        <v>2</v>
      </c>
      <c r="F346" s="5">
        <v>4</v>
      </c>
      <c r="G346" s="5" t="str">
        <f t="shared" si="26"/>
        <v>BGV007910_C</v>
      </c>
      <c r="H346" s="5" t="s">
        <v>60</v>
      </c>
      <c r="I346" s="1">
        <v>0.36382470119521915</v>
      </c>
      <c r="J346" s="3">
        <v>0.58530534351145036</v>
      </c>
      <c r="K346" s="3">
        <v>0.49757449757449757</v>
      </c>
      <c r="L346" s="3">
        <v>1.1045751633986929</v>
      </c>
      <c r="M346" s="3">
        <f t="shared" si="27"/>
        <v>0.74075046220347374</v>
      </c>
      <c r="N346" s="1">
        <v>1</v>
      </c>
      <c r="O346" s="1">
        <v>15</v>
      </c>
      <c r="P346" s="2">
        <f>28570/56610</f>
        <v>0.5046811517399753</v>
      </c>
      <c r="Q346" s="1">
        <f>P346/L346</f>
        <v>0.45690068766991843</v>
      </c>
      <c r="R346" s="1">
        <v>1</v>
      </c>
      <c r="S346" s="1">
        <v>18</v>
      </c>
      <c r="T346" s="1">
        <v>24</v>
      </c>
      <c r="U346" s="1">
        <v>10</v>
      </c>
      <c r="V346" s="1">
        <v>9</v>
      </c>
      <c r="W346" s="16">
        <f>V346/U346</f>
        <v>0.9</v>
      </c>
    </row>
    <row r="347" spans="1:23" x14ac:dyDescent="0.25">
      <c r="A347" s="4">
        <v>346</v>
      </c>
      <c r="B347" s="4" t="s">
        <v>71</v>
      </c>
      <c r="C347" s="5">
        <v>8</v>
      </c>
      <c r="D347" s="5" t="s">
        <v>50</v>
      </c>
      <c r="E347" s="5">
        <v>2</v>
      </c>
      <c r="F347" s="5">
        <v>3</v>
      </c>
      <c r="G347" s="5" t="str">
        <f t="shared" si="26"/>
        <v>BGV007910_A</v>
      </c>
      <c r="H347" s="5" t="s">
        <v>62</v>
      </c>
      <c r="I347" s="1">
        <v>0.25784860557768924</v>
      </c>
      <c r="J347" s="3">
        <v>0.38791732909379967</v>
      </c>
      <c r="K347" s="3">
        <v>0.5051526717557252</v>
      </c>
      <c r="L347" s="3">
        <v>0.68659043659043661</v>
      </c>
      <c r="M347" s="3">
        <f t="shared" si="27"/>
        <v>0.42874183101274738</v>
      </c>
      <c r="N347" s="1">
        <v>0</v>
      </c>
      <c r="W347" s="16"/>
    </row>
    <row r="348" spans="1:23" x14ac:dyDescent="0.25">
      <c r="A348" s="4">
        <v>347</v>
      </c>
      <c r="B348" s="4" t="s">
        <v>71</v>
      </c>
      <c r="C348" s="5">
        <v>8</v>
      </c>
      <c r="D348" s="5" t="s">
        <v>52</v>
      </c>
      <c r="E348" s="5">
        <v>2</v>
      </c>
      <c r="F348" s="5">
        <v>2</v>
      </c>
      <c r="G348" s="5" t="str">
        <f t="shared" si="26"/>
        <v>BGV007910_B</v>
      </c>
      <c r="H348" s="5" t="s">
        <v>57</v>
      </c>
      <c r="I348" s="1">
        <v>0.1703585657370518</v>
      </c>
      <c r="J348" s="3">
        <v>0.46173664122137403</v>
      </c>
      <c r="K348" s="3">
        <v>0.24116424116424118</v>
      </c>
      <c r="L348" s="3">
        <v>1.2730966260378025</v>
      </c>
      <c r="M348" s="3">
        <f t="shared" si="27"/>
        <v>1.1027380603007506</v>
      </c>
      <c r="N348" s="1">
        <v>0</v>
      </c>
      <c r="W348" s="16"/>
    </row>
    <row r="349" spans="1:23" x14ac:dyDescent="0.25">
      <c r="A349" s="4">
        <v>348</v>
      </c>
      <c r="B349" s="4" t="s">
        <v>71</v>
      </c>
      <c r="C349" s="5">
        <v>8</v>
      </c>
      <c r="D349" s="5" t="s">
        <v>54</v>
      </c>
      <c r="E349" s="5">
        <v>2</v>
      </c>
      <c r="F349" s="5">
        <v>6</v>
      </c>
      <c r="G349" s="5" t="str">
        <f t="shared" si="26"/>
        <v>BGV007910_C</v>
      </c>
      <c r="H349" s="5" t="s">
        <v>66</v>
      </c>
      <c r="I349" s="1">
        <v>0.60494023904382466</v>
      </c>
      <c r="J349" s="3">
        <v>0.61614555732202791</v>
      </c>
      <c r="K349" s="3">
        <v>0.80753816793893129</v>
      </c>
      <c r="L349" s="3">
        <v>0.80873180873180872</v>
      </c>
      <c r="M349" s="3">
        <f t="shared" si="27"/>
        <v>0.20379156968798406</v>
      </c>
      <c r="N349" s="1">
        <v>0</v>
      </c>
      <c r="W349" s="16"/>
    </row>
    <row r="350" spans="1:23" x14ac:dyDescent="0.25">
      <c r="A350" s="4">
        <v>349</v>
      </c>
      <c r="B350" s="4" t="s">
        <v>71</v>
      </c>
      <c r="C350" s="5">
        <v>9</v>
      </c>
      <c r="D350" s="5" t="s">
        <v>50</v>
      </c>
      <c r="E350" s="5">
        <v>2</v>
      </c>
      <c r="F350" s="5">
        <v>3</v>
      </c>
      <c r="G350" s="5" t="str">
        <f t="shared" si="26"/>
        <v>BGV007910_A</v>
      </c>
      <c r="H350" s="5" t="s">
        <v>62</v>
      </c>
      <c r="I350" s="1">
        <v>0.24557768924302789</v>
      </c>
      <c r="J350" s="3">
        <v>0.37528625954198475</v>
      </c>
      <c r="K350" s="3">
        <v>0.40246015246015249</v>
      </c>
      <c r="L350" s="3">
        <v>0.459812753930401</v>
      </c>
      <c r="M350" s="3">
        <f t="shared" si="27"/>
        <v>0.21423506468737311</v>
      </c>
      <c r="N350" s="1">
        <v>0</v>
      </c>
      <c r="W350" s="16"/>
    </row>
    <row r="351" spans="1:23" x14ac:dyDescent="0.25">
      <c r="A351" s="4">
        <v>350</v>
      </c>
      <c r="B351" s="4" t="s">
        <v>71</v>
      </c>
      <c r="C351" s="5">
        <v>9</v>
      </c>
      <c r="D351" s="5" t="s">
        <v>52</v>
      </c>
      <c r="E351" s="5">
        <v>2</v>
      </c>
      <c r="F351" s="5">
        <v>1</v>
      </c>
      <c r="G351" s="5" t="str">
        <f t="shared" si="26"/>
        <v>BGV007910_B</v>
      </c>
      <c r="H351" s="5" t="s">
        <v>67</v>
      </c>
      <c r="I351" s="1">
        <v>9.982470119521912E-2</v>
      </c>
      <c r="J351" s="3">
        <v>0.41857241857241856</v>
      </c>
      <c r="K351" s="3">
        <v>0.4922709923664122</v>
      </c>
      <c r="L351" s="3">
        <v>0.77954425013248541</v>
      </c>
      <c r="M351" s="3">
        <f t="shared" si="27"/>
        <v>0.67971954893726627</v>
      </c>
      <c r="N351" s="1">
        <v>0</v>
      </c>
      <c r="W351" s="16"/>
    </row>
    <row r="352" spans="1:23" x14ac:dyDescent="0.25">
      <c r="A352" s="4">
        <v>351</v>
      </c>
      <c r="B352" s="4" t="s">
        <v>71</v>
      </c>
      <c r="C352" s="5">
        <v>9</v>
      </c>
      <c r="D352" s="5" t="s">
        <v>54</v>
      </c>
      <c r="E352" s="5">
        <v>2</v>
      </c>
      <c r="F352" s="5">
        <v>1</v>
      </c>
      <c r="G352" s="5" t="str">
        <f t="shared" si="26"/>
        <v>BGV007910_C</v>
      </c>
      <c r="H352" s="5" t="s">
        <v>58</v>
      </c>
      <c r="I352" s="1">
        <v>0.12345816733067728</v>
      </c>
      <c r="J352" s="3">
        <v>0.3592557251908397</v>
      </c>
      <c r="K352" s="3">
        <v>0.56826056826056826</v>
      </c>
      <c r="L352" s="3">
        <v>0.58752870517576405</v>
      </c>
      <c r="M352" s="3">
        <f t="shared" si="27"/>
        <v>0.46407053784508678</v>
      </c>
      <c r="N352" s="1">
        <v>0</v>
      </c>
      <c r="W352" s="16"/>
    </row>
    <row r="353" spans="1:23" x14ac:dyDescent="0.25">
      <c r="A353" s="4">
        <v>352</v>
      </c>
      <c r="B353" s="4" t="s">
        <v>71</v>
      </c>
      <c r="C353" s="5">
        <v>10</v>
      </c>
      <c r="D353" s="5" t="s">
        <v>50</v>
      </c>
      <c r="E353" s="5">
        <v>2</v>
      </c>
      <c r="F353" s="5">
        <v>2</v>
      </c>
      <c r="G353" s="5" t="str">
        <f t="shared" si="26"/>
        <v>BGV007910_A</v>
      </c>
      <c r="H353" s="5" t="s">
        <v>56</v>
      </c>
      <c r="I353" s="1">
        <v>0.18103585657370519</v>
      </c>
      <c r="J353" s="3">
        <v>0.31231231231231232</v>
      </c>
      <c r="K353" s="3">
        <v>0.3517175572519084</v>
      </c>
      <c r="L353" s="3">
        <v>0.46725571725571724</v>
      </c>
      <c r="M353" s="3">
        <f t="shared" si="27"/>
        <v>0.28621986068201205</v>
      </c>
      <c r="N353" s="1">
        <v>1</v>
      </c>
      <c r="O353" s="1">
        <v>18</v>
      </c>
      <c r="P353" s="2">
        <f>8176/56610</f>
        <v>0.14442677972089737</v>
      </c>
      <c r="Q353" s="1">
        <f t="shared" ref="Q353:Q361" si="30">P353/L353</f>
        <v>0.30909579998109737</v>
      </c>
      <c r="R353" s="1">
        <v>0</v>
      </c>
      <c r="W353" s="16"/>
    </row>
    <row r="354" spans="1:23" x14ac:dyDescent="0.25">
      <c r="A354" s="4">
        <v>353</v>
      </c>
      <c r="B354" s="4" t="s">
        <v>71</v>
      </c>
      <c r="C354" s="5">
        <v>10</v>
      </c>
      <c r="D354" s="5" t="s">
        <v>52</v>
      </c>
      <c r="E354" s="5">
        <v>2</v>
      </c>
      <c r="F354" s="5">
        <v>3</v>
      </c>
      <c r="G354" s="5" t="str">
        <f t="shared" si="26"/>
        <v>BGV007910_B</v>
      </c>
      <c r="H354" s="5" t="s">
        <v>59</v>
      </c>
      <c r="I354" s="1">
        <v>0.34549800796812746</v>
      </c>
      <c r="J354" s="3">
        <v>0.2085932085932086</v>
      </c>
      <c r="K354" s="3">
        <v>0.25610687022900763</v>
      </c>
      <c r="L354" s="3">
        <v>1.2040275569687335</v>
      </c>
      <c r="M354" s="3">
        <f t="shared" si="27"/>
        <v>0.85852954900060607</v>
      </c>
      <c r="N354" s="1">
        <v>1</v>
      </c>
      <c r="O354" s="1">
        <v>18</v>
      </c>
      <c r="P354" s="2">
        <f>12460/56610</f>
        <v>0.22010245539657305</v>
      </c>
      <c r="Q354" s="1">
        <f t="shared" si="30"/>
        <v>0.18280516431924881</v>
      </c>
      <c r="R354" s="1">
        <v>0</v>
      </c>
      <c r="W354" s="16"/>
    </row>
    <row r="355" spans="1:23" x14ac:dyDescent="0.25">
      <c r="A355" s="4">
        <v>354</v>
      </c>
      <c r="B355" s="4" t="s">
        <v>71</v>
      </c>
      <c r="C355" s="5">
        <v>10</v>
      </c>
      <c r="D355" s="5" t="s">
        <v>54</v>
      </c>
      <c r="E355" s="5">
        <v>2</v>
      </c>
      <c r="F355" s="5">
        <v>5</v>
      </c>
      <c r="G355" s="5" t="str">
        <f t="shared" si="26"/>
        <v>BGV007910_C</v>
      </c>
      <c r="H355" s="5" t="s">
        <v>61</v>
      </c>
      <c r="I355" s="1">
        <v>0.48557768924302791</v>
      </c>
      <c r="J355" s="3">
        <v>0.44694656488549617</v>
      </c>
      <c r="K355" s="3">
        <v>0.53274428274428276</v>
      </c>
      <c r="L355" s="3">
        <v>1.293057763645999</v>
      </c>
      <c r="M355" s="3">
        <f t="shared" si="27"/>
        <v>0.80748007440297109</v>
      </c>
      <c r="N355" s="1">
        <v>1</v>
      </c>
      <c r="O355" s="1">
        <v>20</v>
      </c>
      <c r="P355" s="2">
        <f>61340/56610</f>
        <v>1.0835541423776718</v>
      </c>
      <c r="Q355" s="1">
        <f t="shared" si="30"/>
        <v>0.83797814207650267</v>
      </c>
      <c r="R355" s="1">
        <v>1</v>
      </c>
      <c r="S355" s="1">
        <v>20</v>
      </c>
      <c r="T355" s="1">
        <v>25</v>
      </c>
      <c r="U355" s="1">
        <v>3</v>
      </c>
      <c r="V355" s="1">
        <v>3</v>
      </c>
      <c r="W355" s="16">
        <f>V355/U355</f>
        <v>1</v>
      </c>
    </row>
    <row r="356" spans="1:23" x14ac:dyDescent="0.25">
      <c r="A356" s="4">
        <v>355</v>
      </c>
      <c r="B356" s="4" t="s">
        <v>71</v>
      </c>
      <c r="C356" s="5">
        <v>11</v>
      </c>
      <c r="D356" s="5" t="s">
        <v>50</v>
      </c>
      <c r="E356" s="5">
        <v>2</v>
      </c>
      <c r="F356" s="5">
        <v>3</v>
      </c>
      <c r="G356" s="5" t="str">
        <f t="shared" si="26"/>
        <v>BGV007910_A</v>
      </c>
      <c r="H356" s="5" t="s">
        <v>62</v>
      </c>
      <c r="I356" s="1">
        <v>0.26741035856573703</v>
      </c>
      <c r="J356" s="3">
        <v>0.28358778625954201</v>
      </c>
      <c r="K356" s="3">
        <v>0.90800415800415801</v>
      </c>
      <c r="L356" s="3">
        <v>0.94894894894894899</v>
      </c>
      <c r="M356" s="3">
        <f t="shared" si="27"/>
        <v>0.68153859038321196</v>
      </c>
      <c r="N356" s="1">
        <v>1</v>
      </c>
      <c r="O356" s="1">
        <v>14</v>
      </c>
      <c r="P356" s="2">
        <f>46540/56610</f>
        <v>0.8221162338809398</v>
      </c>
      <c r="Q356" s="1">
        <f t="shared" si="30"/>
        <v>0.86634400595681316</v>
      </c>
      <c r="R356" s="1">
        <v>0</v>
      </c>
      <c r="W356" s="16"/>
    </row>
    <row r="357" spans="1:23" x14ac:dyDescent="0.25">
      <c r="A357" s="4">
        <v>356</v>
      </c>
      <c r="B357" s="4" t="s">
        <v>71</v>
      </c>
      <c r="C357" s="5">
        <v>11</v>
      </c>
      <c r="D357" s="5" t="s">
        <v>52</v>
      </c>
      <c r="E357" s="5">
        <v>2</v>
      </c>
      <c r="F357" s="5">
        <v>2</v>
      </c>
      <c r="G357" s="5" t="str">
        <f t="shared" si="26"/>
        <v>BGV007910_B</v>
      </c>
      <c r="H357" s="5" t="s">
        <v>57</v>
      </c>
      <c r="I357" s="1">
        <v>0.21832669322709164</v>
      </c>
      <c r="J357" s="3">
        <v>0.49324324324324326</v>
      </c>
      <c r="K357" s="3">
        <v>0.5168698109874581</v>
      </c>
      <c r="L357" s="3">
        <v>0.97614503816793896</v>
      </c>
      <c r="M357" s="3">
        <f t="shared" si="27"/>
        <v>0.75781834494084732</v>
      </c>
      <c r="N357" s="1">
        <v>1</v>
      </c>
      <c r="O357" s="1">
        <v>18</v>
      </c>
      <c r="P357" s="2">
        <f>21340/56610</f>
        <v>0.37696520049461224</v>
      </c>
      <c r="Q357" s="1">
        <f t="shared" si="30"/>
        <v>0.3861774487960446</v>
      </c>
      <c r="R357" s="1">
        <v>0</v>
      </c>
      <c r="W357" s="16"/>
    </row>
    <row r="358" spans="1:23" x14ac:dyDescent="0.25">
      <c r="A358" s="4">
        <v>357</v>
      </c>
      <c r="B358" s="4" t="s">
        <v>71</v>
      </c>
      <c r="C358" s="5">
        <v>11</v>
      </c>
      <c r="D358" s="5" t="s">
        <v>54</v>
      </c>
      <c r="E358" s="5">
        <v>2</v>
      </c>
      <c r="F358" s="5">
        <v>4</v>
      </c>
      <c r="G358" s="5" t="str">
        <f t="shared" si="26"/>
        <v>BGV007910_C</v>
      </c>
      <c r="H358" s="5" t="s">
        <v>60</v>
      </c>
      <c r="I358" s="1">
        <v>0.36685258964143425</v>
      </c>
      <c r="J358" s="3">
        <v>0.40276717557251906</v>
      </c>
      <c r="K358" s="3">
        <v>0.46032571032571035</v>
      </c>
      <c r="L358" s="3">
        <v>0.77654124712948247</v>
      </c>
      <c r="M358" s="3">
        <f t="shared" si="27"/>
        <v>0.40968865748804822</v>
      </c>
      <c r="N358" s="1">
        <v>1</v>
      </c>
      <c r="O358" s="1">
        <v>18</v>
      </c>
      <c r="P358" s="2">
        <f>26040/57720</f>
        <v>0.45114345114345117</v>
      </c>
      <c r="Q358" s="1">
        <f t="shared" si="30"/>
        <v>0.58096521313081817</v>
      </c>
      <c r="R358" s="1">
        <v>0</v>
      </c>
      <c r="W358" s="16"/>
    </row>
    <row r="359" spans="1:23" x14ac:dyDescent="0.25">
      <c r="A359" s="4">
        <v>358</v>
      </c>
      <c r="B359" s="4" t="s">
        <v>71</v>
      </c>
      <c r="C359" s="5">
        <v>12</v>
      </c>
      <c r="D359" s="5" t="s">
        <v>50</v>
      </c>
      <c r="E359" s="5">
        <v>2</v>
      </c>
      <c r="F359" s="5">
        <v>2</v>
      </c>
      <c r="G359" s="5" t="str">
        <f t="shared" si="26"/>
        <v>BGV007910_A</v>
      </c>
      <c r="H359" s="5" t="s">
        <v>56</v>
      </c>
      <c r="I359" s="1">
        <v>0.18100585657370499</v>
      </c>
      <c r="J359" s="3">
        <v>0.25502425502425502</v>
      </c>
      <c r="K359" s="3">
        <v>0.2890267175572519</v>
      </c>
      <c r="L359" s="3">
        <v>0.8122239886945769</v>
      </c>
      <c r="M359" s="3">
        <f t="shared" si="27"/>
        <v>0.63121813212087186</v>
      </c>
      <c r="N359" s="1">
        <v>1</v>
      </c>
      <c r="O359" s="1">
        <v>16</v>
      </c>
      <c r="P359" s="2">
        <f>5526/57720</f>
        <v>9.5738045738045743E-2</v>
      </c>
      <c r="Q359" s="1">
        <f t="shared" si="30"/>
        <v>0.11787148258440125</v>
      </c>
      <c r="R359" s="1">
        <v>1</v>
      </c>
      <c r="S359" s="1">
        <v>18</v>
      </c>
      <c r="T359" s="1">
        <v>23</v>
      </c>
      <c r="U359" s="1">
        <v>2</v>
      </c>
      <c r="V359" s="1">
        <v>2</v>
      </c>
      <c r="W359" s="16">
        <f>V359/U359</f>
        <v>1</v>
      </c>
    </row>
    <row r="360" spans="1:23" x14ac:dyDescent="0.25">
      <c r="A360" s="4">
        <v>359</v>
      </c>
      <c r="B360" s="4" t="s">
        <v>71</v>
      </c>
      <c r="C360" s="5">
        <v>12</v>
      </c>
      <c r="D360" s="5" t="s">
        <v>52</v>
      </c>
      <c r="E360" s="5">
        <v>2</v>
      </c>
      <c r="F360" s="5">
        <v>1</v>
      </c>
      <c r="G360" s="5" t="str">
        <f t="shared" si="26"/>
        <v>BGV007910_B</v>
      </c>
      <c r="H360" s="5" t="s">
        <v>67</v>
      </c>
      <c r="I360" s="1">
        <v>0.12345816733067728</v>
      </c>
      <c r="J360" s="3">
        <v>0.20659320159320901</v>
      </c>
      <c r="K360" s="3">
        <v>0.22977099236641221</v>
      </c>
      <c r="L360" s="3">
        <v>0.98304186539480654</v>
      </c>
      <c r="M360" s="3">
        <f t="shared" si="27"/>
        <v>0.85958369806412926</v>
      </c>
      <c r="N360" s="1">
        <v>1</v>
      </c>
      <c r="O360" s="1">
        <v>20</v>
      </c>
      <c r="P360" s="2">
        <f>15380/56610</f>
        <v>0.27168344815403639</v>
      </c>
      <c r="Q360" s="1">
        <f t="shared" si="30"/>
        <v>0.27637017070979336</v>
      </c>
      <c r="R360" s="1">
        <v>0</v>
      </c>
      <c r="W360" s="16"/>
    </row>
    <row r="361" spans="1:23" s="10" customFormat="1" x14ac:dyDescent="0.25">
      <c r="A361" s="23">
        <v>360</v>
      </c>
      <c r="B361" s="23" t="s">
        <v>71</v>
      </c>
      <c r="C361" s="17">
        <v>12</v>
      </c>
      <c r="D361" s="17" t="s">
        <v>54</v>
      </c>
      <c r="E361" s="17">
        <v>2</v>
      </c>
      <c r="F361" s="17">
        <v>2</v>
      </c>
      <c r="G361" s="17" t="str">
        <f t="shared" si="26"/>
        <v>BGV007910_C</v>
      </c>
      <c r="H361" s="17" t="s">
        <v>63</v>
      </c>
      <c r="I361" s="9">
        <v>0.22741035856573699</v>
      </c>
      <c r="J361" s="8">
        <v>0.34503816793893127</v>
      </c>
      <c r="K361" s="8">
        <v>0.50274428274428296</v>
      </c>
      <c r="L361" s="8">
        <v>0.54742978272390042</v>
      </c>
      <c r="M361" s="8">
        <f t="shared" si="27"/>
        <v>0.32001942415816342</v>
      </c>
      <c r="N361" s="9">
        <v>1</v>
      </c>
      <c r="O361" s="9">
        <v>16</v>
      </c>
      <c r="P361" s="10">
        <f>26010/56610</f>
        <v>0.45945945945945948</v>
      </c>
      <c r="Q361" s="9">
        <f t="shared" si="30"/>
        <v>0.83930300096805421</v>
      </c>
      <c r="R361" s="9">
        <v>0</v>
      </c>
      <c r="S361" s="9"/>
      <c r="T361" s="9"/>
      <c r="U361" s="9"/>
      <c r="V361" s="9"/>
      <c r="W361" s="18"/>
    </row>
    <row r="362" spans="1:23" x14ac:dyDescent="0.25">
      <c r="A362" s="5">
        <v>361</v>
      </c>
      <c r="B362" s="4" t="s">
        <v>72</v>
      </c>
      <c r="C362" s="5">
        <v>1</v>
      </c>
      <c r="D362" s="5" t="s">
        <v>50</v>
      </c>
      <c r="E362" s="5">
        <v>1</v>
      </c>
      <c r="F362" s="5">
        <v>4</v>
      </c>
      <c r="G362" s="5" t="str">
        <f t="shared" si="26"/>
        <v>BGV016054_A</v>
      </c>
      <c r="H362" s="5" t="s">
        <v>64</v>
      </c>
      <c r="I362" s="1">
        <v>0.47344007182403114</v>
      </c>
      <c r="J362" s="3">
        <v>0.93270855738208636</v>
      </c>
      <c r="K362" s="3">
        <v>1.0159102327918272</v>
      </c>
      <c r="L362" s="3">
        <v>1.5309602649006622</v>
      </c>
      <c r="M362" s="3">
        <f t="shared" si="27"/>
        <v>1.0575201930766309</v>
      </c>
      <c r="N362" s="1">
        <v>1</v>
      </c>
      <c r="R362" s="1">
        <v>0</v>
      </c>
      <c r="W362" s="16"/>
    </row>
    <row r="363" spans="1:23" x14ac:dyDescent="0.25">
      <c r="A363" s="5">
        <v>362</v>
      </c>
      <c r="B363" s="4" t="s">
        <v>72</v>
      </c>
      <c r="C363" s="5">
        <v>1</v>
      </c>
      <c r="D363" s="5" t="s">
        <v>52</v>
      </c>
      <c r="E363" s="5">
        <v>1</v>
      </c>
      <c r="F363" s="5">
        <v>4</v>
      </c>
      <c r="G363" s="5" t="str">
        <f t="shared" si="26"/>
        <v>BGV016054_B</v>
      </c>
      <c r="H363" s="5" t="s">
        <v>53</v>
      </c>
      <c r="I363" s="1">
        <v>0.43079455334430644</v>
      </c>
      <c r="J363" s="3">
        <v>0.80657551083115686</v>
      </c>
      <c r="K363" s="3">
        <v>1.0319879417183051</v>
      </c>
      <c r="L363" s="3">
        <v>1.310430463576159</v>
      </c>
      <c r="M363" s="3">
        <f t="shared" si="27"/>
        <v>0.8796359102318525</v>
      </c>
      <c r="N363" s="1">
        <v>0</v>
      </c>
      <c r="W363" s="16"/>
    </row>
    <row r="364" spans="1:23" x14ac:dyDescent="0.25">
      <c r="A364" s="5">
        <v>363</v>
      </c>
      <c r="B364" s="4" t="s">
        <v>72</v>
      </c>
      <c r="C364" s="5">
        <v>1</v>
      </c>
      <c r="D364" s="5" t="s">
        <v>54</v>
      </c>
      <c r="E364" s="5">
        <v>1</v>
      </c>
      <c r="F364" s="5">
        <v>6</v>
      </c>
      <c r="G364" s="5" t="str">
        <f t="shared" si="26"/>
        <v>BGV016054_C</v>
      </c>
      <c r="H364" s="5" t="s">
        <v>66</v>
      </c>
      <c r="I364" s="1">
        <v>0.67035762382163699</v>
      </c>
      <c r="J364" s="3">
        <v>1.2215394069749577</v>
      </c>
      <c r="K364" s="3">
        <v>1.4304136660525875</v>
      </c>
      <c r="L364" s="3">
        <v>1.8211920529801324</v>
      </c>
      <c r="M364" s="3">
        <f t="shared" si="27"/>
        <v>1.1508344291584955</v>
      </c>
      <c r="N364" s="1">
        <v>0</v>
      </c>
      <c r="R364" s="1">
        <v>1</v>
      </c>
      <c r="S364" s="1">
        <v>16</v>
      </c>
      <c r="T364" s="1">
        <v>22</v>
      </c>
      <c r="U364" s="1">
        <v>3</v>
      </c>
      <c r="V364" s="1">
        <v>3</v>
      </c>
      <c r="W364" s="16">
        <f>V364/U364</f>
        <v>1</v>
      </c>
    </row>
    <row r="365" spans="1:23" x14ac:dyDescent="0.25">
      <c r="A365" s="5">
        <v>364</v>
      </c>
      <c r="B365" s="4" t="s">
        <v>72</v>
      </c>
      <c r="C365" s="5">
        <v>2</v>
      </c>
      <c r="D365" s="5" t="s">
        <v>50</v>
      </c>
      <c r="E365" s="5">
        <v>1</v>
      </c>
      <c r="F365" s="5">
        <v>5</v>
      </c>
      <c r="G365" s="5" t="str">
        <f t="shared" si="26"/>
        <v>BGV016054_A</v>
      </c>
      <c r="H365" s="5" t="s">
        <v>69</v>
      </c>
      <c r="I365" s="1">
        <v>0.54421666916055667</v>
      </c>
      <c r="J365" s="3">
        <v>0.5782762329082809</v>
      </c>
      <c r="K365" s="3">
        <v>1.4776419360241166</v>
      </c>
      <c r="L365" s="3">
        <v>1.5837748344370861</v>
      </c>
      <c r="M365" s="3">
        <f t="shared" si="27"/>
        <v>1.0395581652765293</v>
      </c>
      <c r="N365" s="1">
        <v>0</v>
      </c>
      <c r="W365" s="16"/>
    </row>
    <row r="366" spans="1:23" x14ac:dyDescent="0.25">
      <c r="A366" s="5">
        <v>365</v>
      </c>
      <c r="B366" s="4" t="s">
        <v>72</v>
      </c>
      <c r="C366" s="5">
        <v>2</v>
      </c>
      <c r="D366" s="5" t="s">
        <v>52</v>
      </c>
      <c r="E366" s="5">
        <v>1</v>
      </c>
      <c r="F366" s="5">
        <v>3</v>
      </c>
      <c r="G366" s="5" t="str">
        <f t="shared" si="26"/>
        <v>BGV016054_B</v>
      </c>
      <c r="H366" s="5" t="s">
        <v>59</v>
      </c>
      <c r="I366" s="1">
        <v>0.33218614394732904</v>
      </c>
      <c r="J366" s="3">
        <v>0.83269319403902287</v>
      </c>
      <c r="K366" s="3">
        <v>0.92279350192597553</v>
      </c>
      <c r="L366" s="3">
        <v>1.2971854304635762</v>
      </c>
      <c r="M366" s="3">
        <f t="shared" si="27"/>
        <v>0.96499928651624711</v>
      </c>
      <c r="N366" s="1">
        <v>1</v>
      </c>
      <c r="O366" s="1">
        <v>17</v>
      </c>
      <c r="P366" s="2">
        <f>22620/60400</f>
        <v>0.37450331125827813</v>
      </c>
      <c r="Q366" s="1">
        <f>P366/L366</f>
        <v>0.28870453095086152</v>
      </c>
      <c r="R366" s="1">
        <v>0</v>
      </c>
      <c r="W366" s="16"/>
    </row>
    <row r="367" spans="1:23" x14ac:dyDescent="0.25">
      <c r="A367" s="5">
        <v>366</v>
      </c>
      <c r="B367" s="4" t="s">
        <v>72</v>
      </c>
      <c r="C367" s="5">
        <v>2</v>
      </c>
      <c r="D367" s="5" t="s">
        <v>54</v>
      </c>
      <c r="E367" s="5">
        <v>1</v>
      </c>
      <c r="F367" s="5">
        <v>3</v>
      </c>
      <c r="G367" s="5" t="str">
        <f t="shared" si="26"/>
        <v>BGV016054_C</v>
      </c>
      <c r="H367" s="5" t="s">
        <v>55</v>
      </c>
      <c r="I367" s="1">
        <v>0.32293747119373173</v>
      </c>
      <c r="J367" s="3">
        <v>0.35328445308992967</v>
      </c>
      <c r="K367" s="3">
        <v>0.43940397350993377</v>
      </c>
      <c r="L367" s="3">
        <v>0.47596717467760846</v>
      </c>
      <c r="M367" s="3">
        <f t="shared" si="27"/>
        <v>0.15302970348387673</v>
      </c>
      <c r="N367" s="1">
        <v>0</v>
      </c>
      <c r="W367" s="16"/>
    </row>
    <row r="368" spans="1:23" x14ac:dyDescent="0.25">
      <c r="A368" s="5">
        <v>367</v>
      </c>
      <c r="B368" s="4" t="s">
        <v>72</v>
      </c>
      <c r="C368" s="5">
        <v>3</v>
      </c>
      <c r="D368" s="5" t="s">
        <v>50</v>
      </c>
      <c r="E368" s="5">
        <v>1</v>
      </c>
      <c r="F368" s="5">
        <v>3</v>
      </c>
      <c r="G368" s="5" t="str">
        <f t="shared" si="26"/>
        <v>BGV016054_A</v>
      </c>
      <c r="H368" s="5" t="s">
        <v>62</v>
      </c>
      <c r="I368" s="1">
        <v>0.30674846625766872</v>
      </c>
      <c r="J368" s="3">
        <v>0.71132278383776315</v>
      </c>
      <c r="K368" s="3">
        <v>1.2847094289063807</v>
      </c>
      <c r="L368" s="3">
        <v>1.3874172185430464</v>
      </c>
      <c r="M368" s="3">
        <f t="shared" si="27"/>
        <v>1.0806687522853777</v>
      </c>
      <c r="N368" s="1">
        <v>0</v>
      </c>
      <c r="W368" s="16"/>
    </row>
    <row r="369" spans="1:23" x14ac:dyDescent="0.25">
      <c r="A369" s="5">
        <v>368</v>
      </c>
      <c r="B369" s="4" t="s">
        <v>72</v>
      </c>
      <c r="C369" s="5">
        <v>3</v>
      </c>
      <c r="D369" s="5" t="s">
        <v>52</v>
      </c>
      <c r="E369" s="5">
        <v>1</v>
      </c>
      <c r="F369" s="5">
        <v>2</v>
      </c>
      <c r="G369" s="5" t="str">
        <f t="shared" si="26"/>
        <v>BGV016054_B</v>
      </c>
      <c r="H369" s="5" t="s">
        <v>57</v>
      </c>
      <c r="I369" s="1">
        <v>0.1945234176268143</v>
      </c>
      <c r="J369" s="3">
        <v>0.33215547703180209</v>
      </c>
      <c r="K369" s="3">
        <v>0.5726009043711271</v>
      </c>
      <c r="L369" s="3">
        <v>0.66059602649006621</v>
      </c>
      <c r="M369" s="3">
        <f t="shared" si="27"/>
        <v>0.46607260886325191</v>
      </c>
      <c r="N369" s="1">
        <v>0</v>
      </c>
      <c r="W369" s="16"/>
    </row>
    <row r="370" spans="1:23" x14ac:dyDescent="0.25">
      <c r="A370" s="5">
        <v>369</v>
      </c>
      <c r="B370" s="4" t="s">
        <v>72</v>
      </c>
      <c r="C370" s="5">
        <v>3</v>
      </c>
      <c r="D370" s="5" t="s">
        <v>54</v>
      </c>
      <c r="E370" s="5">
        <v>1</v>
      </c>
      <c r="F370" s="5">
        <v>2</v>
      </c>
      <c r="G370" s="5" t="str">
        <f t="shared" si="26"/>
        <v>BGV016054_C</v>
      </c>
      <c r="H370" s="5" t="s">
        <v>63</v>
      </c>
      <c r="I370" s="1">
        <v>0.21592099356576389</v>
      </c>
      <c r="J370" s="3">
        <v>0.32754647411276694</v>
      </c>
      <c r="K370" s="3">
        <v>0.34634064645787976</v>
      </c>
      <c r="L370" s="3">
        <v>0.38344370860927152</v>
      </c>
      <c r="M370" s="3">
        <f t="shared" si="27"/>
        <v>0.16752271504350763</v>
      </c>
      <c r="N370" s="1">
        <v>1</v>
      </c>
      <c r="O370" s="1">
        <v>20</v>
      </c>
      <c r="P370" s="2">
        <f>17990/59710</f>
        <v>0.30128956623681125</v>
      </c>
      <c r="Q370" s="1">
        <f>P370/L370</f>
        <v>0.78574653716335918</v>
      </c>
      <c r="R370" s="1">
        <v>0</v>
      </c>
      <c r="W370" s="16"/>
    </row>
    <row r="371" spans="1:23" x14ac:dyDescent="0.25">
      <c r="A371" s="5">
        <v>370</v>
      </c>
      <c r="B371" s="4" t="s">
        <v>72</v>
      </c>
      <c r="C371" s="5">
        <v>4</v>
      </c>
      <c r="D371" s="5" t="s">
        <v>50</v>
      </c>
      <c r="E371" s="5">
        <v>1</v>
      </c>
      <c r="F371" s="5">
        <v>2</v>
      </c>
      <c r="G371" s="5" t="str">
        <f t="shared" si="26"/>
        <v>BGV016054_A</v>
      </c>
      <c r="H371" s="5" t="s">
        <v>56</v>
      </c>
      <c r="I371" s="1">
        <v>0.21367649259314678</v>
      </c>
      <c r="J371" s="3">
        <v>0.26076034165131468</v>
      </c>
      <c r="K371" s="3">
        <v>0.30910596026490067</v>
      </c>
      <c r="L371" s="3">
        <v>0.32908280841911197</v>
      </c>
      <c r="M371" s="3">
        <f t="shared" si="27"/>
        <v>0.11540631582596519</v>
      </c>
      <c r="N371" s="1">
        <v>0</v>
      </c>
      <c r="W371" s="16"/>
    </row>
    <row r="372" spans="1:23" x14ac:dyDescent="0.25">
      <c r="A372" s="5">
        <v>371</v>
      </c>
      <c r="B372" s="4" t="s">
        <v>72</v>
      </c>
      <c r="C372" s="5">
        <v>4</v>
      </c>
      <c r="D372" s="5" t="s">
        <v>52</v>
      </c>
      <c r="E372" s="5">
        <v>1</v>
      </c>
      <c r="F372" s="5">
        <v>3</v>
      </c>
      <c r="G372" s="5" t="str">
        <f t="shared" si="26"/>
        <v>BGV016054_B</v>
      </c>
      <c r="H372" s="5" t="s">
        <v>59</v>
      </c>
      <c r="I372" s="1">
        <v>0.32245997306598834</v>
      </c>
      <c r="J372" s="3">
        <v>0.57720079889383935</v>
      </c>
      <c r="K372" s="3">
        <v>1.0713448333612461</v>
      </c>
      <c r="L372" s="3">
        <v>1.3688741721854305</v>
      </c>
      <c r="M372" s="3">
        <f t="shared" si="27"/>
        <v>1.0464141991194422</v>
      </c>
      <c r="N372" s="1">
        <v>0</v>
      </c>
      <c r="W372" s="16"/>
    </row>
    <row r="373" spans="1:23" x14ac:dyDescent="0.25">
      <c r="A373" s="5">
        <v>372</v>
      </c>
      <c r="B373" s="4" t="s">
        <v>72</v>
      </c>
      <c r="C373" s="5">
        <v>4</v>
      </c>
      <c r="D373" s="5" t="s">
        <v>54</v>
      </c>
      <c r="E373" s="5">
        <v>1</v>
      </c>
      <c r="F373" s="5">
        <v>6</v>
      </c>
      <c r="G373" s="5" t="str">
        <f t="shared" si="26"/>
        <v>BGV016054_C</v>
      </c>
      <c r="H373" s="5" t="s">
        <v>66</v>
      </c>
      <c r="I373" s="1">
        <v>0.61200059853359268</v>
      </c>
      <c r="J373" s="3">
        <v>1.1416500230450146</v>
      </c>
      <c r="K373" s="3">
        <v>1.4989114051247696</v>
      </c>
      <c r="L373" s="3">
        <v>1.8741721854304636</v>
      </c>
      <c r="M373" s="3">
        <f t="shared" si="27"/>
        <v>1.262171586896871</v>
      </c>
      <c r="N373" s="1">
        <v>0</v>
      </c>
      <c r="R373" s="1">
        <v>1</v>
      </c>
      <c r="S373" s="1">
        <v>15</v>
      </c>
      <c r="T373" s="1">
        <v>21</v>
      </c>
      <c r="U373" s="1">
        <v>4</v>
      </c>
      <c r="V373" s="1">
        <v>4</v>
      </c>
      <c r="W373" s="16">
        <f>V373/U373</f>
        <v>1</v>
      </c>
    </row>
    <row r="374" spans="1:23" x14ac:dyDescent="0.25">
      <c r="A374" s="5">
        <v>373</v>
      </c>
      <c r="B374" s="4" t="s">
        <v>72</v>
      </c>
      <c r="C374" s="5">
        <v>5</v>
      </c>
      <c r="D374" s="5" t="s">
        <v>50</v>
      </c>
      <c r="E374" s="5">
        <v>1</v>
      </c>
      <c r="F374" s="5">
        <v>3</v>
      </c>
      <c r="G374" s="5" t="str">
        <f t="shared" si="26"/>
        <v>BGV016054_A</v>
      </c>
      <c r="H374" s="5" t="s">
        <v>62</v>
      </c>
      <c r="I374" s="1">
        <v>0.33607661229986535</v>
      </c>
      <c r="J374" s="3">
        <v>0.38807804578276234</v>
      </c>
      <c r="K374" s="3">
        <v>0.85513314352704739</v>
      </c>
      <c r="L374" s="3">
        <v>0.97632450331125831</v>
      </c>
      <c r="M374" s="3">
        <f t="shared" si="27"/>
        <v>0.6402478910113929</v>
      </c>
      <c r="N374" s="1">
        <v>1</v>
      </c>
      <c r="O374" s="1">
        <v>20</v>
      </c>
      <c r="P374" s="2">
        <f>18360/60400</f>
        <v>0.30397350993377481</v>
      </c>
      <c r="Q374" s="1">
        <f>P374/L374</f>
        <v>0.31134475156859415</v>
      </c>
      <c r="R374" s="1">
        <v>0</v>
      </c>
      <c r="W374" s="16"/>
    </row>
    <row r="375" spans="1:23" x14ac:dyDescent="0.25">
      <c r="A375" s="5">
        <v>374</v>
      </c>
      <c r="B375" s="4" t="s">
        <v>72</v>
      </c>
      <c r="C375" s="5">
        <v>5</v>
      </c>
      <c r="D375" s="5" t="s">
        <v>52</v>
      </c>
      <c r="E375" s="5">
        <v>1</v>
      </c>
      <c r="F375" s="5">
        <v>5</v>
      </c>
      <c r="G375" s="5" t="str">
        <f t="shared" si="26"/>
        <v>BGV016054_B</v>
      </c>
      <c r="H375" s="5" t="s">
        <v>70</v>
      </c>
      <c r="I375" s="1">
        <v>0.49513691455932962</v>
      </c>
      <c r="J375" s="3">
        <v>0.60710098810919444</v>
      </c>
      <c r="K375" s="3">
        <v>0.6389072847682119</v>
      </c>
      <c r="L375" s="3">
        <v>0.6474112766938086</v>
      </c>
      <c r="M375" s="3">
        <f t="shared" si="27"/>
        <v>0.15227436213447898</v>
      </c>
      <c r="N375" s="1">
        <v>0</v>
      </c>
      <c r="W375" s="16"/>
    </row>
    <row r="376" spans="1:23" x14ac:dyDescent="0.25">
      <c r="A376" s="5">
        <v>375</v>
      </c>
      <c r="B376" s="4" t="s">
        <v>72</v>
      </c>
      <c r="C376" s="5">
        <v>5</v>
      </c>
      <c r="D376" s="5" t="s">
        <v>54</v>
      </c>
      <c r="E376" s="5">
        <v>1</v>
      </c>
      <c r="F376" s="5">
        <v>1</v>
      </c>
      <c r="G376" s="5" t="str">
        <f t="shared" si="26"/>
        <v>BGV016054_C</v>
      </c>
      <c r="H376" s="5" t="s">
        <v>58</v>
      </c>
      <c r="I376" s="1">
        <v>8.318120604518929E-2</v>
      </c>
      <c r="J376" s="3">
        <v>0.38899984636656937</v>
      </c>
      <c r="K376" s="3">
        <v>0.86953609110701724</v>
      </c>
      <c r="L376" s="3">
        <v>0.90198675496688741</v>
      </c>
      <c r="M376" s="3">
        <f t="shared" si="27"/>
        <v>0.8188055489216981</v>
      </c>
      <c r="N376" s="1">
        <v>1</v>
      </c>
      <c r="O376" s="1">
        <v>20</v>
      </c>
      <c r="P376" s="2">
        <f>44600/59710</f>
        <v>0.74694356054262268</v>
      </c>
      <c r="Q376" s="1">
        <f>P376/L376</f>
        <v>0.82810923378807655</v>
      </c>
      <c r="R376" s="1">
        <v>0</v>
      </c>
      <c r="W376" s="16"/>
    </row>
    <row r="377" spans="1:23" x14ac:dyDescent="0.25">
      <c r="A377" s="5">
        <v>376</v>
      </c>
      <c r="B377" s="4" t="s">
        <v>72</v>
      </c>
      <c r="C377" s="5">
        <v>6</v>
      </c>
      <c r="D377" s="5" t="s">
        <v>50</v>
      </c>
      <c r="E377" s="5">
        <v>1</v>
      </c>
      <c r="F377" s="5">
        <v>3</v>
      </c>
      <c r="G377" s="5" t="str">
        <f t="shared" si="26"/>
        <v>BGV016054_A</v>
      </c>
      <c r="H377" s="5" t="s">
        <v>62</v>
      </c>
      <c r="I377" s="1">
        <v>0.24315427203351789</v>
      </c>
      <c r="J377" s="3">
        <v>0.37962820709786449</v>
      </c>
      <c r="K377" s="3">
        <v>0.4605593702897337</v>
      </c>
      <c r="L377" s="3">
        <v>0.47798013245033111</v>
      </c>
      <c r="M377" s="3">
        <f t="shared" si="27"/>
        <v>0.23482586041681322</v>
      </c>
      <c r="N377" s="1">
        <v>0</v>
      </c>
      <c r="W377" s="16"/>
    </row>
    <row r="378" spans="1:23" x14ac:dyDescent="0.25">
      <c r="A378" s="5">
        <v>377</v>
      </c>
      <c r="B378" s="4" t="s">
        <v>72</v>
      </c>
      <c r="C378" s="5">
        <v>6</v>
      </c>
      <c r="D378" s="5" t="s">
        <v>52</v>
      </c>
      <c r="E378" s="5">
        <v>1</v>
      </c>
      <c r="F378" s="5">
        <v>3</v>
      </c>
      <c r="G378" s="5" t="str">
        <f t="shared" si="26"/>
        <v>BGV016054_B</v>
      </c>
      <c r="H378" s="5" t="s">
        <v>59</v>
      </c>
      <c r="I378" s="1">
        <v>0.30659883285949424</v>
      </c>
      <c r="J378" s="3">
        <v>0.59471500998617299</v>
      </c>
      <c r="K378" s="3">
        <v>0.91140512476972035</v>
      </c>
      <c r="L378" s="3">
        <v>1.1173841059602649</v>
      </c>
      <c r="M378" s="3">
        <f t="shared" si="27"/>
        <v>0.81078527310077075</v>
      </c>
      <c r="N378" s="1">
        <v>0</v>
      </c>
      <c r="R378" s="1">
        <v>1</v>
      </c>
      <c r="S378" s="1">
        <v>17</v>
      </c>
      <c r="T378" s="1">
        <v>23</v>
      </c>
      <c r="U378" s="1">
        <v>3</v>
      </c>
      <c r="V378" s="1">
        <v>3</v>
      </c>
      <c r="W378" s="16">
        <f>V378/U378</f>
        <v>1</v>
      </c>
    </row>
    <row r="379" spans="1:23" x14ac:dyDescent="0.25">
      <c r="A379" s="5">
        <v>378</v>
      </c>
      <c r="B379" s="4" t="s">
        <v>72</v>
      </c>
      <c r="C379" s="5">
        <v>6</v>
      </c>
      <c r="D379" s="5" t="s">
        <v>54</v>
      </c>
      <c r="E379" s="5">
        <v>1</v>
      </c>
      <c r="F379" s="5">
        <v>1</v>
      </c>
      <c r="G379" s="5" t="str">
        <f t="shared" si="26"/>
        <v>BGV016054_C</v>
      </c>
      <c r="H379" s="5" t="s">
        <v>58</v>
      </c>
      <c r="I379" s="1">
        <v>9.1560676342959751E-2</v>
      </c>
      <c r="J379" s="3">
        <v>0.27377477339068984</v>
      </c>
      <c r="K379" s="3">
        <v>0.58616647127784294</v>
      </c>
      <c r="L379" s="3">
        <v>0.80976821192052983</v>
      </c>
      <c r="M379" s="3">
        <f t="shared" si="27"/>
        <v>0.71820753557757011</v>
      </c>
      <c r="N379" s="1">
        <v>0</v>
      </c>
      <c r="W379" s="16"/>
    </row>
    <row r="380" spans="1:23" x14ac:dyDescent="0.25">
      <c r="A380" s="5">
        <v>379</v>
      </c>
      <c r="B380" s="4" t="s">
        <v>72</v>
      </c>
      <c r="C380" s="5">
        <v>7</v>
      </c>
      <c r="D380" s="5" t="s">
        <v>50</v>
      </c>
      <c r="E380" s="5">
        <v>1</v>
      </c>
      <c r="F380" s="5">
        <v>6</v>
      </c>
      <c r="G380" s="5" t="str">
        <f t="shared" si="26"/>
        <v>BGV016054_A</v>
      </c>
      <c r="H380" s="5" t="s">
        <v>73</v>
      </c>
      <c r="I380" s="1">
        <v>0.76926530001496329</v>
      </c>
      <c r="J380" s="3">
        <v>0.9637425103702566</v>
      </c>
      <c r="K380" s="3">
        <v>1.2046558365432927</v>
      </c>
      <c r="L380" s="3">
        <v>1.387251655629139</v>
      </c>
      <c r="M380" s="3">
        <f t="shared" si="27"/>
        <v>0.6179863556141757</v>
      </c>
      <c r="N380" s="1">
        <v>0</v>
      </c>
      <c r="W380" s="16"/>
    </row>
    <row r="381" spans="1:23" x14ac:dyDescent="0.25">
      <c r="A381" s="5">
        <v>380</v>
      </c>
      <c r="B381" s="4" t="s">
        <v>72</v>
      </c>
      <c r="C381" s="5">
        <v>7</v>
      </c>
      <c r="D381" s="5" t="s">
        <v>52</v>
      </c>
      <c r="E381" s="5">
        <v>1</v>
      </c>
      <c r="F381" s="5">
        <v>6</v>
      </c>
      <c r="G381" s="5" t="str">
        <f t="shared" si="26"/>
        <v>BGV016054_B</v>
      </c>
      <c r="H381" s="5" t="s">
        <v>65</v>
      </c>
      <c r="I381" s="1">
        <v>0.67768966033218614</v>
      </c>
      <c r="J381" s="3">
        <v>1.1857428176371179</v>
      </c>
      <c r="K381" s="3">
        <v>1.423714620666555</v>
      </c>
      <c r="L381" s="3">
        <v>2.2417218543046356</v>
      </c>
      <c r="M381" s="3">
        <f t="shared" si="27"/>
        <v>1.5640321939724493</v>
      </c>
      <c r="N381" s="1">
        <v>0</v>
      </c>
      <c r="W381" s="16"/>
    </row>
    <row r="382" spans="1:23" x14ac:dyDescent="0.25">
      <c r="A382" s="5">
        <v>381</v>
      </c>
      <c r="B382" s="4" t="s">
        <v>72</v>
      </c>
      <c r="C382" s="5">
        <v>7</v>
      </c>
      <c r="D382" s="5" t="s">
        <v>54</v>
      </c>
      <c r="E382" s="5">
        <v>1</v>
      </c>
      <c r="F382" s="5">
        <v>5</v>
      </c>
      <c r="G382" s="5" t="str">
        <f t="shared" si="26"/>
        <v>BGV016054_C</v>
      </c>
      <c r="H382" s="5" t="s">
        <v>61</v>
      </c>
      <c r="I382" s="1">
        <v>0.55873110878348042</v>
      </c>
      <c r="J382" s="3">
        <v>1.2421262866799816</v>
      </c>
      <c r="K382" s="3">
        <v>1.7333779936359068</v>
      </c>
      <c r="L382" s="3">
        <v>1.9503311258278146</v>
      </c>
      <c r="M382" s="3">
        <f t="shared" si="27"/>
        <v>1.3916000170443343</v>
      </c>
      <c r="N382" s="1">
        <v>1</v>
      </c>
      <c r="O382" s="1">
        <v>18</v>
      </c>
      <c r="P382" s="2">
        <f>87290/60400</f>
        <v>1.4451986754966888</v>
      </c>
      <c r="Q382" s="1">
        <f>P382/L382</f>
        <v>0.74100169779286928</v>
      </c>
      <c r="R382" s="1">
        <v>1</v>
      </c>
      <c r="S382" s="1">
        <v>18</v>
      </c>
      <c r="T382" s="1">
        <v>21</v>
      </c>
      <c r="U382" s="1">
        <v>6</v>
      </c>
      <c r="V382" s="1">
        <v>5</v>
      </c>
      <c r="W382" s="16">
        <f>V382/U382</f>
        <v>0.83333333333333337</v>
      </c>
    </row>
    <row r="383" spans="1:23" x14ac:dyDescent="0.25">
      <c r="A383" s="5">
        <v>382</v>
      </c>
      <c r="B383" s="4" t="s">
        <v>72</v>
      </c>
      <c r="C383" s="5">
        <v>8</v>
      </c>
      <c r="D383" s="5" t="s">
        <v>50</v>
      </c>
      <c r="E383" s="5">
        <v>1</v>
      </c>
      <c r="F383" s="5">
        <v>6</v>
      </c>
      <c r="G383" s="5" t="str">
        <f t="shared" si="26"/>
        <v>BGV016054_A</v>
      </c>
      <c r="H383" s="5" t="s">
        <v>73</v>
      </c>
      <c r="I383" s="1">
        <v>0.93221607062696399</v>
      </c>
      <c r="J383" s="3">
        <v>1.3647257643263173</v>
      </c>
      <c r="K383" s="3">
        <v>1.7283537095963826</v>
      </c>
      <c r="L383" s="3">
        <v>1.7582781456953642</v>
      </c>
      <c r="M383" s="3">
        <f t="shared" si="27"/>
        <v>0.82606207506840024</v>
      </c>
      <c r="N383" s="1">
        <v>0</v>
      </c>
      <c r="W383" s="16"/>
    </row>
    <row r="384" spans="1:23" x14ac:dyDescent="0.25">
      <c r="A384" s="5">
        <v>383</v>
      </c>
      <c r="B384" s="4" t="s">
        <v>72</v>
      </c>
      <c r="C384" s="5">
        <v>8</v>
      </c>
      <c r="D384" s="5" t="s">
        <v>52</v>
      </c>
      <c r="E384" s="5">
        <v>1</v>
      </c>
      <c r="F384" s="5">
        <v>5</v>
      </c>
      <c r="G384" s="5" t="str">
        <f t="shared" si="26"/>
        <v>BGV016054_B</v>
      </c>
      <c r="H384" s="5" t="s">
        <v>70</v>
      </c>
      <c r="I384" s="1">
        <v>0.58027831812060449</v>
      </c>
      <c r="J384" s="3">
        <v>0.9937010293439853</v>
      </c>
      <c r="K384" s="3">
        <v>1.3347682119205297</v>
      </c>
      <c r="L384" s="3">
        <v>1.4881929325071177</v>
      </c>
      <c r="M384" s="3">
        <f t="shared" si="27"/>
        <v>0.90791461438651322</v>
      </c>
      <c r="N384" s="1">
        <v>0</v>
      </c>
      <c r="W384" s="16"/>
    </row>
    <row r="385" spans="1:23" x14ac:dyDescent="0.25">
      <c r="A385" s="5">
        <v>384</v>
      </c>
      <c r="B385" s="4" t="s">
        <v>72</v>
      </c>
      <c r="C385" s="5">
        <v>8</v>
      </c>
      <c r="D385" s="5" t="s">
        <v>54</v>
      </c>
      <c r="E385" s="5">
        <v>1</v>
      </c>
      <c r="F385" s="5">
        <v>4</v>
      </c>
      <c r="G385" s="5" t="str">
        <f t="shared" ref="G385:G433" si="31">CONCATENATE(B385,"_",D385)</f>
        <v>BGV016054_C</v>
      </c>
      <c r="H385" s="5" t="s">
        <v>60</v>
      </c>
      <c r="I385" s="1">
        <v>0.4676043692952267</v>
      </c>
      <c r="J385" s="3">
        <v>0.85097557228452914</v>
      </c>
      <c r="K385" s="3">
        <v>1.3396416010718473</v>
      </c>
      <c r="L385" s="3">
        <v>1.3880794701986754</v>
      </c>
      <c r="M385" s="3">
        <f t="shared" ref="M385:M433" si="32">L385-I385</f>
        <v>0.92047510090344864</v>
      </c>
      <c r="N385" s="1">
        <v>1</v>
      </c>
      <c r="O385" s="1">
        <v>19</v>
      </c>
      <c r="P385" s="2">
        <f>60740/60400</f>
        <v>1.0056291390728478</v>
      </c>
      <c r="Q385" s="1">
        <f>P385/L385</f>
        <v>0.7244751908396948</v>
      </c>
      <c r="R385" s="1">
        <v>1</v>
      </c>
      <c r="S385" s="1">
        <v>19</v>
      </c>
      <c r="T385" s="1">
        <v>25</v>
      </c>
      <c r="U385" s="1">
        <v>5</v>
      </c>
      <c r="V385" s="1">
        <v>4</v>
      </c>
      <c r="W385" s="16">
        <f>V385/U385</f>
        <v>0.8</v>
      </c>
    </row>
    <row r="386" spans="1:23" x14ac:dyDescent="0.25">
      <c r="A386" s="5">
        <v>385</v>
      </c>
      <c r="B386" s="4" t="s">
        <v>72</v>
      </c>
      <c r="C386" s="5">
        <v>9</v>
      </c>
      <c r="D386" s="5" t="s">
        <v>50</v>
      </c>
      <c r="E386" s="5">
        <v>1</v>
      </c>
      <c r="F386" s="5">
        <v>3</v>
      </c>
      <c r="G386" s="5" t="str">
        <f t="shared" si="31"/>
        <v>BGV016054_A</v>
      </c>
      <c r="H386" s="5" t="s">
        <v>62</v>
      </c>
      <c r="I386" s="1">
        <v>0.35882088882238516</v>
      </c>
      <c r="J386" s="3">
        <v>0.46397296051620834</v>
      </c>
      <c r="K386" s="3">
        <v>0.59122516556291393</v>
      </c>
      <c r="L386" s="3">
        <v>0.687824485010886</v>
      </c>
      <c r="M386" s="3">
        <f t="shared" si="32"/>
        <v>0.32900359618850084</v>
      </c>
      <c r="N386" s="1">
        <v>0</v>
      </c>
      <c r="W386" s="16"/>
    </row>
    <row r="387" spans="1:23" x14ac:dyDescent="0.25">
      <c r="A387" s="5">
        <v>386</v>
      </c>
      <c r="B387" s="4" t="s">
        <v>72</v>
      </c>
      <c r="C387" s="5">
        <v>9</v>
      </c>
      <c r="D387" s="5" t="s">
        <v>52</v>
      </c>
      <c r="E387" s="5">
        <v>1</v>
      </c>
      <c r="F387" s="5">
        <v>4</v>
      </c>
      <c r="G387" s="5" t="str">
        <f t="shared" si="31"/>
        <v>BGV016054_B</v>
      </c>
      <c r="H387" s="5" t="s">
        <v>53</v>
      </c>
      <c r="I387" s="1">
        <v>0.36181355678587462</v>
      </c>
      <c r="J387" s="3">
        <v>0.68259333230911046</v>
      </c>
      <c r="K387" s="3">
        <v>1.3939038686987104</v>
      </c>
      <c r="L387" s="3">
        <v>1.5314569536423841</v>
      </c>
      <c r="M387" s="3">
        <f t="shared" si="32"/>
        <v>1.1696433968565094</v>
      </c>
      <c r="N387" s="1">
        <v>1</v>
      </c>
      <c r="O387" s="1">
        <v>17</v>
      </c>
      <c r="P387" s="2">
        <f>46170/60400</f>
        <v>0.76440397350993372</v>
      </c>
      <c r="Q387" s="1">
        <f>P387/L387</f>
        <v>0.49913513513513508</v>
      </c>
      <c r="R387" s="1">
        <v>0</v>
      </c>
      <c r="W387" s="16"/>
    </row>
    <row r="388" spans="1:23" x14ac:dyDescent="0.25">
      <c r="A388" s="5">
        <v>387</v>
      </c>
      <c r="B388" s="4" t="s">
        <v>72</v>
      </c>
      <c r="C388" s="5">
        <v>9</v>
      </c>
      <c r="D388" s="5" t="s">
        <v>54</v>
      </c>
      <c r="E388" s="5">
        <v>1</v>
      </c>
      <c r="F388" s="5">
        <v>4</v>
      </c>
      <c r="G388" s="5" t="str">
        <f t="shared" si="31"/>
        <v>BGV016054_C</v>
      </c>
      <c r="H388" s="5" t="s">
        <v>60</v>
      </c>
      <c r="I388" s="1">
        <v>0.46640730210983089</v>
      </c>
      <c r="J388" s="3">
        <v>0.77457712276000668</v>
      </c>
      <c r="K388" s="3">
        <v>0.82102649006622519</v>
      </c>
      <c r="L388" s="3">
        <v>1.4472269165770473</v>
      </c>
      <c r="M388" s="3">
        <f t="shared" si="32"/>
        <v>0.98081961446721633</v>
      </c>
      <c r="N388" s="1">
        <v>0</v>
      </c>
      <c r="W388" s="16"/>
    </row>
    <row r="389" spans="1:23" x14ac:dyDescent="0.25">
      <c r="A389" s="5">
        <v>388</v>
      </c>
      <c r="B389" s="4" t="s">
        <v>72</v>
      </c>
      <c r="C389" s="5">
        <v>10</v>
      </c>
      <c r="D389" s="5" t="s">
        <v>50</v>
      </c>
      <c r="E389" s="5">
        <v>1</v>
      </c>
      <c r="F389" s="5">
        <v>3</v>
      </c>
      <c r="G389" s="5" t="str">
        <f t="shared" si="31"/>
        <v>BGV016054_A</v>
      </c>
      <c r="H389" s="5" t="s">
        <v>62</v>
      </c>
      <c r="I389" s="1">
        <v>0.30704773305401767</v>
      </c>
      <c r="J389" s="3">
        <v>0.54354304635761586</v>
      </c>
      <c r="K389" s="3">
        <v>0.59755484843409812</v>
      </c>
      <c r="L389" s="3">
        <v>0.61852819173452145</v>
      </c>
      <c r="M389" s="3">
        <f t="shared" si="32"/>
        <v>0.31148045868050378</v>
      </c>
      <c r="N389" s="1">
        <v>0</v>
      </c>
      <c r="W389" s="16"/>
    </row>
    <row r="390" spans="1:23" x14ac:dyDescent="0.25">
      <c r="A390" s="5">
        <v>389</v>
      </c>
      <c r="B390" s="4" t="s">
        <v>72</v>
      </c>
      <c r="C390" s="5">
        <v>10</v>
      </c>
      <c r="D390" s="5" t="s">
        <v>52</v>
      </c>
      <c r="E390" s="5">
        <v>1</v>
      </c>
      <c r="F390" s="5">
        <v>3</v>
      </c>
      <c r="G390" s="5" t="str">
        <f t="shared" si="31"/>
        <v>BGV016054_B</v>
      </c>
      <c r="H390" s="5" t="s">
        <v>59</v>
      </c>
      <c r="I390" s="1">
        <v>0.31878936856660012</v>
      </c>
      <c r="J390" s="3">
        <v>0.68262756247194378</v>
      </c>
      <c r="K390" s="3">
        <v>1.0026796181544131</v>
      </c>
      <c r="L390" s="3">
        <v>1.2357615894039735</v>
      </c>
      <c r="M390" s="3">
        <f t="shared" si="32"/>
        <v>0.9169722208373734</v>
      </c>
      <c r="N390" s="1">
        <v>0</v>
      </c>
      <c r="W390" s="16"/>
    </row>
    <row r="391" spans="1:23" x14ac:dyDescent="0.25">
      <c r="A391" s="5">
        <v>390</v>
      </c>
      <c r="B391" s="4" t="s">
        <v>72</v>
      </c>
      <c r="C391" s="5">
        <v>10</v>
      </c>
      <c r="D391" s="5" t="s">
        <v>54</v>
      </c>
      <c r="E391" s="5">
        <v>1</v>
      </c>
      <c r="F391" s="5">
        <v>4</v>
      </c>
      <c r="G391" s="5" t="str">
        <f t="shared" si="31"/>
        <v>BGV016054_C</v>
      </c>
      <c r="H391" s="5" t="s">
        <v>60</v>
      </c>
      <c r="I391" s="1">
        <v>0.37034266048181952</v>
      </c>
      <c r="J391" s="3">
        <v>1.2617913658011983</v>
      </c>
      <c r="K391" s="3">
        <v>1.5285546809579635</v>
      </c>
      <c r="L391" s="3">
        <v>1.6097682119205299</v>
      </c>
      <c r="M391" s="3">
        <f t="shared" si="32"/>
        <v>1.2394255514387105</v>
      </c>
      <c r="N391" s="1">
        <v>1</v>
      </c>
      <c r="O391" s="1">
        <v>18</v>
      </c>
      <c r="P391" s="2">
        <f>27900/59710</f>
        <v>0.4672584156757662</v>
      </c>
      <c r="Q391" s="1">
        <f>P391/L391</f>
        <v>0.29026440714611002</v>
      </c>
      <c r="R391" s="1">
        <v>0</v>
      </c>
      <c r="W391" s="16"/>
    </row>
    <row r="392" spans="1:23" x14ac:dyDescent="0.25">
      <c r="A392" s="5">
        <v>391</v>
      </c>
      <c r="B392" s="4" t="s">
        <v>72</v>
      </c>
      <c r="C392" s="5">
        <v>11</v>
      </c>
      <c r="D392" s="5" t="s">
        <v>50</v>
      </c>
      <c r="E392" s="5">
        <v>1</v>
      </c>
      <c r="F392" s="5">
        <v>4</v>
      </c>
      <c r="G392" s="5" t="str">
        <f t="shared" si="31"/>
        <v>BGV016054_A</v>
      </c>
      <c r="H392" s="5" t="s">
        <v>64</v>
      </c>
      <c r="I392" s="1">
        <v>0.41224001197067184</v>
      </c>
      <c r="J392" s="3">
        <v>0.55354125057612535</v>
      </c>
      <c r="K392" s="3">
        <v>0.71208609271523182</v>
      </c>
      <c r="L392" s="3">
        <v>0.78378831016580142</v>
      </c>
      <c r="M392" s="3">
        <f t="shared" si="32"/>
        <v>0.37154829819512958</v>
      </c>
      <c r="N392" s="1">
        <v>0</v>
      </c>
      <c r="W392" s="16"/>
    </row>
    <row r="393" spans="1:23" x14ac:dyDescent="0.25">
      <c r="A393" s="5">
        <v>392</v>
      </c>
      <c r="B393" s="4" t="s">
        <v>72</v>
      </c>
      <c r="C393" s="5">
        <v>11</v>
      </c>
      <c r="D393" s="5" t="s">
        <v>52</v>
      </c>
      <c r="E393" s="5">
        <v>1</v>
      </c>
      <c r="F393" s="5">
        <v>6</v>
      </c>
      <c r="G393" s="5" t="str">
        <f t="shared" si="31"/>
        <v>BGV016054_B</v>
      </c>
      <c r="H393" s="5" t="s">
        <v>65</v>
      </c>
      <c r="I393" s="1">
        <v>0.63220110728714651</v>
      </c>
      <c r="J393" s="3">
        <v>0.66615455523121836</v>
      </c>
      <c r="K393" s="3">
        <v>0.98693686149723669</v>
      </c>
      <c r="L393" s="3">
        <v>1.0846026490066225</v>
      </c>
      <c r="M393" s="3">
        <f t="shared" si="32"/>
        <v>0.452401541719476</v>
      </c>
      <c r="N393" s="1">
        <v>1</v>
      </c>
      <c r="O393" s="1">
        <v>17</v>
      </c>
      <c r="P393" s="2">
        <f>44130/59710</f>
        <v>0.73907218221403448</v>
      </c>
      <c r="Q393" s="1">
        <f>P393/L393</f>
        <v>0.68142207000042254</v>
      </c>
      <c r="R393" s="1">
        <v>0</v>
      </c>
      <c r="W393" s="16"/>
    </row>
    <row r="394" spans="1:23" x14ac:dyDescent="0.25">
      <c r="A394" s="5">
        <v>393</v>
      </c>
      <c r="B394" s="4" t="s">
        <v>72</v>
      </c>
      <c r="C394" s="5">
        <v>11</v>
      </c>
      <c r="D394" s="5" t="s">
        <v>54</v>
      </c>
      <c r="E394" s="5">
        <v>1</v>
      </c>
      <c r="F394" s="5">
        <v>5</v>
      </c>
      <c r="G394" s="5" t="str">
        <f t="shared" si="31"/>
        <v>BGV016054_C</v>
      </c>
      <c r="H394" s="5" t="s">
        <v>61</v>
      </c>
      <c r="I394" s="1">
        <v>0.53224599730659883</v>
      </c>
      <c r="J394" s="3">
        <v>1.0198187125518512</v>
      </c>
      <c r="K394" s="3">
        <v>1.6496399263105008</v>
      </c>
      <c r="L394" s="3">
        <v>1.7466887417218544</v>
      </c>
      <c r="M394" s="3">
        <f t="shared" si="32"/>
        <v>1.2144427444152557</v>
      </c>
      <c r="N394" s="1">
        <v>1</v>
      </c>
      <c r="O394" s="1">
        <v>18</v>
      </c>
      <c r="P394" s="2">
        <f>78020/60400</f>
        <v>1.2917218543046358</v>
      </c>
      <c r="Q394" s="1">
        <f>P394/L394</f>
        <v>0.73952606635071094</v>
      </c>
      <c r="R394" s="1">
        <v>1</v>
      </c>
      <c r="S394" s="1">
        <v>18</v>
      </c>
      <c r="T394" s="1">
        <v>23</v>
      </c>
      <c r="U394" s="1">
        <v>12</v>
      </c>
      <c r="V394" s="1">
        <v>10</v>
      </c>
      <c r="W394" s="16">
        <f>V394/U394</f>
        <v>0.83333333333333337</v>
      </c>
    </row>
    <row r="395" spans="1:23" x14ac:dyDescent="0.25">
      <c r="A395" s="5">
        <v>394</v>
      </c>
      <c r="B395" s="4" t="s">
        <v>72</v>
      </c>
      <c r="C395" s="5">
        <v>12</v>
      </c>
      <c r="D395" s="5" t="s">
        <v>50</v>
      </c>
      <c r="E395" s="5">
        <v>1</v>
      </c>
      <c r="F395" s="5">
        <v>4</v>
      </c>
      <c r="G395" s="5" t="str">
        <f t="shared" si="31"/>
        <v>BGV016054_A</v>
      </c>
      <c r="H395" s="5" t="s">
        <v>64</v>
      </c>
      <c r="I395" s="1">
        <v>0.45720984759671746</v>
      </c>
      <c r="J395" s="3">
        <v>0.47493640580577584</v>
      </c>
      <c r="K395" s="3">
        <v>0.62605622983561227</v>
      </c>
      <c r="L395" s="3">
        <v>1.6788079470198676</v>
      </c>
      <c r="M395" s="3">
        <f t="shared" si="32"/>
        <v>1.2215980994231501</v>
      </c>
      <c r="N395" s="1">
        <v>0</v>
      </c>
      <c r="W395" s="16"/>
    </row>
    <row r="396" spans="1:23" x14ac:dyDescent="0.25">
      <c r="A396" s="5">
        <v>395</v>
      </c>
      <c r="B396" s="4" t="s">
        <v>72</v>
      </c>
      <c r="C396" s="5">
        <v>12</v>
      </c>
      <c r="D396" s="5" t="s">
        <v>52</v>
      </c>
      <c r="E396" s="5">
        <v>1</v>
      </c>
      <c r="F396" s="5">
        <v>4</v>
      </c>
      <c r="G396" s="5" t="str">
        <f t="shared" si="31"/>
        <v>BGV016054_B</v>
      </c>
      <c r="H396" s="5" t="s">
        <v>53</v>
      </c>
      <c r="I396" s="1">
        <v>0.43573245548406403</v>
      </c>
      <c r="J396" s="3">
        <v>1.1093870026117683</v>
      </c>
      <c r="K396" s="3">
        <v>1.6199966504773069</v>
      </c>
      <c r="L396" s="3">
        <v>1.9503311258278146</v>
      </c>
      <c r="M396" s="3">
        <f t="shared" si="32"/>
        <v>1.5145986703437506</v>
      </c>
      <c r="N396" s="1">
        <v>1</v>
      </c>
      <c r="O396" s="1">
        <v>19</v>
      </c>
      <c r="P396" s="2">
        <f>68020/59710</f>
        <v>1.1391726678948251</v>
      </c>
      <c r="Q396" s="1">
        <f>P396/L396</f>
        <v>0.58409192819055544</v>
      </c>
      <c r="R396" s="1">
        <v>0</v>
      </c>
      <c r="W396" s="16"/>
    </row>
    <row r="397" spans="1:23" x14ac:dyDescent="0.25">
      <c r="A397" s="5">
        <v>396</v>
      </c>
      <c r="B397" s="4" t="s">
        <v>72</v>
      </c>
      <c r="C397" s="5">
        <v>12</v>
      </c>
      <c r="D397" s="5" t="s">
        <v>54</v>
      </c>
      <c r="E397" s="5">
        <v>1</v>
      </c>
      <c r="F397" s="5">
        <v>6</v>
      </c>
      <c r="G397" s="5" t="str">
        <f t="shared" si="31"/>
        <v>BGV016054_C</v>
      </c>
      <c r="H397" s="5" t="s">
        <v>66</v>
      </c>
      <c r="I397" s="1">
        <v>0.63220110728714651</v>
      </c>
      <c r="J397" s="3">
        <v>0.74542940543862346</v>
      </c>
      <c r="K397" s="3">
        <v>1.2919109026963658</v>
      </c>
      <c r="L397" s="3">
        <v>1.695364238410596</v>
      </c>
      <c r="M397" s="3">
        <f t="shared" si="32"/>
        <v>1.0631631311234495</v>
      </c>
      <c r="N397" s="1">
        <v>1</v>
      </c>
      <c r="O397" s="1">
        <v>20</v>
      </c>
      <c r="P397" s="2">
        <f>68280/60400</f>
        <v>1.1304635761589403</v>
      </c>
      <c r="Q397" s="1">
        <f>P397/L397</f>
        <v>0.66679687499999996</v>
      </c>
      <c r="R397" s="1">
        <v>0</v>
      </c>
      <c r="W397" s="16"/>
    </row>
    <row r="398" spans="1:23" s="15" customFormat="1" x14ac:dyDescent="0.25">
      <c r="A398" s="19">
        <v>397</v>
      </c>
      <c r="B398" s="19" t="s">
        <v>72</v>
      </c>
      <c r="C398" s="20">
        <v>1</v>
      </c>
      <c r="D398" s="20" t="s">
        <v>50</v>
      </c>
      <c r="E398" s="20">
        <v>2</v>
      </c>
      <c r="F398" s="20">
        <v>4</v>
      </c>
      <c r="G398" s="20" t="str">
        <f t="shared" si="31"/>
        <v>BGV016054_A</v>
      </c>
      <c r="H398" s="20" t="s">
        <v>64</v>
      </c>
      <c r="I398" s="7">
        <v>0.39273153575615477</v>
      </c>
      <c r="J398" s="21">
        <v>0.41937086092715231</v>
      </c>
      <c r="K398" s="21">
        <v>0.47523567260212479</v>
      </c>
      <c r="L398" s="21">
        <v>0.64341680749731145</v>
      </c>
      <c r="M398" s="21">
        <f t="shared" si="32"/>
        <v>0.25068527174115668</v>
      </c>
      <c r="N398" s="7">
        <v>0</v>
      </c>
      <c r="O398" s="7"/>
      <c r="P398" s="7"/>
      <c r="Q398" s="7"/>
      <c r="R398" s="7"/>
      <c r="S398" s="7"/>
      <c r="T398" s="7"/>
      <c r="U398" s="7"/>
      <c r="V398" s="7"/>
      <c r="W398" s="22"/>
    </row>
    <row r="399" spans="1:23" x14ac:dyDescent="0.25">
      <c r="A399" s="4">
        <v>398</v>
      </c>
      <c r="B399" s="4" t="s">
        <v>72</v>
      </c>
      <c r="C399" s="5">
        <v>1</v>
      </c>
      <c r="D399" s="5" t="s">
        <v>52</v>
      </c>
      <c r="E399" s="5">
        <v>2</v>
      </c>
      <c r="F399" s="5">
        <v>6</v>
      </c>
      <c r="G399" s="5" t="str">
        <f t="shared" si="31"/>
        <v>BGV016054_B</v>
      </c>
      <c r="H399" s="5" t="s">
        <v>65</v>
      </c>
      <c r="I399" s="1">
        <v>0.63327700107543405</v>
      </c>
      <c r="J399" s="3">
        <v>0.63833607661229985</v>
      </c>
      <c r="K399" s="3">
        <v>0.79155629139072847</v>
      </c>
      <c r="L399" s="3">
        <v>0.85798023781611121</v>
      </c>
      <c r="M399" s="3">
        <f t="shared" si="32"/>
        <v>0.22470323674067716</v>
      </c>
      <c r="N399" s="1">
        <v>0</v>
      </c>
      <c r="W399" s="16"/>
    </row>
    <row r="400" spans="1:23" x14ac:dyDescent="0.25">
      <c r="A400" s="4">
        <v>399</v>
      </c>
      <c r="B400" s="4" t="s">
        <v>72</v>
      </c>
      <c r="C400" s="5">
        <v>1</v>
      </c>
      <c r="D400" s="5" t="s">
        <v>54</v>
      </c>
      <c r="E400" s="5">
        <v>2</v>
      </c>
      <c r="F400" s="5">
        <v>6</v>
      </c>
      <c r="G400" s="5" t="str">
        <f t="shared" si="31"/>
        <v>BGV016054_C</v>
      </c>
      <c r="H400" s="5" t="s">
        <v>66</v>
      </c>
      <c r="I400" s="1">
        <v>0.61768666766422264</v>
      </c>
      <c r="J400" s="3">
        <v>0.79674297127054849</v>
      </c>
      <c r="K400" s="3">
        <v>1.1468765700887624</v>
      </c>
      <c r="L400" s="3">
        <v>1.1468765700887624</v>
      </c>
      <c r="M400" s="3">
        <f t="shared" si="32"/>
        <v>0.52918990242453978</v>
      </c>
      <c r="N400" s="1">
        <v>1</v>
      </c>
      <c r="O400" s="1">
        <v>21</v>
      </c>
      <c r="P400" s="2">
        <f>43080/60400</f>
        <v>0.7132450331125828</v>
      </c>
      <c r="Q400" s="1">
        <f>P400/L400</f>
        <v>0.62190217475397658</v>
      </c>
      <c r="R400" s="1">
        <v>1</v>
      </c>
      <c r="S400" s="1">
        <v>19</v>
      </c>
      <c r="T400" s="1">
        <v>23</v>
      </c>
      <c r="U400" s="1">
        <v>6</v>
      </c>
      <c r="V400" s="1">
        <v>5</v>
      </c>
      <c r="W400" s="16">
        <f>V400/U400</f>
        <v>0.83333333333333337</v>
      </c>
    </row>
    <row r="401" spans="1:23" x14ac:dyDescent="0.25">
      <c r="A401" s="4">
        <v>400</v>
      </c>
      <c r="B401" s="4" t="s">
        <v>72</v>
      </c>
      <c r="C401" s="5">
        <v>2</v>
      </c>
      <c r="D401" s="5" t="s">
        <v>50</v>
      </c>
      <c r="E401" s="5">
        <v>2</v>
      </c>
      <c r="F401" s="5">
        <v>5</v>
      </c>
      <c r="G401" s="5" t="str">
        <f t="shared" si="31"/>
        <v>BGV016054_A</v>
      </c>
      <c r="H401" s="5" t="s">
        <v>69</v>
      </c>
      <c r="I401" s="1">
        <v>0.54705970372587165</v>
      </c>
      <c r="J401" s="3">
        <v>0.79720387156245198</v>
      </c>
      <c r="K401" s="3">
        <v>0.94724501758499413</v>
      </c>
      <c r="L401" s="3">
        <v>0.95877483443708611</v>
      </c>
      <c r="M401" s="3">
        <f t="shared" si="32"/>
        <v>0.41171513071121446</v>
      </c>
      <c r="N401" s="1">
        <v>0</v>
      </c>
      <c r="W401" s="16"/>
    </row>
    <row r="402" spans="1:23" x14ac:dyDescent="0.25">
      <c r="A402" s="4">
        <v>401</v>
      </c>
      <c r="B402" s="4" t="s">
        <v>72</v>
      </c>
      <c r="C402" s="5">
        <v>2</v>
      </c>
      <c r="D402" s="5" t="s">
        <v>52</v>
      </c>
      <c r="E402" s="5">
        <v>2</v>
      </c>
      <c r="F402" s="5">
        <v>2</v>
      </c>
      <c r="G402" s="5" t="str">
        <f t="shared" si="31"/>
        <v>BGV016054_B</v>
      </c>
      <c r="H402" s="5" t="s">
        <v>57</v>
      </c>
      <c r="I402" s="1">
        <v>0.17447254227143499</v>
      </c>
      <c r="J402" s="3">
        <v>0.31753475129794007</v>
      </c>
      <c r="K402" s="3">
        <v>0.32947019867549671</v>
      </c>
      <c r="L402" s="3">
        <v>0.89291749884774929</v>
      </c>
      <c r="M402" s="3">
        <f t="shared" si="32"/>
        <v>0.71844495657631424</v>
      </c>
      <c r="N402" s="1">
        <v>0</v>
      </c>
      <c r="W402" s="16"/>
    </row>
    <row r="403" spans="1:23" x14ac:dyDescent="0.25">
      <c r="A403" s="4">
        <v>402</v>
      </c>
      <c r="B403" s="4" t="s">
        <v>72</v>
      </c>
      <c r="C403" s="5">
        <v>2</v>
      </c>
      <c r="D403" s="5" t="s">
        <v>54</v>
      </c>
      <c r="E403" s="5">
        <v>2</v>
      </c>
      <c r="F403" s="5">
        <v>2</v>
      </c>
      <c r="G403" s="5" t="str">
        <f t="shared" si="31"/>
        <v>BGV016054_C</v>
      </c>
      <c r="H403" s="5" t="s">
        <v>63</v>
      </c>
      <c r="I403" s="1">
        <v>0.23956307047733055</v>
      </c>
      <c r="J403" s="3">
        <v>0.27853740974035951</v>
      </c>
      <c r="K403" s="3">
        <v>1.3607615894039735</v>
      </c>
      <c r="L403" s="3">
        <v>1.4327583319376989</v>
      </c>
      <c r="M403" s="3">
        <f t="shared" si="32"/>
        <v>1.1931952614603683</v>
      </c>
      <c r="N403" s="1">
        <v>1</v>
      </c>
      <c r="O403" s="1">
        <v>16</v>
      </c>
      <c r="P403" s="2">
        <f>60050/60400</f>
        <v>0.99420529801324509</v>
      </c>
      <c r="Q403" s="1">
        <f>P403/L403</f>
        <v>0.69390997480269856</v>
      </c>
      <c r="R403" s="1">
        <v>1</v>
      </c>
      <c r="S403" s="1">
        <v>18</v>
      </c>
      <c r="T403" s="1">
        <v>22</v>
      </c>
      <c r="U403" s="1">
        <v>3</v>
      </c>
      <c r="V403" s="1">
        <v>3</v>
      </c>
      <c r="W403" s="16">
        <f>V403/U403</f>
        <v>1</v>
      </c>
    </row>
    <row r="404" spans="1:23" x14ac:dyDescent="0.25">
      <c r="A404" s="4">
        <v>403</v>
      </c>
      <c r="B404" s="4" t="s">
        <v>72</v>
      </c>
      <c r="C404" s="5">
        <v>3</v>
      </c>
      <c r="D404" s="5" t="s">
        <v>50</v>
      </c>
      <c r="E404" s="5">
        <v>2</v>
      </c>
      <c r="F404" s="5">
        <v>2</v>
      </c>
      <c r="G404" s="5" t="str">
        <f t="shared" si="31"/>
        <v>BGV016054_A</v>
      </c>
      <c r="H404" s="5" t="s">
        <v>56</v>
      </c>
      <c r="I404" s="1">
        <v>0.13610653897950023</v>
      </c>
      <c r="J404" s="3">
        <v>0.49900138270087568</v>
      </c>
      <c r="K404" s="3">
        <v>1.2178864511807068</v>
      </c>
      <c r="L404" s="3">
        <v>1.935430463576159</v>
      </c>
      <c r="M404" s="3">
        <f t="shared" si="32"/>
        <v>1.7993239245966588</v>
      </c>
      <c r="N404" s="1">
        <v>1</v>
      </c>
      <c r="O404" s="1">
        <v>19</v>
      </c>
      <c r="P404" s="2">
        <f>23410/60400</f>
        <v>0.38758278145695363</v>
      </c>
      <c r="Q404" s="1">
        <f>P404/L404</f>
        <v>0.20025662959794696</v>
      </c>
      <c r="R404" s="1">
        <v>1</v>
      </c>
      <c r="S404" s="1">
        <v>15</v>
      </c>
      <c r="T404" s="1">
        <v>23</v>
      </c>
      <c r="U404" s="1">
        <v>2</v>
      </c>
      <c r="V404" s="1">
        <v>2</v>
      </c>
      <c r="W404" s="16">
        <f>V404/U404</f>
        <v>1</v>
      </c>
    </row>
    <row r="405" spans="1:23" x14ac:dyDescent="0.25">
      <c r="A405" s="4">
        <v>404</v>
      </c>
      <c r="B405" s="4" t="s">
        <v>72</v>
      </c>
      <c r="C405" s="5">
        <v>3</v>
      </c>
      <c r="D405" s="5" t="s">
        <v>52</v>
      </c>
      <c r="E405" s="5">
        <v>2</v>
      </c>
      <c r="F405" s="5">
        <v>4</v>
      </c>
      <c r="G405" s="5" t="str">
        <f t="shared" si="31"/>
        <v>BGV016054_B</v>
      </c>
      <c r="H405" s="5" t="s">
        <v>53</v>
      </c>
      <c r="I405" s="1">
        <v>0.40236420769115666</v>
      </c>
      <c r="J405" s="3">
        <v>0.74610617986936867</v>
      </c>
      <c r="K405" s="3">
        <v>0.96282070978644951</v>
      </c>
      <c r="L405" s="3">
        <v>1.3442052980132451</v>
      </c>
      <c r="M405" s="3">
        <f t="shared" si="32"/>
        <v>0.9418410903220884</v>
      </c>
      <c r="N405" s="1">
        <v>0</v>
      </c>
      <c r="W405" s="16"/>
    </row>
    <row r="406" spans="1:23" x14ac:dyDescent="0.25">
      <c r="A406" s="4">
        <v>405</v>
      </c>
      <c r="B406" s="4" t="s">
        <v>72</v>
      </c>
      <c r="C406" s="5">
        <v>3</v>
      </c>
      <c r="D406" s="5" t="s">
        <v>54</v>
      </c>
      <c r="E406" s="5">
        <v>2</v>
      </c>
      <c r="F406" s="5">
        <v>5</v>
      </c>
      <c r="G406" s="5" t="str">
        <f t="shared" si="31"/>
        <v>BGV016054_C</v>
      </c>
      <c r="H406" s="5" t="s">
        <v>61</v>
      </c>
      <c r="I406" s="1">
        <v>0.54421666916055667</v>
      </c>
      <c r="J406" s="3">
        <v>0.64679674297127054</v>
      </c>
      <c r="K406" s="3">
        <v>1.0890973036342322</v>
      </c>
      <c r="L406" s="3">
        <v>1.421523178807947</v>
      </c>
      <c r="M406" s="3">
        <f t="shared" si="32"/>
        <v>0.87730650964739032</v>
      </c>
      <c r="N406" s="1">
        <v>0</v>
      </c>
      <c r="W406" s="16"/>
    </row>
    <row r="407" spans="1:23" x14ac:dyDescent="0.25">
      <c r="A407" s="4">
        <v>406</v>
      </c>
      <c r="B407" s="4" t="s">
        <v>72</v>
      </c>
      <c r="C407" s="5">
        <v>4</v>
      </c>
      <c r="D407" s="5" t="s">
        <v>50</v>
      </c>
      <c r="E407" s="5">
        <v>2</v>
      </c>
      <c r="F407" s="5">
        <v>4</v>
      </c>
      <c r="G407" s="5" t="str">
        <f t="shared" si="31"/>
        <v>BGV016054_A</v>
      </c>
      <c r="H407" s="5" t="s">
        <v>64</v>
      </c>
      <c r="I407" s="1">
        <v>0.41448451294328892</v>
      </c>
      <c r="J407" s="3">
        <v>0.65309571362728525</v>
      </c>
      <c r="K407" s="3">
        <v>0.52715231788079475</v>
      </c>
      <c r="L407" s="3">
        <v>0.91592698040529219</v>
      </c>
      <c r="M407" s="3">
        <f t="shared" si="32"/>
        <v>0.50144246746200327</v>
      </c>
      <c r="N407" s="1">
        <v>0</v>
      </c>
      <c r="W407" s="16"/>
    </row>
    <row r="408" spans="1:23" x14ac:dyDescent="0.25">
      <c r="A408" s="4">
        <v>407</v>
      </c>
      <c r="B408" s="4" t="s">
        <v>72</v>
      </c>
      <c r="C408" s="5">
        <v>4</v>
      </c>
      <c r="D408" s="5" t="s">
        <v>52</v>
      </c>
      <c r="E408" s="5">
        <v>2</v>
      </c>
      <c r="F408" s="5">
        <v>2</v>
      </c>
      <c r="G408" s="5" t="str">
        <f t="shared" si="31"/>
        <v>BGV016054_B</v>
      </c>
      <c r="H408" s="5" t="s">
        <v>57</v>
      </c>
      <c r="I408" s="1">
        <v>0.21951219512195122</v>
      </c>
      <c r="J408" s="3">
        <v>0.30061966169820803</v>
      </c>
      <c r="K408" s="3">
        <v>0.84483023505914889</v>
      </c>
      <c r="L408" s="3">
        <v>1.1269867549668875</v>
      </c>
      <c r="M408" s="3">
        <f t="shared" si="32"/>
        <v>0.9074745598449363</v>
      </c>
      <c r="N408" s="1">
        <v>0</v>
      </c>
      <c r="W408" s="16"/>
    </row>
    <row r="409" spans="1:23" x14ac:dyDescent="0.25">
      <c r="A409" s="4">
        <v>408</v>
      </c>
      <c r="B409" s="4" t="s">
        <v>72</v>
      </c>
      <c r="C409" s="5">
        <v>4</v>
      </c>
      <c r="D409" s="5" t="s">
        <v>54</v>
      </c>
      <c r="E409" s="5">
        <v>2</v>
      </c>
      <c r="F409" s="5">
        <v>2</v>
      </c>
      <c r="G409" s="5" t="str">
        <f t="shared" si="31"/>
        <v>BGV016054_C</v>
      </c>
      <c r="H409" s="5" t="s">
        <v>63</v>
      </c>
      <c r="I409" s="1">
        <v>0.15636690109232382</v>
      </c>
      <c r="J409" s="3">
        <v>0.30496235980949454</v>
      </c>
      <c r="K409" s="2">
        <f>77590/59710</f>
        <v>1.2994473287556523</v>
      </c>
      <c r="L409" s="3">
        <v>1.5387417218543047</v>
      </c>
      <c r="M409" s="3">
        <f t="shared" si="32"/>
        <v>1.3823748207619808</v>
      </c>
      <c r="N409" s="1">
        <v>1</v>
      </c>
      <c r="O409" s="1">
        <v>19</v>
      </c>
      <c r="P409" s="2">
        <f>11640/60400</f>
        <v>0.19271523178807948</v>
      </c>
      <c r="Q409" s="1">
        <f>P409/L409</f>
        <v>0.12524209167204647</v>
      </c>
      <c r="R409" s="1">
        <v>1</v>
      </c>
      <c r="S409" s="1">
        <v>19</v>
      </c>
      <c r="T409" s="1">
        <v>25</v>
      </c>
      <c r="U409" s="1">
        <v>9</v>
      </c>
      <c r="V409" s="1">
        <v>8</v>
      </c>
      <c r="W409" s="16">
        <f>V409/U409</f>
        <v>0.88888888888888884</v>
      </c>
    </row>
    <row r="410" spans="1:23" x14ac:dyDescent="0.25">
      <c r="A410" s="4">
        <v>409</v>
      </c>
      <c r="B410" s="4" t="s">
        <v>72</v>
      </c>
      <c r="C410" s="5">
        <v>5</v>
      </c>
      <c r="D410" s="5" t="s">
        <v>50</v>
      </c>
      <c r="E410" s="5">
        <v>2</v>
      </c>
      <c r="F410" s="5">
        <v>4</v>
      </c>
      <c r="G410" s="5" t="str">
        <f t="shared" si="31"/>
        <v>BGV016054_A</v>
      </c>
      <c r="H410" s="5" t="s">
        <v>64</v>
      </c>
      <c r="I410" s="1">
        <v>0.39130434782608697</v>
      </c>
      <c r="J410" s="3">
        <v>0.41238964536884631</v>
      </c>
      <c r="K410" s="3">
        <v>1.0554346005694188</v>
      </c>
      <c r="L410" s="3">
        <v>1.2534768211920531</v>
      </c>
      <c r="M410" s="3">
        <f t="shared" si="32"/>
        <v>0.86217247336596614</v>
      </c>
      <c r="N410" s="1">
        <v>1</v>
      </c>
      <c r="O410" s="1">
        <v>18</v>
      </c>
      <c r="P410" s="2">
        <f>22100/60400</f>
        <v>0.36589403973509932</v>
      </c>
      <c r="Q410" s="1">
        <f>P410/L410</f>
        <v>0.29190331528199703</v>
      </c>
      <c r="R410" s="1">
        <v>1</v>
      </c>
      <c r="S410" s="1">
        <v>17</v>
      </c>
      <c r="T410" s="1">
        <v>23</v>
      </c>
      <c r="U410" s="1">
        <v>8</v>
      </c>
      <c r="V410" s="1">
        <v>6</v>
      </c>
      <c r="W410" s="16">
        <f>V410/U410</f>
        <v>0.75</v>
      </c>
    </row>
    <row r="411" spans="1:23" x14ac:dyDescent="0.25">
      <c r="A411" s="4">
        <v>410</v>
      </c>
      <c r="B411" s="4" t="s">
        <v>72</v>
      </c>
      <c r="C411" s="5">
        <v>5</v>
      </c>
      <c r="D411" s="5" t="s">
        <v>52</v>
      </c>
      <c r="E411" s="5">
        <v>2</v>
      </c>
      <c r="F411" s="5">
        <v>3</v>
      </c>
      <c r="G411" s="5" t="str">
        <f t="shared" si="31"/>
        <v>BGV016054_B</v>
      </c>
      <c r="H411" s="5" t="s">
        <v>59</v>
      </c>
      <c r="I411" s="1">
        <v>0.28535089031871913</v>
      </c>
      <c r="J411" s="3">
        <v>0.64725764326317403</v>
      </c>
      <c r="K411" s="3">
        <v>0.94071344833361248</v>
      </c>
      <c r="L411" s="3">
        <v>0.99403973509933774</v>
      </c>
      <c r="M411" s="3">
        <f t="shared" si="32"/>
        <v>0.70868884478061855</v>
      </c>
      <c r="N411" s="1">
        <v>0</v>
      </c>
      <c r="W411" s="16"/>
    </row>
    <row r="412" spans="1:23" x14ac:dyDescent="0.25">
      <c r="A412" s="4">
        <v>411</v>
      </c>
      <c r="B412" s="4" t="s">
        <v>72</v>
      </c>
      <c r="C412" s="5">
        <v>5</v>
      </c>
      <c r="D412" s="5" t="s">
        <v>54</v>
      </c>
      <c r="E412" s="5">
        <v>2</v>
      </c>
      <c r="F412" s="5">
        <v>2</v>
      </c>
      <c r="G412" s="5" t="str">
        <f t="shared" si="31"/>
        <v>BGV016054_C</v>
      </c>
      <c r="H412" s="5" t="s">
        <v>63</v>
      </c>
      <c r="I412" s="1">
        <v>0.15472093371240461</v>
      </c>
      <c r="J412" s="3">
        <v>0.40574589030573055</v>
      </c>
      <c r="K412" s="3">
        <v>0.54312510467258412</v>
      </c>
      <c r="L412" s="3">
        <v>0.64552980132450333</v>
      </c>
      <c r="M412" s="3">
        <f t="shared" si="32"/>
        <v>0.49080886761209874</v>
      </c>
      <c r="N412" s="1">
        <v>0</v>
      </c>
      <c r="W412" s="16"/>
    </row>
    <row r="413" spans="1:23" x14ac:dyDescent="0.25">
      <c r="A413" s="4">
        <v>412</v>
      </c>
      <c r="B413" s="4" t="s">
        <v>72</v>
      </c>
      <c r="C413" s="5">
        <v>6</v>
      </c>
      <c r="D413" s="5" t="s">
        <v>50</v>
      </c>
      <c r="E413" s="5">
        <v>2</v>
      </c>
      <c r="F413" s="5">
        <v>3</v>
      </c>
      <c r="G413" s="5" t="str">
        <f t="shared" si="31"/>
        <v>BGV016054_A</v>
      </c>
      <c r="H413" s="5" t="s">
        <v>62</v>
      </c>
      <c r="I413" s="1">
        <v>0.24227992011061608</v>
      </c>
      <c r="J413" s="3">
        <v>0.32455484064043094</v>
      </c>
      <c r="K413" s="3">
        <v>0.93987606766035836</v>
      </c>
      <c r="L413" s="3">
        <v>1.2082781456953642</v>
      </c>
      <c r="M413" s="3">
        <f t="shared" si="32"/>
        <v>0.96599822558474813</v>
      </c>
      <c r="N413" s="1">
        <v>0</v>
      </c>
      <c r="W413" s="16"/>
    </row>
    <row r="414" spans="1:23" x14ac:dyDescent="0.25">
      <c r="A414" s="4">
        <v>413</v>
      </c>
      <c r="B414" s="4" t="s">
        <v>72</v>
      </c>
      <c r="C414" s="5">
        <v>6</v>
      </c>
      <c r="D414" s="5" t="s">
        <v>52</v>
      </c>
      <c r="E414" s="5">
        <v>2</v>
      </c>
      <c r="F414" s="5">
        <v>3</v>
      </c>
      <c r="G414" s="5" t="str">
        <f t="shared" si="31"/>
        <v>BGV016054_B</v>
      </c>
      <c r="H414" s="5" t="s">
        <v>59</v>
      </c>
      <c r="I414" s="1">
        <v>0.26380368098159507</v>
      </c>
      <c r="J414" s="3">
        <v>0.50099861729912432</v>
      </c>
      <c r="K414" s="3">
        <v>0.7675431251046726</v>
      </c>
      <c r="L414" s="3">
        <v>0.97814569536423845</v>
      </c>
      <c r="M414" s="3">
        <f t="shared" si="32"/>
        <v>0.71434201438264333</v>
      </c>
      <c r="N414" s="1">
        <v>1</v>
      </c>
      <c r="O414" s="1">
        <v>19</v>
      </c>
      <c r="P414" s="2">
        <f>21300/60400</f>
        <v>0.35264900662251658</v>
      </c>
      <c r="Q414" s="1">
        <f>P414/L414</f>
        <v>0.36052809749492215</v>
      </c>
      <c r="R414" s="1">
        <v>1</v>
      </c>
      <c r="S414" s="1">
        <v>19</v>
      </c>
      <c r="T414" s="1">
        <v>24</v>
      </c>
      <c r="U414" s="1">
        <v>15</v>
      </c>
      <c r="V414" s="1">
        <v>13</v>
      </c>
      <c r="W414" s="16">
        <f>V414/U414</f>
        <v>0.8666666666666667</v>
      </c>
    </row>
    <row r="415" spans="1:23" x14ac:dyDescent="0.25">
      <c r="A415" s="4">
        <v>414</v>
      </c>
      <c r="B415" s="4" t="s">
        <v>72</v>
      </c>
      <c r="C415" s="5">
        <v>6</v>
      </c>
      <c r="D415" s="5" t="s">
        <v>54</v>
      </c>
      <c r="E415" s="5">
        <v>2</v>
      </c>
      <c r="F415" s="5">
        <v>4</v>
      </c>
      <c r="G415" s="5" t="str">
        <f t="shared" si="31"/>
        <v>BGV016054_C</v>
      </c>
      <c r="H415" s="5" t="s">
        <v>60</v>
      </c>
      <c r="I415" s="1">
        <v>0.40011970671853958</v>
      </c>
      <c r="J415" s="3">
        <v>0.42326010139806419</v>
      </c>
      <c r="K415" s="3">
        <v>0.59983443708609274</v>
      </c>
      <c r="L415" s="3">
        <v>0.65952101825489873</v>
      </c>
      <c r="M415" s="3">
        <f t="shared" si="32"/>
        <v>0.25940131153635915</v>
      </c>
      <c r="N415" s="1">
        <v>0</v>
      </c>
      <c r="W415" s="16"/>
    </row>
    <row r="416" spans="1:23" x14ac:dyDescent="0.25">
      <c r="A416" s="4">
        <v>415</v>
      </c>
      <c r="B416" s="4" t="s">
        <v>72</v>
      </c>
      <c r="C416" s="5">
        <v>7</v>
      </c>
      <c r="D416" s="5" t="s">
        <v>50</v>
      </c>
      <c r="E416" s="5">
        <v>2</v>
      </c>
      <c r="F416" s="5">
        <v>4</v>
      </c>
      <c r="G416" s="5" t="str">
        <f t="shared" si="31"/>
        <v>BGV016054_A</v>
      </c>
      <c r="H416" s="5" t="s">
        <v>64</v>
      </c>
      <c r="I416" s="1">
        <v>0.44635642675445159</v>
      </c>
      <c r="J416" s="3">
        <v>0.84052849900138271</v>
      </c>
      <c r="K416" s="3">
        <v>0.9467425891810417</v>
      </c>
      <c r="L416" s="3">
        <v>0.97201986754966885</v>
      </c>
      <c r="M416" s="3">
        <f t="shared" si="32"/>
        <v>0.52566344079521721</v>
      </c>
      <c r="N416" s="1">
        <v>0</v>
      </c>
      <c r="W416" s="16"/>
    </row>
    <row r="417" spans="1:23" x14ac:dyDescent="0.25">
      <c r="A417" s="4">
        <v>416</v>
      </c>
      <c r="B417" s="4" t="s">
        <v>72</v>
      </c>
      <c r="C417" s="5">
        <v>7</v>
      </c>
      <c r="D417" s="5" t="s">
        <v>52</v>
      </c>
      <c r="E417" s="5">
        <v>2</v>
      </c>
      <c r="F417" s="5">
        <v>2</v>
      </c>
      <c r="G417" s="5" t="str">
        <f t="shared" si="31"/>
        <v>BGV016054_B</v>
      </c>
      <c r="H417" s="5" t="s">
        <v>57</v>
      </c>
      <c r="I417" s="1">
        <v>0.20200508753553792</v>
      </c>
      <c r="J417" s="3">
        <v>0.54247964357044087</v>
      </c>
      <c r="K417" s="3">
        <v>0.57829509294925474</v>
      </c>
      <c r="L417" s="3">
        <v>0.58311258278145695</v>
      </c>
      <c r="M417" s="3">
        <f t="shared" si="32"/>
        <v>0.38110749524591903</v>
      </c>
      <c r="N417" s="1">
        <v>0</v>
      </c>
      <c r="W417" s="16"/>
    </row>
    <row r="418" spans="1:23" x14ac:dyDescent="0.25">
      <c r="A418" s="4">
        <v>417</v>
      </c>
      <c r="B418" s="4" t="s">
        <v>72</v>
      </c>
      <c r="C418" s="5">
        <v>7</v>
      </c>
      <c r="D418" s="5" t="s">
        <v>54</v>
      </c>
      <c r="E418" s="5">
        <v>2</v>
      </c>
      <c r="F418" s="5">
        <v>3</v>
      </c>
      <c r="G418" s="5" t="str">
        <f t="shared" si="31"/>
        <v>BGV016054_C</v>
      </c>
      <c r="H418" s="5" t="s">
        <v>55</v>
      </c>
      <c r="I418" s="1">
        <v>0.26947303733292366</v>
      </c>
      <c r="J418" s="3">
        <v>0.575041149184498</v>
      </c>
      <c r="K418" s="3">
        <v>0.98708609271523173</v>
      </c>
      <c r="L418" s="3">
        <v>1.0202646122927483</v>
      </c>
      <c r="M418" s="3">
        <f t="shared" si="32"/>
        <v>0.75079157495982463</v>
      </c>
      <c r="N418" s="1">
        <v>0</v>
      </c>
      <c r="W418" s="16"/>
    </row>
    <row r="419" spans="1:23" x14ac:dyDescent="0.25">
      <c r="A419" s="4">
        <v>418</v>
      </c>
      <c r="B419" s="4" t="s">
        <v>72</v>
      </c>
      <c r="C419" s="5">
        <v>8</v>
      </c>
      <c r="D419" s="5" t="s">
        <v>50</v>
      </c>
      <c r="E419" s="5">
        <v>2</v>
      </c>
      <c r="F419" s="5">
        <v>3</v>
      </c>
      <c r="G419" s="5" t="str">
        <f t="shared" si="31"/>
        <v>BGV016054_A</v>
      </c>
      <c r="H419" s="5" t="s">
        <v>62</v>
      </c>
      <c r="I419" s="1">
        <v>0.31385027633562218</v>
      </c>
      <c r="J419" s="3">
        <v>0.31672185430463579</v>
      </c>
      <c r="K419" s="3">
        <v>0.54386234444615145</v>
      </c>
      <c r="L419" s="3">
        <v>0.57953015112973216</v>
      </c>
      <c r="M419" s="3">
        <f t="shared" si="32"/>
        <v>0.26567987479410998</v>
      </c>
      <c r="N419" s="1">
        <v>0</v>
      </c>
      <c r="W419" s="16"/>
    </row>
    <row r="420" spans="1:23" x14ac:dyDescent="0.25">
      <c r="A420" s="4">
        <v>419</v>
      </c>
      <c r="B420" s="4" t="s">
        <v>72</v>
      </c>
      <c r="C420" s="5">
        <v>8</v>
      </c>
      <c r="D420" s="5" t="s">
        <v>52</v>
      </c>
      <c r="E420" s="5">
        <v>2</v>
      </c>
      <c r="F420" s="5">
        <v>6</v>
      </c>
      <c r="G420" s="5" t="str">
        <f t="shared" si="31"/>
        <v>BGV016054_B</v>
      </c>
      <c r="H420" s="5" t="s">
        <v>65</v>
      </c>
      <c r="I420" s="1">
        <v>0.609307197366452</v>
      </c>
      <c r="J420" s="3">
        <v>0.7849131971116915</v>
      </c>
      <c r="K420" s="3">
        <v>1.1843912242505443</v>
      </c>
      <c r="L420" s="3">
        <v>1.1963576158940397</v>
      </c>
      <c r="M420" s="3">
        <f t="shared" si="32"/>
        <v>0.58705041852758766</v>
      </c>
      <c r="N420" s="1">
        <v>0</v>
      </c>
      <c r="W420" s="16"/>
    </row>
    <row r="421" spans="1:23" x14ac:dyDescent="0.25">
      <c r="A421" s="4">
        <v>420</v>
      </c>
      <c r="B421" s="4" t="s">
        <v>72</v>
      </c>
      <c r="C421" s="5">
        <v>8</v>
      </c>
      <c r="D421" s="5" t="s">
        <v>54</v>
      </c>
      <c r="E421" s="5">
        <v>2</v>
      </c>
      <c r="F421" s="5">
        <v>6</v>
      </c>
      <c r="G421" s="5" t="str">
        <f t="shared" si="31"/>
        <v>BGV016054_C</v>
      </c>
      <c r="H421" s="5" t="s">
        <v>66</v>
      </c>
      <c r="I421" s="1">
        <v>0.71449947628310639</v>
      </c>
      <c r="J421" s="3">
        <v>1.0557689353203257</v>
      </c>
      <c r="K421" s="3">
        <v>1.3605761179031988</v>
      </c>
      <c r="L421" s="3">
        <v>1.5177152317880795</v>
      </c>
      <c r="M421" s="3">
        <f t="shared" si="32"/>
        <v>0.80321575550497315</v>
      </c>
      <c r="N421" s="1">
        <v>1</v>
      </c>
      <c r="O421" s="1">
        <v>20</v>
      </c>
      <c r="P421" s="2">
        <f>14850/60400</f>
        <v>0.24586092715231789</v>
      </c>
      <c r="Q421" s="1">
        <f>P421/L421</f>
        <v>0.16199410930511618</v>
      </c>
      <c r="R421" s="1">
        <v>1</v>
      </c>
      <c r="S421" s="1">
        <v>23</v>
      </c>
      <c r="T421" s="1">
        <v>30</v>
      </c>
      <c r="U421" s="1">
        <v>7</v>
      </c>
      <c r="V421" s="1">
        <v>5</v>
      </c>
      <c r="W421" s="16">
        <f>V421/U421</f>
        <v>0.7142857142857143</v>
      </c>
    </row>
    <row r="422" spans="1:23" x14ac:dyDescent="0.25">
      <c r="A422" s="4">
        <v>421</v>
      </c>
      <c r="B422" s="4" t="s">
        <v>72</v>
      </c>
      <c r="C422" s="5">
        <v>9</v>
      </c>
      <c r="D422" s="5" t="s">
        <v>50</v>
      </c>
      <c r="E422" s="5">
        <v>2</v>
      </c>
      <c r="F422" s="5">
        <v>4</v>
      </c>
      <c r="G422" s="5" t="str">
        <f t="shared" si="31"/>
        <v>BGV016054_A</v>
      </c>
      <c r="H422" s="5" t="s">
        <v>64</v>
      </c>
      <c r="I422" s="1">
        <v>0.46401316773903933</v>
      </c>
      <c r="J422" s="3">
        <v>0.60593025042249193</v>
      </c>
      <c r="K422" s="3">
        <v>0.87523027968514489</v>
      </c>
      <c r="L422" s="3">
        <v>1.1355960264900662</v>
      </c>
      <c r="M422" s="3">
        <f t="shared" si="32"/>
        <v>0.67158285875102686</v>
      </c>
      <c r="N422" s="1">
        <v>1</v>
      </c>
      <c r="O422" s="1">
        <v>18</v>
      </c>
      <c r="P422" s="2">
        <f>21960/60400</f>
        <v>0.36357615894039735</v>
      </c>
      <c r="Q422" s="1">
        <f>P422/L422</f>
        <v>0.32016328910919961</v>
      </c>
      <c r="R422" s="1">
        <v>0</v>
      </c>
      <c r="W422" s="16"/>
    </row>
    <row r="423" spans="1:23" x14ac:dyDescent="0.25">
      <c r="A423" s="4">
        <v>422</v>
      </c>
      <c r="B423" s="4" t="s">
        <v>72</v>
      </c>
      <c r="C423" s="5">
        <v>9</v>
      </c>
      <c r="D423" s="5" t="s">
        <v>52</v>
      </c>
      <c r="E423" s="5">
        <v>2</v>
      </c>
      <c r="F423" s="5">
        <v>3</v>
      </c>
      <c r="G423" s="5" t="str">
        <f t="shared" si="31"/>
        <v>BGV016054_B</v>
      </c>
      <c r="H423" s="5" t="s">
        <v>59</v>
      </c>
      <c r="I423" s="1">
        <v>0.34729911716295075</v>
      </c>
      <c r="J423" s="3">
        <v>0.76924258718697192</v>
      </c>
      <c r="K423" s="3">
        <v>1.0405292245854965</v>
      </c>
      <c r="L423" s="3">
        <v>1.41341059602649</v>
      </c>
      <c r="M423" s="3">
        <f t="shared" si="32"/>
        <v>1.0661114788635393</v>
      </c>
      <c r="N423" s="1">
        <v>1</v>
      </c>
      <c r="O423" s="1">
        <v>17</v>
      </c>
      <c r="P423" s="2">
        <f>81910/60400</f>
        <v>1.3561258278145696</v>
      </c>
      <c r="Q423" s="1">
        <f>P423/L423</f>
        <v>0.95947054000234278</v>
      </c>
      <c r="R423" s="1">
        <v>0</v>
      </c>
      <c r="W423" s="16"/>
    </row>
    <row r="424" spans="1:23" x14ac:dyDescent="0.25">
      <c r="A424" s="4">
        <v>423</v>
      </c>
      <c r="B424" s="4" t="s">
        <v>72</v>
      </c>
      <c r="C424" s="5">
        <v>9</v>
      </c>
      <c r="D424" s="5" t="s">
        <v>54</v>
      </c>
      <c r="E424" s="5">
        <v>2</v>
      </c>
      <c r="F424" s="5">
        <v>1</v>
      </c>
      <c r="G424" s="5" t="str">
        <f t="shared" si="31"/>
        <v>BGV016054_C</v>
      </c>
      <c r="H424" s="5" t="s">
        <v>58</v>
      </c>
      <c r="I424" s="1">
        <v>4.6728412610536708E-2</v>
      </c>
      <c r="J424" s="3">
        <v>0.52373636503303123</v>
      </c>
      <c r="K424" s="3">
        <v>0.78360927152317883</v>
      </c>
      <c r="L424" s="3">
        <v>0.94004354379500921</v>
      </c>
      <c r="M424" s="3">
        <f t="shared" si="32"/>
        <v>0.89331513118447248</v>
      </c>
      <c r="N424" s="1">
        <v>0</v>
      </c>
      <c r="W424" s="16"/>
    </row>
    <row r="425" spans="1:23" x14ac:dyDescent="0.25">
      <c r="A425" s="4">
        <v>424</v>
      </c>
      <c r="B425" s="4" t="s">
        <v>72</v>
      </c>
      <c r="C425" s="5">
        <v>10</v>
      </c>
      <c r="D425" s="5" t="s">
        <v>50</v>
      </c>
      <c r="E425" s="5">
        <v>2</v>
      </c>
      <c r="F425" s="5">
        <v>3</v>
      </c>
      <c r="G425" s="5" t="str">
        <f t="shared" si="31"/>
        <v>BGV016054_A</v>
      </c>
      <c r="H425" s="5" t="s">
        <v>62</v>
      </c>
      <c r="I425" s="1">
        <v>0.31841987131527755</v>
      </c>
      <c r="J425" s="3">
        <v>0.75080657551083119</v>
      </c>
      <c r="K425" s="3">
        <v>0.88096026490066226</v>
      </c>
      <c r="L425" s="3">
        <v>0.91023279182716466</v>
      </c>
      <c r="M425" s="3">
        <f t="shared" si="32"/>
        <v>0.59181292051188716</v>
      </c>
      <c r="N425" s="1">
        <v>0</v>
      </c>
      <c r="W425" s="16"/>
    </row>
    <row r="426" spans="1:23" x14ac:dyDescent="0.25">
      <c r="A426" s="4">
        <v>425</v>
      </c>
      <c r="B426" s="4" t="s">
        <v>72</v>
      </c>
      <c r="C426" s="5">
        <v>10</v>
      </c>
      <c r="D426" s="5" t="s">
        <v>52</v>
      </c>
      <c r="E426" s="5">
        <v>2</v>
      </c>
      <c r="F426" s="5">
        <v>4</v>
      </c>
      <c r="G426" s="5" t="str">
        <f t="shared" si="31"/>
        <v>BGV016054_B</v>
      </c>
      <c r="H426" s="5" t="s">
        <v>53</v>
      </c>
      <c r="I426" s="1">
        <v>0.41557842986633892</v>
      </c>
      <c r="J426" s="3">
        <v>0.51533742331288346</v>
      </c>
      <c r="K426" s="3">
        <v>0.89817451013230609</v>
      </c>
      <c r="L426" s="3">
        <v>1.1254966887417219</v>
      </c>
      <c r="M426" s="3">
        <f t="shared" si="32"/>
        <v>0.70991825887538296</v>
      </c>
      <c r="N426" s="1">
        <v>0</v>
      </c>
      <c r="W426" s="16"/>
    </row>
    <row r="427" spans="1:23" x14ac:dyDescent="0.25">
      <c r="A427" s="4">
        <v>426</v>
      </c>
      <c r="B427" s="4" t="s">
        <v>72</v>
      </c>
      <c r="C427" s="5">
        <v>10</v>
      </c>
      <c r="D427" s="5" t="s">
        <v>54</v>
      </c>
      <c r="E427" s="5">
        <v>2</v>
      </c>
      <c r="F427" s="5">
        <v>3</v>
      </c>
      <c r="G427" s="5" t="str">
        <f t="shared" si="31"/>
        <v>BGV016054_C</v>
      </c>
      <c r="H427" s="5" t="s">
        <v>55</v>
      </c>
      <c r="I427" s="1">
        <v>0.24614693999700732</v>
      </c>
      <c r="J427" s="3">
        <v>0.93301582424335539</v>
      </c>
      <c r="K427" s="3">
        <v>1.5379333444984089</v>
      </c>
      <c r="L427" s="3">
        <v>1.7682119205298013</v>
      </c>
      <c r="M427" s="3">
        <f t="shared" si="32"/>
        <v>1.5220649805327939</v>
      </c>
      <c r="N427" s="1">
        <v>1</v>
      </c>
      <c r="O427" s="1">
        <v>19</v>
      </c>
      <c r="P427" s="2">
        <f>12590/60400</f>
        <v>0.20844370860927153</v>
      </c>
      <c r="Q427" s="1">
        <f>P427/L427</f>
        <v>0.11788389513108614</v>
      </c>
      <c r="R427" s="1">
        <v>0</v>
      </c>
      <c r="W427" s="16"/>
    </row>
    <row r="428" spans="1:23" x14ac:dyDescent="0.25">
      <c r="A428" s="4">
        <v>427</v>
      </c>
      <c r="B428" s="4" t="s">
        <v>72</v>
      </c>
      <c r="C428" s="5">
        <v>11</v>
      </c>
      <c r="D428" s="5" t="s">
        <v>50</v>
      </c>
      <c r="E428" s="5">
        <v>2</v>
      </c>
      <c r="F428" s="5">
        <v>3</v>
      </c>
      <c r="G428" s="5" t="str">
        <f t="shared" si="31"/>
        <v>BGV016054_A</v>
      </c>
      <c r="H428" s="5" t="s">
        <v>62</v>
      </c>
      <c r="I428" s="1">
        <v>0.29911716295077062</v>
      </c>
      <c r="J428" s="3">
        <v>0.31740666769088954</v>
      </c>
      <c r="K428" s="3">
        <v>0.46910065315692512</v>
      </c>
      <c r="L428" s="3">
        <v>0.4728476821192053</v>
      </c>
      <c r="M428" s="3">
        <f t="shared" si="32"/>
        <v>0.17373051916843468</v>
      </c>
      <c r="N428" s="1">
        <v>0</v>
      </c>
      <c r="W428" s="16"/>
    </row>
    <row r="429" spans="1:23" x14ac:dyDescent="0.25">
      <c r="A429" s="4">
        <v>428</v>
      </c>
      <c r="B429" s="4" t="s">
        <v>72</v>
      </c>
      <c r="C429" s="5">
        <v>11</v>
      </c>
      <c r="D429" s="5" t="s">
        <v>52</v>
      </c>
      <c r="E429" s="5">
        <v>2</v>
      </c>
      <c r="F429" s="5">
        <v>5</v>
      </c>
      <c r="G429" s="5" t="str">
        <f t="shared" si="31"/>
        <v>BGV016054_B</v>
      </c>
      <c r="H429" s="5" t="s">
        <v>70</v>
      </c>
      <c r="I429" s="1">
        <v>0.5226694598234326</v>
      </c>
      <c r="J429" s="3">
        <v>0.54401597787678602</v>
      </c>
      <c r="K429" s="3">
        <v>0.89370860927152318</v>
      </c>
      <c r="L429" s="3">
        <v>0.93334449840897671</v>
      </c>
      <c r="M429" s="3">
        <f t="shared" si="32"/>
        <v>0.41067503858554411</v>
      </c>
      <c r="N429" s="1">
        <v>0</v>
      </c>
      <c r="W429" s="16"/>
    </row>
    <row r="430" spans="1:23" x14ac:dyDescent="0.25">
      <c r="A430" s="4">
        <v>429</v>
      </c>
      <c r="B430" s="4" t="s">
        <v>72</v>
      </c>
      <c r="C430" s="5">
        <v>11</v>
      </c>
      <c r="D430" s="5" t="s">
        <v>54</v>
      </c>
      <c r="E430" s="5">
        <v>2</v>
      </c>
      <c r="F430" s="5">
        <v>6</v>
      </c>
      <c r="G430" s="5" t="str">
        <f t="shared" si="31"/>
        <v>BGV016054_C</v>
      </c>
      <c r="H430" s="5" t="s">
        <v>66</v>
      </c>
      <c r="I430" s="1">
        <v>0.69878796947478672</v>
      </c>
      <c r="J430" s="3">
        <v>0.93178675679827927</v>
      </c>
      <c r="K430" s="3">
        <v>1.4768045553508624</v>
      </c>
      <c r="L430" s="3">
        <v>1.6221854304635761</v>
      </c>
      <c r="M430" s="3">
        <f t="shared" si="32"/>
        <v>0.92339746098878939</v>
      </c>
      <c r="N430" s="1">
        <v>0</v>
      </c>
      <c r="R430" s="1">
        <v>1</v>
      </c>
      <c r="S430" s="1">
        <v>19</v>
      </c>
      <c r="T430" s="1">
        <v>26</v>
      </c>
      <c r="U430" s="1">
        <v>11</v>
      </c>
      <c r="V430" s="1">
        <v>9</v>
      </c>
      <c r="W430" s="16">
        <f>V430/U430</f>
        <v>0.81818181818181823</v>
      </c>
    </row>
    <row r="431" spans="1:23" x14ac:dyDescent="0.25">
      <c r="A431" s="4">
        <v>430</v>
      </c>
      <c r="B431" s="4" t="s">
        <v>72</v>
      </c>
      <c r="C431" s="5">
        <v>12</v>
      </c>
      <c r="D431" s="5" t="s">
        <v>50</v>
      </c>
      <c r="E431" s="5">
        <v>2</v>
      </c>
      <c r="F431" s="5">
        <v>5</v>
      </c>
      <c r="G431" s="5" t="str">
        <f t="shared" si="31"/>
        <v>BGV016054_A</v>
      </c>
      <c r="H431" s="5" t="s">
        <v>69</v>
      </c>
      <c r="I431" s="1">
        <v>0.57309591500822987</v>
      </c>
      <c r="J431" s="3">
        <v>0.70963281610078355</v>
      </c>
      <c r="K431" s="3">
        <v>0.80728476821192052</v>
      </c>
      <c r="L431" s="3">
        <v>0.89130798861162286</v>
      </c>
      <c r="M431" s="3">
        <f t="shared" si="32"/>
        <v>0.31821207360339299</v>
      </c>
      <c r="N431" s="1">
        <v>0</v>
      </c>
      <c r="W431" s="16"/>
    </row>
    <row r="432" spans="1:23" x14ac:dyDescent="0.25">
      <c r="A432" s="4">
        <v>431</v>
      </c>
      <c r="B432" s="4" t="s">
        <v>72</v>
      </c>
      <c r="C432" s="5">
        <v>12</v>
      </c>
      <c r="D432" s="5" t="s">
        <v>52</v>
      </c>
      <c r="E432" s="5">
        <v>2</v>
      </c>
      <c r="F432" s="5">
        <v>4</v>
      </c>
      <c r="G432" s="5" t="str">
        <f t="shared" si="31"/>
        <v>BGV016054_B</v>
      </c>
      <c r="H432" s="5" t="s">
        <v>53</v>
      </c>
      <c r="I432" s="1">
        <v>0.44598894657511307</v>
      </c>
      <c r="J432" s="3">
        <v>0.36953642384105961</v>
      </c>
      <c r="K432" s="3">
        <v>0.44598894657511307</v>
      </c>
      <c r="L432" s="3">
        <v>0.49169534640131679</v>
      </c>
      <c r="M432" s="3">
        <f t="shared" si="32"/>
        <v>4.5706399826203725E-2</v>
      </c>
      <c r="N432" s="1">
        <v>0</v>
      </c>
      <c r="W432" s="16"/>
    </row>
    <row r="433" spans="1:23" s="10" customFormat="1" x14ac:dyDescent="0.25">
      <c r="A433" s="23">
        <v>432</v>
      </c>
      <c r="B433" s="23" t="s">
        <v>72</v>
      </c>
      <c r="C433" s="17">
        <v>12</v>
      </c>
      <c r="D433" s="17" t="s">
        <v>54</v>
      </c>
      <c r="E433" s="17">
        <v>2</v>
      </c>
      <c r="F433" s="17">
        <v>6</v>
      </c>
      <c r="G433" s="17" t="str">
        <f t="shared" si="31"/>
        <v>BGV016054_C</v>
      </c>
      <c r="H433" s="17" t="s">
        <v>66</v>
      </c>
      <c r="I433" s="9">
        <v>0.7174921442465958</v>
      </c>
      <c r="J433" s="8">
        <v>0.84360116761407278</v>
      </c>
      <c r="K433" s="8">
        <v>1.5923630882599229</v>
      </c>
      <c r="L433" s="8">
        <v>1.6248344370860928</v>
      </c>
      <c r="M433" s="8">
        <f t="shared" si="32"/>
        <v>0.90734229283949697</v>
      </c>
      <c r="N433" s="9">
        <v>1</v>
      </c>
      <c r="O433" s="9">
        <v>20</v>
      </c>
      <c r="P433" s="10">
        <f>28880/59710</f>
        <v>0.48367107687154581</v>
      </c>
      <c r="Q433" s="9">
        <f>P433/L433</f>
        <v>0.29767406809701819</v>
      </c>
      <c r="R433" s="9">
        <v>1</v>
      </c>
      <c r="S433" s="9">
        <v>16</v>
      </c>
      <c r="T433" s="9">
        <v>24</v>
      </c>
      <c r="U433" s="9">
        <v>6</v>
      </c>
      <c r="V433" s="9">
        <v>5</v>
      </c>
      <c r="W433" s="18">
        <f>V433/U433</f>
        <v>0.83333333333333337</v>
      </c>
    </row>
    <row r="434" spans="1:23" x14ac:dyDescent="0.25">
      <c r="P434" s="2"/>
    </row>
  </sheetData>
  <pageMargins left="0.7" right="0.7" top="0.75" bottom="0.75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2F69288548D6C4D9F72AD36A060B5FA" ma:contentTypeVersion="35" ma:contentTypeDescription="Crear nuevo documento." ma:contentTypeScope="" ma:versionID="fbc808168b85173fb2977ac8f67c41f5">
  <xsd:schema xmlns:xsd="http://www.w3.org/2001/XMLSchema" xmlns:xs="http://www.w3.org/2001/XMLSchema" xmlns:p="http://schemas.microsoft.com/office/2006/metadata/properties" xmlns:ns3="e9276679-6e0c-435c-84a2-5a067d2e460a" xmlns:ns4="e047e7c4-5646-4c7d-b79a-b002d61a0695" targetNamespace="http://schemas.microsoft.com/office/2006/metadata/properties" ma:root="true" ma:fieldsID="60a359aa767586f063d3ffd6a578dc11" ns3:_="" ns4:_="">
    <xsd:import namespace="e9276679-6e0c-435c-84a2-5a067d2e460a"/>
    <xsd:import namespace="e047e7c4-5646-4c7d-b79a-b002d61a069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3:SharedWithDetails" minOccurs="0"/>
                <xsd:element ref="ns3:SharingHintHash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NotebookType" minOccurs="0"/>
                <xsd:element ref="ns4:FolderType" minOccurs="0"/>
                <xsd:element ref="ns4:CultureName" minOccurs="0"/>
                <xsd:element ref="ns4:AppVersion" minOccurs="0"/>
                <xsd:element ref="ns4:TeamsChannelId" minOccurs="0"/>
                <xsd:element ref="ns4:Owner" minOccurs="0"/>
                <xsd:element ref="ns4:DefaultSectionNames" minOccurs="0"/>
                <xsd:element ref="ns4:Templates" minOccurs="0"/>
                <xsd:element ref="ns4:Teachers" minOccurs="0"/>
                <xsd:element ref="ns4:Students" minOccurs="0"/>
                <xsd:element ref="ns4:Student_Groups" minOccurs="0"/>
                <xsd:element ref="ns4:Invited_Teachers" minOccurs="0"/>
                <xsd:element ref="ns4:Invited_Students" minOccurs="0"/>
                <xsd:element ref="ns4:Self_Registration_Enabled" minOccurs="0"/>
                <xsd:element ref="ns4:Has_Teacher_Only_SectionGroup" minOccurs="0"/>
                <xsd:element ref="ns4:Is_Collaboration_Space_Locked" minOccurs="0"/>
                <xsd:element ref="ns4:IsNotebookLocked" minOccurs="0"/>
                <xsd:element ref="ns4:Math_Settings" minOccurs="0"/>
                <xsd:element ref="ns4:Distribution_Groups" minOccurs="0"/>
                <xsd:element ref="ns4:LMS_Mappin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76679-6e0c-435c-84a2-5a067d2e46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47e7c4-5646-4c7d-b79a-b002d61a06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NotebookType" ma:index="17" nillable="true" ma:displayName="Notebook Type" ma:internalName="NotebookType">
      <xsd:simpleType>
        <xsd:restriction base="dms:Text"/>
      </xsd:simpleType>
    </xsd:element>
    <xsd:element name="FolderType" ma:index="18" nillable="true" ma:displayName="Folder Type" ma:internalName="FolderType">
      <xsd:simpleType>
        <xsd:restriction base="dms:Text"/>
      </xsd:simpleType>
    </xsd:element>
    <xsd:element name="CultureName" ma:index="19" nillable="true" ma:displayName="Culture Name" ma:internalName="CultureName">
      <xsd:simpleType>
        <xsd:restriction base="dms:Text"/>
      </xsd:simpleType>
    </xsd:element>
    <xsd:element name="AppVersion" ma:index="20" nillable="true" ma:displayName="App Version" ma:internalName="AppVersion">
      <xsd:simpleType>
        <xsd:restriction base="dms:Text"/>
      </xsd:simpleType>
    </xsd:element>
    <xsd:element name="TeamsChannelId" ma:index="21" nillable="true" ma:displayName="Teams Channel Id" ma:internalName="TeamsChannelId">
      <xsd:simpleType>
        <xsd:restriction base="dms:Text"/>
      </xsd:simpleType>
    </xsd:element>
    <xsd:element name="Owner" ma:index="22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efaultSectionNames" ma:index="23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4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25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26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27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vited_Teachers" ma:index="28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9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30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31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32" nillable="true" ma:displayName="Is Collaboration Space Locked" ma:internalName="Is_Collaboration_Space_Locked">
      <xsd:simpleType>
        <xsd:restriction base="dms:Boolean"/>
      </xsd:simpleType>
    </xsd:element>
    <xsd:element name="IsNotebookLocked" ma:index="33" nillable="true" ma:displayName="Is Notebook Locked" ma:internalName="IsNotebookLocked">
      <xsd:simpleType>
        <xsd:restriction base="dms:Boolean"/>
      </xsd:simpleType>
    </xsd:element>
    <xsd:element name="Math_Settings" ma:index="34" nillable="true" ma:displayName="Math Settings" ma:internalName="Math_Settings">
      <xsd:simpleType>
        <xsd:restriction base="dms:Text"/>
      </xsd:simpleType>
    </xsd:element>
    <xsd:element name="Distribution_Groups" ma:index="35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36" nillable="true" ma:displayName="LMS Mappings" ma:internalName="LMS_Mappings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1" nillable="true" ma:displayName="Length (seconds)" ma:internalName="MediaLengthInSeconds" ma:readOnly="true">
      <xsd:simpleType>
        <xsd:restriction base="dms:Unknown"/>
      </xsd:simpleType>
    </xsd:element>
    <xsd:element name="_activity" ma:index="4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achers xmlns="e047e7c4-5646-4c7d-b79a-b002d61a0695">
      <UserInfo>
        <DisplayName/>
        <AccountId xsi:nil="true"/>
        <AccountType/>
      </UserInfo>
    </Teachers>
    <Students xmlns="e047e7c4-5646-4c7d-b79a-b002d61a0695">
      <UserInfo>
        <DisplayName/>
        <AccountId xsi:nil="true"/>
        <AccountType/>
      </UserInfo>
    </Students>
    <Student_Groups xmlns="e047e7c4-5646-4c7d-b79a-b002d61a0695">
      <UserInfo>
        <DisplayName/>
        <AccountId xsi:nil="true"/>
        <AccountType/>
      </UserInfo>
    </Student_Groups>
    <_activity xmlns="e047e7c4-5646-4c7d-b79a-b002d61a0695" xsi:nil="true"/>
    <NotebookType xmlns="e047e7c4-5646-4c7d-b79a-b002d61a0695" xsi:nil="true"/>
    <CultureName xmlns="e047e7c4-5646-4c7d-b79a-b002d61a0695" xsi:nil="true"/>
    <DefaultSectionNames xmlns="e047e7c4-5646-4c7d-b79a-b002d61a0695" xsi:nil="true"/>
    <AppVersion xmlns="e047e7c4-5646-4c7d-b79a-b002d61a0695" xsi:nil="true"/>
    <Invited_Teachers xmlns="e047e7c4-5646-4c7d-b79a-b002d61a0695" xsi:nil="true"/>
    <IsNotebookLocked xmlns="e047e7c4-5646-4c7d-b79a-b002d61a0695" xsi:nil="true"/>
    <FolderType xmlns="e047e7c4-5646-4c7d-b79a-b002d61a0695" xsi:nil="true"/>
    <Owner xmlns="e047e7c4-5646-4c7d-b79a-b002d61a0695">
      <UserInfo>
        <DisplayName/>
        <AccountId xsi:nil="true"/>
        <AccountType/>
      </UserInfo>
    </Owner>
    <Distribution_Groups xmlns="e047e7c4-5646-4c7d-b79a-b002d61a0695" xsi:nil="true"/>
    <Has_Teacher_Only_SectionGroup xmlns="e047e7c4-5646-4c7d-b79a-b002d61a0695" xsi:nil="true"/>
    <TeamsChannelId xmlns="e047e7c4-5646-4c7d-b79a-b002d61a0695" xsi:nil="true"/>
    <Math_Settings xmlns="e047e7c4-5646-4c7d-b79a-b002d61a0695" xsi:nil="true"/>
    <Is_Collaboration_Space_Locked xmlns="e047e7c4-5646-4c7d-b79a-b002d61a0695" xsi:nil="true"/>
    <LMS_Mappings xmlns="e047e7c4-5646-4c7d-b79a-b002d61a0695" xsi:nil="true"/>
    <Templates xmlns="e047e7c4-5646-4c7d-b79a-b002d61a0695" xsi:nil="true"/>
    <Self_Registration_Enabled xmlns="e047e7c4-5646-4c7d-b79a-b002d61a0695" xsi:nil="true"/>
    <Invited_Students xmlns="e047e7c4-5646-4c7d-b79a-b002d61a0695" xsi:nil="true"/>
  </documentManagement>
</p:properties>
</file>

<file path=customXml/itemProps1.xml><?xml version="1.0" encoding="utf-8"?>
<ds:datastoreItem xmlns:ds="http://schemas.openxmlformats.org/officeDocument/2006/customXml" ds:itemID="{D038D58A-53F2-4065-9E6B-B6BA324C13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276679-6e0c-435c-84a2-5a067d2e460a"/>
    <ds:schemaRef ds:uri="e047e7c4-5646-4c7d-b79a-b002d61a06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DB2A34-A4E0-43F3-8776-8961779D5B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C32F27-0655-40C1-8847-88658F72661E}">
  <ds:schemaRefs>
    <ds:schemaRef ds:uri="http://schemas.microsoft.com/office/2006/metadata/properties"/>
    <ds:schemaRef ds:uri="http://schemas.microsoft.com/office/infopath/2007/PartnerControls"/>
    <ds:schemaRef ds:uri="e047e7c4-5646-4c7d-b79a-b002d61a069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S1_A_E1_E2_E3</vt:lpstr>
      <vt:lpstr>S1_B_E4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Perez Perez, Jose Manuel</dc:creator>
  <cp:keywords/>
  <dc:description/>
  <cp:lastModifiedBy>Perez Perez, Jose Manuel</cp:lastModifiedBy>
  <cp:revision/>
  <dcterms:created xsi:type="dcterms:W3CDTF">2023-06-08T17:44:22Z</dcterms:created>
  <dcterms:modified xsi:type="dcterms:W3CDTF">2023-06-26T07:12:55Z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0x01010032F69288548D6C4D9F72AD36A060B5FA</vt:lpwstr>
  </property>
</Properties>
</file>