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Domenico.Palazzolo\Desktop\My Research\E-cig\Work with Dr. Cuadra\Flavors\Bacteria Assays -Absorbance readings\Nicotine Recovery\"/>
    </mc:Choice>
  </mc:AlternateContent>
  <xr:revisionPtr revIDLastSave="0" documentId="13_ncr:1_{8BCC565C-783D-4ABD-8B0E-F3045FF34C97}" xr6:coauthVersionLast="47" xr6:coauthVersionMax="47" xr10:uidLastSave="{00000000-0000-0000-0000-000000000000}"/>
  <bookViews>
    <workbookView xWindow="0" yWindow="0" windowWidth="21600" windowHeight="12900" activeTab="1" xr2:uid="{00000000-000D-0000-FFFF-FFFF00000000}"/>
  </bookViews>
  <sheets>
    <sheet name="Nicotine Recovery" sheetId="1" r:id="rId1"/>
    <sheet name="Std Curve Stats" sheetId="2" r:id="rId2"/>
    <sheet name="Vaporization per puf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" l="1"/>
  <c r="V5" i="1"/>
  <c r="V3" i="1"/>
  <c r="L34" i="1"/>
  <c r="N11" i="1"/>
  <c r="M11" i="1"/>
  <c r="M17" i="1" s="1"/>
  <c r="L11" i="1"/>
  <c r="N10" i="1"/>
  <c r="N16" i="1" s="1"/>
  <c r="M10" i="1"/>
  <c r="M16" i="1" s="1"/>
  <c r="L10" i="1"/>
  <c r="L16" i="1" s="1"/>
  <c r="N9" i="1"/>
  <c r="N15" i="1" s="1"/>
  <c r="M9" i="1"/>
  <c r="M15" i="1" s="1"/>
  <c r="N49" i="1"/>
  <c r="N55" i="1" s="1"/>
  <c r="M49" i="1"/>
  <c r="M55" i="1" s="1"/>
  <c r="L49" i="1"/>
  <c r="L55" i="1" s="1"/>
  <c r="N48" i="1"/>
  <c r="N54" i="1" s="1"/>
  <c r="M48" i="1"/>
  <c r="M54" i="1" s="1"/>
  <c r="L48" i="1"/>
  <c r="L54" i="1" s="1"/>
  <c r="N47" i="1"/>
  <c r="N53" i="1" s="1"/>
  <c r="M47" i="1"/>
  <c r="M53" i="1" s="1"/>
  <c r="L47" i="1"/>
  <c r="L53" i="1" s="1"/>
  <c r="N30" i="1"/>
  <c r="N36" i="1" s="1"/>
  <c r="M30" i="1"/>
  <c r="M36" i="1" s="1"/>
  <c r="L30" i="1"/>
  <c r="L36" i="1" s="1"/>
  <c r="N29" i="1"/>
  <c r="N35" i="1" s="1"/>
  <c r="M29" i="1"/>
  <c r="M35" i="1" s="1"/>
  <c r="L29" i="1"/>
  <c r="L35" i="1" s="1"/>
  <c r="N28" i="1"/>
  <c r="N34" i="1" s="1"/>
  <c r="M28" i="1"/>
  <c r="M34" i="1" s="1"/>
  <c r="L28" i="1"/>
  <c r="N17" i="1"/>
  <c r="L17" i="1"/>
  <c r="L9" i="1"/>
  <c r="L15" i="1" s="1"/>
  <c r="L6" i="2"/>
  <c r="M6" i="2" s="1"/>
  <c r="K6" i="2"/>
  <c r="L5" i="2"/>
  <c r="M5" i="2" s="1"/>
  <c r="K5" i="2"/>
  <c r="L4" i="2"/>
  <c r="M4" i="2" s="1"/>
  <c r="K4" i="2"/>
  <c r="L3" i="2"/>
  <c r="M3" i="2" s="1"/>
  <c r="K3" i="2"/>
  <c r="L2" i="2"/>
  <c r="M2" i="2" s="1"/>
  <c r="K2" i="2"/>
  <c r="I33" i="2" l="1"/>
  <c r="M33" i="2" s="1"/>
  <c r="I31" i="2"/>
  <c r="I27" i="2"/>
  <c r="I26" i="2"/>
  <c r="I25" i="2"/>
  <c r="I24" i="2"/>
  <c r="I23" i="2"/>
  <c r="L20" i="2"/>
  <c r="M20" i="2" s="1"/>
  <c r="K20" i="2"/>
  <c r="L19" i="2"/>
  <c r="M19" i="2" s="1"/>
  <c r="K19" i="2"/>
  <c r="L18" i="2"/>
  <c r="M18" i="2" s="1"/>
  <c r="K18" i="2"/>
  <c r="L17" i="2"/>
  <c r="M17" i="2" s="1"/>
  <c r="K17" i="2"/>
  <c r="L16" i="2"/>
  <c r="M16" i="2" s="1"/>
  <c r="K16" i="2"/>
  <c r="K9" i="2"/>
  <c r="L9" i="2"/>
  <c r="M9" i="2"/>
  <c r="K10" i="2"/>
  <c r="L10" i="2"/>
  <c r="M10" i="2"/>
  <c r="K11" i="2"/>
  <c r="L11" i="2"/>
  <c r="M11" i="2" s="1"/>
  <c r="K12" i="2"/>
  <c r="L12" i="2"/>
  <c r="M12" i="2" s="1"/>
  <c r="K13" i="2"/>
  <c r="L13" i="2"/>
  <c r="M13" i="2"/>
  <c r="M31" i="2" l="1"/>
  <c r="P43" i="1"/>
  <c r="Q43" i="1" s="1"/>
  <c r="O43" i="1"/>
  <c r="P42" i="1"/>
  <c r="Q42" i="1" s="1"/>
  <c r="O42" i="1"/>
  <c r="P41" i="1"/>
  <c r="Q41" i="1" s="1"/>
  <c r="O41" i="1"/>
  <c r="P24" i="1"/>
  <c r="Q24" i="1" s="1"/>
  <c r="O24" i="1"/>
  <c r="P23" i="1"/>
  <c r="Q23" i="1" s="1"/>
  <c r="O23" i="1"/>
  <c r="P22" i="1"/>
  <c r="Q22" i="1" s="1"/>
  <c r="O22" i="1"/>
  <c r="Q5" i="1"/>
  <c r="P5" i="1"/>
  <c r="O5" i="1"/>
  <c r="P4" i="1"/>
  <c r="Q4" i="1" s="1"/>
  <c r="O4" i="1"/>
  <c r="P3" i="1"/>
  <c r="Q3" i="1" s="1"/>
  <c r="O3" i="1"/>
  <c r="X5" i="1"/>
  <c r="X11" i="1" s="1"/>
  <c r="X17" i="1" s="1"/>
  <c r="W11" i="1"/>
  <c r="W17" i="1" s="1"/>
  <c r="V11" i="1"/>
  <c r="V17" i="1" s="1"/>
  <c r="X4" i="1"/>
  <c r="X10" i="1" s="1"/>
  <c r="X16" i="1" s="1"/>
  <c r="W4" i="1"/>
  <c r="W10" i="1" s="1"/>
  <c r="W16" i="1" s="1"/>
  <c r="V4" i="1"/>
  <c r="V10" i="1" s="1"/>
  <c r="V16" i="1" s="1"/>
  <c r="X3" i="1"/>
  <c r="X9" i="1" s="1"/>
  <c r="X15" i="1" s="1"/>
  <c r="W3" i="1"/>
  <c r="W9" i="1" s="1"/>
  <c r="W15" i="1" s="1"/>
  <c r="V9" i="1"/>
  <c r="V15" i="1" s="1"/>
  <c r="R14" i="3"/>
  <c r="R15" i="3" s="1"/>
  <c r="Q14" i="3"/>
  <c r="Q15" i="3" s="1"/>
  <c r="R13" i="3"/>
  <c r="Q13" i="3"/>
  <c r="K14" i="3"/>
  <c r="K15" i="3" s="1"/>
  <c r="J14" i="3"/>
  <c r="J15" i="3" s="1"/>
  <c r="K13" i="3"/>
  <c r="J13" i="3"/>
  <c r="D14" i="3"/>
  <c r="D15" i="3" s="1"/>
  <c r="C14" i="3"/>
  <c r="C15" i="3" s="1"/>
  <c r="D13" i="3"/>
  <c r="C13" i="3"/>
  <c r="S12" i="3"/>
  <c r="S23" i="3" s="1"/>
  <c r="S32" i="3" s="1"/>
  <c r="L12" i="3"/>
  <c r="L23" i="3" s="1"/>
  <c r="L32" i="3" s="1"/>
  <c r="E12" i="3"/>
  <c r="E23" i="3" s="1"/>
  <c r="E32" i="3" s="1"/>
  <c r="S11" i="3"/>
  <c r="S22" i="3" s="1"/>
  <c r="S31" i="3" s="1"/>
  <c r="L11" i="3"/>
  <c r="L22" i="3" s="1"/>
  <c r="L31" i="3" s="1"/>
  <c r="E11" i="3"/>
  <c r="E22" i="3" s="1"/>
  <c r="S10" i="3"/>
  <c r="L10" i="3"/>
  <c r="E10" i="3"/>
  <c r="E21" i="3" s="1"/>
  <c r="E30" i="3" s="1"/>
  <c r="L14" i="3" l="1"/>
  <c r="L15" i="3" s="1"/>
  <c r="S14" i="3"/>
  <c r="S15" i="3" s="1"/>
  <c r="S21" i="3"/>
  <c r="S25" i="3" s="1"/>
  <c r="S26" i="3" s="1"/>
  <c r="E31" i="3"/>
  <c r="E34" i="3" s="1"/>
  <c r="E35" i="3" s="1"/>
  <c r="E25" i="3"/>
  <c r="E26" i="3" s="1"/>
  <c r="S24" i="3"/>
  <c r="S13" i="3"/>
  <c r="E24" i="3"/>
  <c r="S30" i="3"/>
  <c r="L13" i="3"/>
  <c r="L21" i="3"/>
  <c r="E14" i="3"/>
  <c r="E15" i="3" s="1"/>
  <c r="Y5" i="1"/>
  <c r="Z5" i="1"/>
  <c r="AA5" i="1" s="1"/>
  <c r="Y4" i="1"/>
  <c r="Z4" i="1"/>
  <c r="AA4" i="1" s="1"/>
  <c r="Z3" i="1"/>
  <c r="AA3" i="1" s="1"/>
  <c r="Y3" i="1"/>
  <c r="Z11" i="1"/>
  <c r="AA11" i="1" s="1"/>
  <c r="Z10" i="1"/>
  <c r="AA10" i="1" s="1"/>
  <c r="Y9" i="1"/>
  <c r="Z9" i="1"/>
  <c r="AA9" i="1" s="1"/>
  <c r="Y11" i="1"/>
  <c r="Y10" i="1"/>
  <c r="E13" i="3"/>
  <c r="E33" i="3" l="1"/>
  <c r="S34" i="3"/>
  <c r="S35" i="3" s="1"/>
  <c r="S33" i="3"/>
  <c r="L30" i="3"/>
  <c r="L24" i="3"/>
  <c r="L25" i="3"/>
  <c r="L26" i="3" s="1"/>
  <c r="P48" i="1"/>
  <c r="Q48" i="1" s="1"/>
  <c r="P28" i="1"/>
  <c r="Q28" i="1" s="1"/>
  <c r="O49" i="1"/>
  <c r="O47" i="1"/>
  <c r="P53" i="1"/>
  <c r="Q53" i="1" s="1"/>
  <c r="O53" i="1"/>
  <c r="P47" i="1"/>
  <c r="Q47" i="1" s="1"/>
  <c r="O48" i="1"/>
  <c r="P49" i="1"/>
  <c r="Q49" i="1" s="1"/>
  <c r="O54" i="1"/>
  <c r="P55" i="1"/>
  <c r="Q55" i="1" s="1"/>
  <c r="P36" i="1"/>
  <c r="Q36" i="1" s="1"/>
  <c r="O36" i="1"/>
  <c r="P35" i="1"/>
  <c r="Q35" i="1" s="1"/>
  <c r="O35" i="1"/>
  <c r="O28" i="1"/>
  <c r="O29" i="1"/>
  <c r="P29" i="1"/>
  <c r="Q29" i="1" s="1"/>
  <c r="O30" i="1"/>
  <c r="P30" i="1"/>
  <c r="Q30" i="1" s="1"/>
  <c r="L34" i="3" l="1"/>
  <c r="L35" i="3" s="1"/>
  <c r="L33" i="3"/>
  <c r="P54" i="1"/>
  <c r="Q54" i="1" s="1"/>
  <c r="O55" i="1"/>
  <c r="O34" i="1"/>
  <c r="P34" i="1"/>
  <c r="Q34" i="1" s="1"/>
  <c r="Y17" i="1" l="1"/>
  <c r="Z17" i="1"/>
  <c r="AA17" i="1" s="1"/>
  <c r="Y16" i="1"/>
  <c r="Z16" i="1"/>
  <c r="AA16" i="1" s="1"/>
  <c r="Z15" i="1"/>
  <c r="AA15" i="1" s="1"/>
  <c r="Y15" i="1"/>
  <c r="P11" i="1"/>
  <c r="Q11" i="1" s="1"/>
  <c r="O11" i="1"/>
  <c r="P10" i="1"/>
  <c r="Q10" i="1" s="1"/>
  <c r="O10" i="1"/>
  <c r="P9" i="1"/>
  <c r="Q9" i="1" s="1"/>
  <c r="O9" i="1"/>
  <c r="O15" i="1" l="1"/>
  <c r="P17" i="1"/>
  <c r="Q17" i="1" s="1"/>
  <c r="P15" i="1"/>
  <c r="Q15" i="1" s="1"/>
  <c r="P16" i="1"/>
  <c r="Q16" i="1" s="1"/>
  <c r="O16" i="1"/>
  <c r="O17" i="1"/>
</calcChain>
</file>

<file path=xl/sharedStrings.xml><?xml version="1.0" encoding="utf-8"?>
<sst xmlns="http://schemas.openxmlformats.org/spreadsheetml/2006/main" count="248" uniqueCount="125">
  <si>
    <t>Vaping Parameters</t>
  </si>
  <si>
    <t>Puff Duration</t>
  </si>
  <si>
    <t>Puff Cycle</t>
  </si>
  <si>
    <t>Puff Volume</t>
  </si>
  <si>
    <t>55 ml</t>
  </si>
  <si>
    <t>Puff Flow Rate</t>
  </si>
  <si>
    <t>Interpuff Duration</t>
  </si>
  <si>
    <t>3 s</t>
  </si>
  <si>
    <t>20 mg/ml</t>
  </si>
  <si>
    <t>Puff #</t>
  </si>
  <si>
    <t>Mean</t>
  </si>
  <si>
    <t>S.D.</t>
  </si>
  <si>
    <t>S.E</t>
  </si>
  <si>
    <t>1100 ml/minute</t>
  </si>
  <si>
    <t>Best-fit values</t>
  </si>
  <si>
    <t>Slope</t>
  </si>
  <si>
    <t>Y-intercept when X=0.0</t>
  </si>
  <si>
    <t>X-intercept when Y=0.0</t>
  </si>
  <si>
    <t>1/slope</t>
  </si>
  <si>
    <t>95% Confidence Intervals</t>
  </si>
  <si>
    <t>Goodness of Fit</t>
  </si>
  <si>
    <t>R square</t>
  </si>
  <si>
    <t>Sy.x</t>
  </si>
  <si>
    <t>Is slope significantly non-zero?</t>
  </si>
  <si>
    <t>F</t>
  </si>
  <si>
    <t>DFn, DFd</t>
  </si>
  <si>
    <t>1.000, 13.00</t>
  </si>
  <si>
    <t>P value</t>
  </si>
  <si>
    <t>&lt; 0.0001</t>
  </si>
  <si>
    <t>Deviation from zero?</t>
  </si>
  <si>
    <t>Significant</t>
  </si>
  <si>
    <t>Data</t>
  </si>
  <si>
    <t>Number of X values</t>
  </si>
  <si>
    <t>Maximum number of Y replicates</t>
  </si>
  <si>
    <t>Total number of values</t>
  </si>
  <si>
    <t>Number of missing values</t>
  </si>
  <si>
    <t>Percent Recovery#</t>
  </si>
  <si>
    <t>Power</t>
  </si>
  <si>
    <t>Voltage</t>
  </si>
  <si>
    <t>Resistance</t>
  </si>
  <si>
    <r>
      <t>Nicotine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g/ml) Recovered</t>
    </r>
  </si>
  <si>
    <r>
      <t xml:space="preserve">Conversion Factor from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g to mg</t>
    </r>
  </si>
  <si>
    <t>Initial concentration of Nicotine in E-liquid</t>
  </si>
  <si>
    <t>4.2 V</t>
  </si>
  <si>
    <r>
      <t xml:space="preserve">2.0 </t>
    </r>
    <r>
      <rPr>
        <sz val="11"/>
        <color theme="1"/>
        <rFont val="Calibri"/>
        <family val="2"/>
      </rPr>
      <t>Ω</t>
    </r>
  </si>
  <si>
    <t>8.8 Watts</t>
  </si>
  <si>
    <t>27 s</t>
  </si>
  <si>
    <t>30 s</t>
  </si>
  <si>
    <t xml:space="preserve">well 1 </t>
  </si>
  <si>
    <t>well 2</t>
  </si>
  <si>
    <t>well 3</t>
  </si>
  <si>
    <t>Density of Pg/Vg = mass/volume</t>
  </si>
  <si>
    <t>1.18 g/mL  (Palazzolo et al. 2021)</t>
  </si>
  <si>
    <r>
      <t>Nicotine (</t>
    </r>
    <r>
      <rPr>
        <b/>
        <sz val="11"/>
        <color rgb="FFFF0000"/>
        <rFont val="Calibri"/>
        <family val="2"/>
      </rPr>
      <t>µ</t>
    </r>
    <r>
      <rPr>
        <b/>
        <sz val="11"/>
        <color rgb="FFFF0000"/>
        <rFont val="Calibri"/>
        <family val="2"/>
        <scheme val="minor"/>
      </rPr>
      <t>g/ml) Recovered</t>
    </r>
  </si>
  <si>
    <r>
      <t>Nicotine (</t>
    </r>
    <r>
      <rPr>
        <b/>
        <sz val="11"/>
        <color theme="8"/>
        <rFont val="Calibri"/>
        <family val="2"/>
      </rPr>
      <t>µ</t>
    </r>
    <r>
      <rPr>
        <b/>
        <sz val="11"/>
        <color theme="8"/>
        <rFont val="Calibri"/>
        <family val="2"/>
        <scheme val="minor"/>
      </rPr>
      <t>g/ml) Recovered</t>
    </r>
  </si>
  <si>
    <t>Before</t>
  </si>
  <si>
    <t>Difference</t>
  </si>
  <si>
    <t>Trial 1</t>
  </si>
  <si>
    <t>Trial 2</t>
  </si>
  <si>
    <t>Trial 3</t>
  </si>
  <si>
    <t>SD</t>
  </si>
  <si>
    <t>SE</t>
  </si>
  <si>
    <t>E-liquid density = 1.18 g/mL</t>
  </si>
  <si>
    <t>Volume (ml) Vaporized after 25, 50 and 100 puffs = weight/density</t>
  </si>
  <si>
    <t>Volume (ml) Vaporized per puff</t>
  </si>
  <si>
    <t>26.73 ± 0.8036</t>
  </si>
  <si>
    <t>9.851 ± 20.74</t>
  </si>
  <si>
    <t>25.00 to 28.47</t>
  </si>
  <si>
    <t>-34.94 to 54.64</t>
  </si>
  <si>
    <t>-2.151 to 1.247</t>
  </si>
  <si>
    <t>Weight of Empty</t>
  </si>
  <si>
    <t>Cartridge (g)</t>
  </si>
  <si>
    <t>Weight of tank before and after 25, 50 and 100 puffs</t>
  </si>
  <si>
    <t>5.49 g</t>
  </si>
  <si>
    <t>5.02 g</t>
  </si>
  <si>
    <t>0.40 mL</t>
  </si>
  <si>
    <r>
      <t xml:space="preserve">4.0 </t>
    </r>
    <r>
      <rPr>
        <sz val="11"/>
        <color theme="1"/>
        <rFont val="Calibri"/>
        <family val="2"/>
      </rPr>
      <t>µL/puff</t>
    </r>
  </si>
  <si>
    <r>
      <t>Nicotine (</t>
    </r>
    <r>
      <rPr>
        <b/>
        <sz val="11"/>
        <color rgb="FF00B050"/>
        <rFont val="Calibri"/>
        <family val="2"/>
      </rPr>
      <t>µ</t>
    </r>
    <r>
      <rPr>
        <b/>
        <sz val="11"/>
        <color rgb="FF00B050"/>
        <rFont val="Calibri"/>
        <family val="2"/>
        <scheme val="minor"/>
      </rPr>
      <t>g/ml) Recovered</t>
    </r>
  </si>
  <si>
    <r>
      <t>Percent Recovery</t>
    </r>
    <r>
      <rPr>
        <b/>
        <sz val="11"/>
        <color theme="1"/>
        <rFont val="Calibri"/>
        <family val="2"/>
        <scheme val="minor"/>
      </rPr>
      <t>#</t>
    </r>
  </si>
  <si>
    <t>Mean Mass of cartridge and Pg/Vg</t>
  </si>
  <si>
    <t>Mean Mass of cartridge and Pg/Vg after 100 puffs</t>
  </si>
  <si>
    <t>Mean Volume Vaporized after 100 puffs = Mass/Density</t>
  </si>
  <si>
    <t>Mean Vaporization Volume/puff</t>
  </si>
  <si>
    <t>Milliampere-hour</t>
  </si>
  <si>
    <t>~ 250 mAh</t>
  </si>
  <si>
    <t>20,000 ug/ml nicotine in cartridge</t>
  </si>
  <si>
    <t>Chamber has volume of 5400 mL</t>
  </si>
  <si>
    <t>Three Six-well Plates inside Chamber</t>
  </si>
  <si>
    <t>10 mL  BHI in 9 wells (3 wells filled per plate)</t>
  </si>
  <si>
    <t>4 ul volume vaporized per puff with 80 ug nicotine per puff</t>
  </si>
  <si>
    <t>Nicotine Flow into chamber is 1.45 ug/puff/ml</t>
  </si>
  <si>
    <t>Aera Under the Curve</t>
  </si>
  <si>
    <t>Measured Concentration</t>
  </si>
  <si>
    <t>SEM</t>
  </si>
  <si>
    <t>% Deviation from Injected Concentrations</t>
  </si>
  <si>
    <t>Limits of Detection and Quantitation</t>
  </si>
  <si>
    <t>LOD =</t>
  </si>
  <si>
    <t>LOQ =</t>
  </si>
  <si>
    <t>Retension Times</t>
  </si>
  <si>
    <t>Available volume in Chamber = 5250 ml</t>
  </si>
  <si>
    <t>Dilution Factor for occupied wells</t>
  </si>
  <si>
    <t>Volume of nine filled wells = 90 ml (10 ml/well)</t>
  </si>
  <si>
    <t>25 puffs = 2 mg nicotine in chamber</t>
  </si>
  <si>
    <t>50 puffs = 4 mg nicotine in chamber</t>
  </si>
  <si>
    <t>100 puffs = 8 mg nicotine in chamber</t>
  </si>
  <si>
    <r>
      <t>Nicotine (mg) recovered</t>
    </r>
    <r>
      <rPr>
        <b/>
        <sz val="11"/>
        <color theme="1"/>
        <rFont val="Calibri"/>
        <family val="2"/>
        <scheme val="minor"/>
      </rPr>
      <t>@</t>
    </r>
  </si>
  <si>
    <t>Nicotine (mg) recovered@</t>
  </si>
  <si>
    <t>Percent Recovery = Nicotine (mg) recovered from wells / nicotine (mg) inside chamber</t>
  </si>
  <si>
    <r>
      <t xml:space="preserve">@ = (Nicotine recovered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g / conversion factor)* Dilution Factor</t>
    </r>
  </si>
  <si>
    <t>Volume of three six-well plates = 60 ml</t>
  </si>
  <si>
    <t>10 mL</t>
  </si>
  <si>
    <t># = (Nicotine mg recovered / nicotine mg in X puffs) * 100</t>
  </si>
  <si>
    <t>Weight (g)</t>
  </si>
  <si>
    <t>After 50 puffs</t>
  </si>
  <si>
    <t>After 25 puffs</t>
  </si>
  <si>
    <t>After 100 puffs</t>
  </si>
  <si>
    <t>Fill Cartridge with E-Liquid and Weigh before and after puffing.</t>
  </si>
  <si>
    <t>(see sheet3: vaporization per puff)</t>
  </si>
  <si>
    <t>Standard concentrations of nicotine were prepared in BHI.</t>
  </si>
  <si>
    <r>
      <t xml:space="preserve">3.125 </t>
    </r>
    <r>
      <rPr>
        <b/>
        <sz val="11"/>
        <color theme="1"/>
        <rFont val="Aptos Narrow"/>
        <family val="2"/>
      </rPr>
      <t>µ</t>
    </r>
    <r>
      <rPr>
        <b/>
        <sz val="11"/>
        <color theme="1"/>
        <rFont val="Calibri"/>
        <family val="2"/>
        <scheme val="minor"/>
      </rPr>
      <t>g/mL</t>
    </r>
  </si>
  <si>
    <t>6.25 µg/mL</t>
  </si>
  <si>
    <t>12.5 µg/mL</t>
  </si>
  <si>
    <t>25 µg/mL</t>
  </si>
  <si>
    <t>50 µg/mL</t>
  </si>
  <si>
    <t>3.125 µg/mL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</si>
</sst>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theme="8"/>
      <name val="Calibri"/>
      <family val="2"/>
      <scheme val="minor"/>
    </font>
    <font>
      <b/>
      <sz val="11"/>
      <color theme="8"/>
      <name val="Calibri"/>
      <family val="2"/>
    </font>
    <font>
      <sz val="11"/>
      <color theme="8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50"/>
      <name val="Calibri"/>
      <family val="2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0" fillId="0" borderId="0" xfId="0" applyNumberFormat="1"/>
    <xf numFmtId="2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12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165" fontId="9" fillId="0" borderId="0" xfId="0" applyNumberFormat="1" applyFont="1" applyAlignment="1">
      <alignment horizontal="center"/>
    </xf>
    <xf numFmtId="165" fontId="11" fillId="0" borderId="0" xfId="0" applyNumberFormat="1" applyFont="1"/>
    <xf numFmtId="165" fontId="11" fillId="0" borderId="0" xfId="0" applyNumberFormat="1" applyFont="1" applyAlignment="1">
      <alignment horizontal="center"/>
    </xf>
    <xf numFmtId="165" fontId="6" fillId="0" borderId="0" xfId="0" applyNumberFormat="1" applyFont="1"/>
    <xf numFmtId="165" fontId="9" fillId="0" borderId="0" xfId="0" applyNumberFormat="1" applyFont="1"/>
    <xf numFmtId="165" fontId="16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4" fillId="0" borderId="0" xfId="0" applyNumberFormat="1" applyFont="1"/>
    <xf numFmtId="165" fontId="4" fillId="0" borderId="0" xfId="0" applyNumberFormat="1" applyFont="1" applyAlignment="1">
      <alignment horizontal="center"/>
    </xf>
    <xf numFmtId="165" fontId="5" fillId="0" borderId="0" xfId="0" applyNumberFormat="1" applyFont="1"/>
    <xf numFmtId="165" fontId="17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164" fontId="1" fillId="0" borderId="0" xfId="0" applyNumberFormat="1" applyFont="1"/>
    <xf numFmtId="0" fontId="0" fillId="0" borderId="0" xfId="0" applyAlignment="1">
      <alignment horizontal="right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40</xdr:row>
      <xdr:rowOff>47625</xdr:rowOff>
    </xdr:from>
    <xdr:to>
      <xdr:col>1</xdr:col>
      <xdr:colOff>561975</xdr:colOff>
      <xdr:row>46</xdr:row>
      <xdr:rowOff>19050</xdr:rowOff>
    </xdr:to>
    <xdr:pic>
      <xdr:nvPicPr>
        <xdr:cNvPr id="5" name="Picture 4" descr="Starter Kits ✩ – Apollo">
          <a:extLst>
            <a:ext uri="{FF2B5EF4-FFF2-40B4-BE49-F238E27FC236}">
              <a16:creationId xmlns:a16="http://schemas.microsoft.com/office/drawing/2014/main" id="{FAAD69BA-0DAB-365E-9035-98861B85F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77150"/>
          <a:ext cx="11144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52</xdr:row>
      <xdr:rowOff>28576</xdr:rowOff>
    </xdr:from>
    <xdr:to>
      <xdr:col>1</xdr:col>
      <xdr:colOff>603923</xdr:colOff>
      <xdr:row>59</xdr:row>
      <xdr:rowOff>9526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CE64C2A-46C8-595B-9799-FDA1525F3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991726"/>
          <a:ext cx="1184948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46</xdr:row>
      <xdr:rowOff>66675</xdr:rowOff>
    </xdr:from>
    <xdr:to>
      <xdr:col>1</xdr:col>
      <xdr:colOff>217932</xdr:colOff>
      <xdr:row>51</xdr:row>
      <xdr:rowOff>92583</xdr:rowOff>
    </xdr:to>
    <xdr:sp macro="" textlink="">
      <xdr:nvSpPr>
        <xdr:cNvPr id="13" name="Arrow: Down 12">
          <a:extLst>
            <a:ext uri="{FF2B5EF4-FFF2-40B4-BE49-F238E27FC236}">
              <a16:creationId xmlns:a16="http://schemas.microsoft.com/office/drawing/2014/main" id="{A1BA421C-C73F-262F-BC1E-AA19D5130024}"/>
            </a:ext>
          </a:extLst>
        </xdr:cNvPr>
        <xdr:cNvSpPr/>
      </xdr:nvSpPr>
      <xdr:spPr>
        <a:xfrm>
          <a:off x="342900" y="8839200"/>
          <a:ext cx="484632" cy="978408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142875</xdr:colOff>
      <xdr:row>64</xdr:row>
      <xdr:rowOff>47626</xdr:rowOff>
    </xdr:from>
    <xdr:to>
      <xdr:col>1</xdr:col>
      <xdr:colOff>514350</xdr:colOff>
      <xdr:row>71</xdr:row>
      <xdr:rowOff>36124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5D6058C3-99D2-6BE9-2464-7AA9C017C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875" y="12249151"/>
          <a:ext cx="981075" cy="1321998"/>
        </a:xfrm>
        <a:prstGeom prst="rect">
          <a:avLst/>
        </a:prstGeom>
      </xdr:spPr>
    </xdr:pic>
    <xdr:clientData/>
  </xdr:twoCellAnchor>
  <xdr:twoCellAnchor>
    <xdr:from>
      <xdr:col>0</xdr:col>
      <xdr:colOff>419100</xdr:colOff>
      <xdr:row>59</xdr:row>
      <xdr:rowOff>0</xdr:rowOff>
    </xdr:from>
    <xdr:to>
      <xdr:col>1</xdr:col>
      <xdr:colOff>294132</xdr:colOff>
      <xdr:row>64</xdr:row>
      <xdr:rowOff>25908</xdr:rowOff>
    </xdr:to>
    <xdr:sp macro="" textlink="">
      <xdr:nvSpPr>
        <xdr:cNvPr id="18" name="Arrow: Down 17">
          <a:extLst>
            <a:ext uri="{FF2B5EF4-FFF2-40B4-BE49-F238E27FC236}">
              <a16:creationId xmlns:a16="http://schemas.microsoft.com/office/drawing/2014/main" id="{3ED18A9E-EC3C-470D-884E-1CDF1EEB3631}"/>
            </a:ext>
          </a:extLst>
        </xdr:cNvPr>
        <xdr:cNvSpPr/>
      </xdr:nvSpPr>
      <xdr:spPr>
        <a:xfrm>
          <a:off x="419100" y="11249025"/>
          <a:ext cx="484632" cy="978408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1"/>
  <sheetViews>
    <sheetView workbookViewId="0">
      <selection activeCell="I57" sqref="I57"/>
    </sheetView>
  </sheetViews>
  <sheetFormatPr defaultRowHeight="15" x14ac:dyDescent="0.25"/>
  <cols>
    <col min="5" max="5" width="17.85546875" customWidth="1"/>
    <col min="10" max="10" width="9.5703125" bestFit="1" customWidth="1"/>
    <col min="12" max="17" width="9.28515625" bestFit="1" customWidth="1"/>
    <col min="20" max="20" width="9.7109375" customWidth="1"/>
    <col min="21" max="22" width="10.42578125" customWidth="1"/>
    <col min="23" max="23" width="10.140625" customWidth="1"/>
    <col min="24" max="27" width="9.28515625" bestFit="1" customWidth="1"/>
  </cols>
  <sheetData>
    <row r="1" spans="1:28" ht="15.75" x14ac:dyDescent="0.25">
      <c r="A1" s="1"/>
      <c r="B1" s="1"/>
      <c r="C1" s="2" t="s">
        <v>0</v>
      </c>
      <c r="D1" s="1"/>
      <c r="I1" s="15"/>
      <c r="J1" s="16" t="s">
        <v>77</v>
      </c>
      <c r="K1" s="16"/>
      <c r="L1" s="16"/>
      <c r="M1" s="16"/>
      <c r="N1" s="16"/>
      <c r="O1" s="16"/>
      <c r="P1" s="16"/>
      <c r="Q1" s="16"/>
      <c r="R1" s="17"/>
      <c r="S1" s="18"/>
      <c r="T1" s="19" t="s">
        <v>40</v>
      </c>
      <c r="U1" s="19"/>
      <c r="V1" s="19"/>
      <c r="W1" s="19"/>
      <c r="X1" s="19"/>
      <c r="Y1" s="19"/>
      <c r="Z1" s="19"/>
      <c r="AA1" s="19"/>
      <c r="AB1" s="17"/>
    </row>
    <row r="2" spans="1:28" x14ac:dyDescent="0.25">
      <c r="I2" s="16"/>
      <c r="J2" s="16" t="s">
        <v>9</v>
      </c>
      <c r="K2" s="16"/>
      <c r="L2" s="16" t="s">
        <v>48</v>
      </c>
      <c r="M2" s="16" t="s">
        <v>49</v>
      </c>
      <c r="N2" s="16" t="s">
        <v>50</v>
      </c>
      <c r="O2" s="16" t="s">
        <v>10</v>
      </c>
      <c r="P2" s="16" t="s">
        <v>11</v>
      </c>
      <c r="Q2" s="16" t="s">
        <v>12</v>
      </c>
      <c r="R2" s="17"/>
      <c r="S2" s="19"/>
      <c r="T2" s="19" t="s">
        <v>9</v>
      </c>
      <c r="U2" s="19"/>
      <c r="V2" s="19" t="s">
        <v>48</v>
      </c>
      <c r="W2" s="19" t="s">
        <v>49</v>
      </c>
      <c r="X2" s="19" t="s">
        <v>50</v>
      </c>
      <c r="Y2" s="19" t="s">
        <v>10</v>
      </c>
      <c r="Z2" s="19" t="s">
        <v>11</v>
      </c>
      <c r="AA2" s="19" t="s">
        <v>12</v>
      </c>
      <c r="AB2" s="17"/>
    </row>
    <row r="3" spans="1:28" x14ac:dyDescent="0.25">
      <c r="A3" s="3" t="s">
        <v>1</v>
      </c>
      <c r="B3" s="3"/>
      <c r="F3" t="s">
        <v>7</v>
      </c>
      <c r="I3" s="15"/>
      <c r="J3" s="16">
        <v>25</v>
      </c>
      <c r="K3" s="15"/>
      <c r="L3" s="15">
        <v>0.33312000000000003</v>
      </c>
      <c r="M3" s="15">
        <v>0.25357000000000002</v>
      </c>
      <c r="N3" s="15">
        <v>0.32350000000000001</v>
      </c>
      <c r="O3" s="16">
        <f>AVERAGE(L3:N3)</f>
        <v>0.3033966666666667</v>
      </c>
      <c r="P3" s="16">
        <f>STDEV(L3:N3)</f>
        <v>4.3418413528517552E-2</v>
      </c>
      <c r="Q3" s="16">
        <f>P3/SQRT(3)</f>
        <v>2.5067632738476099E-2</v>
      </c>
      <c r="R3" s="17"/>
      <c r="S3" s="18"/>
      <c r="T3" s="19">
        <v>25</v>
      </c>
      <c r="U3" s="18"/>
      <c r="V3" s="18">
        <f>(L3+L22+L41)/3</f>
        <v>0.33441000000000004</v>
      </c>
      <c r="W3" s="18">
        <f t="shared" ref="W3:X3" si="0">(M3+M22+M41)/3</f>
        <v>0.36979333333333336</v>
      </c>
      <c r="X3" s="18">
        <f t="shared" si="0"/>
        <v>0.41762666666666665</v>
      </c>
      <c r="Y3" s="19">
        <f>AVERAGE(V3:X3)</f>
        <v>0.37394333333333335</v>
      </c>
      <c r="Z3" s="19">
        <f>STDEV(V3:X3)</f>
        <v>4.1763264692523443E-2</v>
      </c>
      <c r="AA3" s="19">
        <f>Z3/SQRT(3)</f>
        <v>2.4112032112466004E-2</v>
      </c>
      <c r="AB3" s="17"/>
    </row>
    <row r="4" spans="1:28" x14ac:dyDescent="0.25">
      <c r="A4" s="3"/>
      <c r="B4" s="3"/>
      <c r="I4" s="15"/>
      <c r="J4" s="16">
        <v>50</v>
      </c>
      <c r="K4" s="15"/>
      <c r="L4" s="15">
        <v>0.92793999999999999</v>
      </c>
      <c r="M4" s="15">
        <v>1.4752000000000001</v>
      </c>
      <c r="N4" s="15">
        <v>1.31762</v>
      </c>
      <c r="O4" s="16">
        <f>AVERAGE(L4:N4)</f>
        <v>1.2402533333333334</v>
      </c>
      <c r="P4" s="16">
        <f>STDEV(L4:N4)</f>
        <v>0.28171364491861745</v>
      </c>
      <c r="Q4" s="16">
        <f t="shared" ref="Q4:Q5" si="1">P4/SQRT(3)</f>
        <v>0.16264744872815445</v>
      </c>
      <c r="R4" s="17"/>
      <c r="S4" s="18"/>
      <c r="T4" s="19">
        <v>50</v>
      </c>
      <c r="U4" s="18"/>
      <c r="V4" s="18">
        <f t="shared" ref="V4" si="2">(L4+L23+L42)/3</f>
        <v>1.3740999999999997</v>
      </c>
      <c r="W4" s="18">
        <f t="shared" ref="W4" si="3">(M4+M23+M42)/3</f>
        <v>1.549496666666667</v>
      </c>
      <c r="X4" s="18">
        <f t="shared" ref="X4:X5" si="4">(N4+N23+N42)/3</f>
        <v>1.5975000000000001</v>
      </c>
      <c r="Y4" s="19">
        <f>AVERAGE(V4:X4)</f>
        <v>1.5070322222222223</v>
      </c>
      <c r="Z4" s="19">
        <f>STDEV(V4:X4)</f>
        <v>0.11759809429357923</v>
      </c>
      <c r="AA4" s="19">
        <f t="shared" ref="AA4:AA5" si="5">Z4/SQRT(3)</f>
        <v>6.789529139658497E-2</v>
      </c>
      <c r="AB4" s="17"/>
    </row>
    <row r="5" spans="1:28" x14ac:dyDescent="0.25">
      <c r="A5" s="3" t="s">
        <v>6</v>
      </c>
      <c r="B5" s="3"/>
      <c r="F5" t="s">
        <v>46</v>
      </c>
      <c r="I5" s="15"/>
      <c r="J5" s="16">
        <v>100</v>
      </c>
      <c r="K5" s="15"/>
      <c r="L5" s="15">
        <v>4.8599600000000001</v>
      </c>
      <c r="M5" s="15">
        <v>4.9262100000000002</v>
      </c>
      <c r="N5" s="15">
        <v>4.9734699999999998</v>
      </c>
      <c r="O5" s="16">
        <f>AVERAGE(L5:N5)</f>
        <v>4.91988</v>
      </c>
      <c r="P5" s="16">
        <f>STDEV(L5:N5)</f>
        <v>5.7019134507636897E-2</v>
      </c>
      <c r="Q5" s="16">
        <f t="shared" si="1"/>
        <v>3.2920012656943644E-2</v>
      </c>
      <c r="R5" s="17"/>
      <c r="S5" s="18"/>
      <c r="T5" s="19">
        <v>100</v>
      </c>
      <c r="U5" s="18"/>
      <c r="V5" s="18">
        <f>(L5+L24+L43)/3</f>
        <v>4.4673933333333338</v>
      </c>
      <c r="W5" s="18">
        <f>(M5+M24+M43)/3</f>
        <v>4.6814233333333339</v>
      </c>
      <c r="X5" s="18">
        <f t="shared" si="4"/>
        <v>4.4076566666666661</v>
      </c>
      <c r="Y5" s="19">
        <f>AVERAGE(V5:X5)</f>
        <v>4.5188244444444452</v>
      </c>
      <c r="Z5" s="19">
        <f>STDEV(V5:X5)</f>
        <v>0.14394761664243411</v>
      </c>
      <c r="AA5" s="19">
        <f t="shared" si="5"/>
        <v>8.3108195217714384E-2</v>
      </c>
      <c r="AB5" s="17"/>
    </row>
    <row r="6" spans="1:28" x14ac:dyDescent="0.25">
      <c r="A6" s="3"/>
      <c r="B6" s="3"/>
      <c r="I6" s="15"/>
      <c r="J6" s="15"/>
      <c r="K6" s="15"/>
      <c r="L6" s="15"/>
      <c r="M6" s="15"/>
      <c r="N6" s="15"/>
      <c r="O6" s="15"/>
      <c r="P6" s="15"/>
      <c r="Q6" s="15"/>
      <c r="R6" s="17"/>
      <c r="S6" s="18"/>
      <c r="T6" s="18"/>
      <c r="U6" s="18"/>
      <c r="V6" s="18"/>
      <c r="W6" s="18"/>
      <c r="X6" s="18"/>
      <c r="Y6" s="18"/>
      <c r="Z6" s="18"/>
      <c r="AA6" s="18"/>
      <c r="AB6" s="17"/>
    </row>
    <row r="7" spans="1:28" x14ac:dyDescent="0.25">
      <c r="A7" s="3" t="s">
        <v>2</v>
      </c>
      <c r="B7" s="3"/>
      <c r="F7" t="s">
        <v>47</v>
      </c>
      <c r="I7" s="16"/>
      <c r="J7" s="16" t="s">
        <v>105</v>
      </c>
      <c r="K7" s="16"/>
      <c r="L7" s="16"/>
      <c r="M7" s="16"/>
      <c r="N7" s="16"/>
      <c r="O7" s="16"/>
      <c r="P7" s="16"/>
      <c r="Q7" s="16"/>
      <c r="R7" s="17"/>
      <c r="S7" s="19"/>
      <c r="T7" s="19" t="s">
        <v>106</v>
      </c>
      <c r="U7" s="19"/>
      <c r="V7" s="19"/>
      <c r="W7" s="19"/>
      <c r="X7" s="19"/>
      <c r="Y7" s="19"/>
      <c r="Z7" s="19"/>
      <c r="AA7" s="19"/>
      <c r="AB7" s="17"/>
    </row>
    <row r="8" spans="1:28" x14ac:dyDescent="0.25">
      <c r="A8" s="3"/>
      <c r="B8" s="3"/>
      <c r="I8" s="15"/>
      <c r="J8" s="16" t="s">
        <v>9</v>
      </c>
      <c r="K8" s="16"/>
      <c r="L8" s="16" t="s">
        <v>48</v>
      </c>
      <c r="M8" s="16" t="s">
        <v>49</v>
      </c>
      <c r="N8" s="16" t="s">
        <v>50</v>
      </c>
      <c r="O8" s="16" t="s">
        <v>10</v>
      </c>
      <c r="P8" s="16" t="s">
        <v>11</v>
      </c>
      <c r="Q8" s="16" t="s">
        <v>12</v>
      </c>
      <c r="R8" s="17"/>
      <c r="S8" s="18"/>
      <c r="T8" s="19" t="s">
        <v>9</v>
      </c>
      <c r="U8" s="19"/>
      <c r="V8" s="19" t="s">
        <v>48</v>
      </c>
      <c r="W8" s="19" t="s">
        <v>49</v>
      </c>
      <c r="X8" s="19" t="s">
        <v>50</v>
      </c>
      <c r="Y8" s="19" t="s">
        <v>10</v>
      </c>
      <c r="Z8" s="19" t="s">
        <v>11</v>
      </c>
      <c r="AA8" s="19" t="s">
        <v>12</v>
      </c>
      <c r="AB8" s="17"/>
    </row>
    <row r="9" spans="1:28" x14ac:dyDescent="0.25">
      <c r="A9" s="3" t="s">
        <v>3</v>
      </c>
      <c r="B9" s="3"/>
      <c r="F9" t="s">
        <v>4</v>
      </c>
      <c r="I9" s="15"/>
      <c r="J9" s="16">
        <v>25</v>
      </c>
      <c r="K9" s="15"/>
      <c r="L9" s="15">
        <f>(L3/1000)*10</f>
        <v>3.3312000000000003E-3</v>
      </c>
      <c r="M9" s="15">
        <f t="shared" ref="M9:N9" si="6">(M3/1000)*10</f>
        <v>2.5357000000000001E-3</v>
      </c>
      <c r="N9" s="15">
        <f t="shared" si="6"/>
        <v>3.235E-3</v>
      </c>
      <c r="O9" s="16">
        <f>AVERAGE(L9:N9)</f>
        <v>3.0339666666666667E-3</v>
      </c>
      <c r="P9" s="16">
        <f>STDEV(L9:N9)</f>
        <v>4.3418413528517299E-4</v>
      </c>
      <c r="Q9" s="16">
        <f>P9/SQRT(3)</f>
        <v>2.5067632738475952E-4</v>
      </c>
      <c r="R9" s="17"/>
      <c r="S9" s="18"/>
      <c r="T9" s="19">
        <v>25</v>
      </c>
      <c r="U9" s="18"/>
      <c r="V9" s="18">
        <f>(V3/1000)*10</f>
        <v>3.3441000000000005E-3</v>
      </c>
      <c r="W9" s="18">
        <f t="shared" ref="W9:X9" si="7">(W3/1000)*10</f>
        <v>3.6979333333333336E-3</v>
      </c>
      <c r="X9" s="18">
        <f t="shared" si="7"/>
        <v>4.176266666666666E-3</v>
      </c>
      <c r="Y9" s="19">
        <f>AVERAGE(V9:X9)</f>
        <v>3.7394333333333335E-3</v>
      </c>
      <c r="Z9" s="19">
        <f>STDEV(V9:X9)</f>
        <v>4.1763264692523417E-4</v>
      </c>
      <c r="AA9" s="19">
        <f>Z9/SQRT(3)</f>
        <v>2.411203211246599E-4</v>
      </c>
      <c r="AB9" s="17"/>
    </row>
    <row r="10" spans="1:28" x14ac:dyDescent="0.25">
      <c r="A10" s="3"/>
      <c r="B10" s="3"/>
      <c r="I10" s="15"/>
      <c r="J10" s="16">
        <v>50</v>
      </c>
      <c r="K10" s="15"/>
      <c r="L10" s="15">
        <f t="shared" ref="L10:N10" si="8">(L4/1000)*10</f>
        <v>9.2794000000000001E-3</v>
      </c>
      <c r="M10" s="15">
        <f t="shared" si="8"/>
        <v>1.4752000000000001E-2</v>
      </c>
      <c r="N10" s="15">
        <f t="shared" si="8"/>
        <v>1.3176200000000001E-2</v>
      </c>
      <c r="O10" s="16">
        <f>AVERAGE(L10:N10)</f>
        <v>1.2402533333333333E-2</v>
      </c>
      <c r="P10" s="16">
        <f>STDEV(L10:N10)</f>
        <v>2.8171364491861831E-3</v>
      </c>
      <c r="Q10" s="16">
        <f t="shared" ref="Q10:Q11" si="9">P10/SQRT(3)</f>
        <v>1.6264744872815495E-3</v>
      </c>
      <c r="R10" s="17"/>
      <c r="S10" s="18"/>
      <c r="T10" s="19">
        <v>50</v>
      </c>
      <c r="U10" s="18"/>
      <c r="V10" s="18">
        <f t="shared" ref="V10:X10" si="10">(V4/1000)*10</f>
        <v>1.3740999999999996E-2</v>
      </c>
      <c r="W10" s="18">
        <f t="shared" si="10"/>
        <v>1.549496666666667E-2</v>
      </c>
      <c r="X10" s="18">
        <f t="shared" si="10"/>
        <v>1.5975000000000003E-2</v>
      </c>
      <c r="Y10" s="19">
        <f>AVERAGE(V10:X10)</f>
        <v>1.5070322222222224E-2</v>
      </c>
      <c r="Z10" s="19">
        <f>STDEV(V10:X10)</f>
        <v>1.1759809429357933E-3</v>
      </c>
      <c r="AA10" s="19">
        <f t="shared" ref="AA10:AA11" si="11">Z10/SQRT(3)</f>
        <v>6.789529139658503E-4</v>
      </c>
      <c r="AB10" s="17"/>
    </row>
    <row r="11" spans="1:28" x14ac:dyDescent="0.25">
      <c r="A11" s="3" t="s">
        <v>5</v>
      </c>
      <c r="B11" s="3"/>
      <c r="F11" t="s">
        <v>13</v>
      </c>
      <c r="I11" s="15"/>
      <c r="J11" s="16">
        <v>100</v>
      </c>
      <c r="K11" s="15"/>
      <c r="L11" s="15">
        <f t="shared" ref="L11:N11" si="12">(L5/1000)*10</f>
        <v>4.85996E-2</v>
      </c>
      <c r="M11" s="15">
        <f t="shared" si="12"/>
        <v>4.9262100000000003E-2</v>
      </c>
      <c r="N11" s="15">
        <f t="shared" si="12"/>
        <v>4.97347E-2</v>
      </c>
      <c r="O11" s="16">
        <f>AVERAGE(L11:N11)</f>
        <v>4.9198799999999994E-2</v>
      </c>
      <c r="P11" s="16">
        <f>STDEV(L11:N11)</f>
        <v>5.701913450763702E-4</v>
      </c>
      <c r="Q11" s="16">
        <f t="shared" si="9"/>
        <v>3.2920012656943715E-4</v>
      </c>
      <c r="R11" s="17"/>
      <c r="S11" s="18"/>
      <c r="T11" s="19">
        <v>100</v>
      </c>
      <c r="U11" s="18"/>
      <c r="V11" s="18">
        <f t="shared" ref="V11:X11" si="13">(V5/1000)*10</f>
        <v>4.4673933333333339E-2</v>
      </c>
      <c r="W11" s="18">
        <f t="shared" si="13"/>
        <v>4.6814233333333337E-2</v>
      </c>
      <c r="X11" s="18">
        <f t="shared" si="13"/>
        <v>4.4076566666666657E-2</v>
      </c>
      <c r="Y11" s="19">
        <f>AVERAGE(V11:X11)</f>
        <v>4.5188244444444442E-2</v>
      </c>
      <c r="Z11" s="19">
        <f>STDEV(V11:X11)</f>
        <v>1.439476166424341E-3</v>
      </c>
      <c r="AA11" s="19">
        <f t="shared" si="11"/>
        <v>8.3108195217714389E-4</v>
      </c>
      <c r="AB11" s="17"/>
    </row>
    <row r="12" spans="1:28" x14ac:dyDescent="0.25">
      <c r="A12" s="3"/>
      <c r="B12" s="3"/>
      <c r="I12" s="15"/>
      <c r="J12" s="16"/>
      <c r="K12" s="15"/>
      <c r="L12" s="15"/>
      <c r="M12" s="15"/>
      <c r="N12" s="15"/>
      <c r="O12" s="15"/>
      <c r="P12" s="15"/>
      <c r="Q12" s="15"/>
      <c r="R12" s="20"/>
      <c r="S12" s="18"/>
      <c r="T12" s="19"/>
      <c r="U12" s="18"/>
      <c r="V12" s="18"/>
      <c r="W12" s="18"/>
      <c r="X12" s="18"/>
      <c r="Y12" s="18"/>
      <c r="Z12" s="18"/>
      <c r="AA12" s="18"/>
      <c r="AB12" s="17"/>
    </row>
    <row r="13" spans="1:28" x14ac:dyDescent="0.25">
      <c r="A13" s="3" t="s">
        <v>38</v>
      </c>
      <c r="B13" s="3"/>
      <c r="F13" t="s">
        <v>43</v>
      </c>
      <c r="I13" s="16"/>
      <c r="J13" s="16" t="s">
        <v>78</v>
      </c>
      <c r="K13" s="15"/>
      <c r="L13" s="16"/>
      <c r="M13" s="16"/>
      <c r="N13" s="16"/>
      <c r="O13" s="16"/>
      <c r="P13" s="16"/>
      <c r="Q13" s="16"/>
      <c r="R13" s="17"/>
      <c r="S13" s="19"/>
      <c r="T13" s="19" t="s">
        <v>36</v>
      </c>
      <c r="U13" s="18"/>
      <c r="V13" s="19"/>
      <c r="W13" s="19"/>
      <c r="X13" s="19"/>
      <c r="Y13" s="19"/>
      <c r="Z13" s="19"/>
      <c r="AA13" s="19"/>
      <c r="AB13" s="17"/>
    </row>
    <row r="14" spans="1:28" x14ac:dyDescent="0.25">
      <c r="A14" s="3"/>
      <c r="B14" s="3"/>
      <c r="I14" s="15"/>
      <c r="J14" s="16" t="s">
        <v>9</v>
      </c>
      <c r="K14" s="15"/>
      <c r="L14" s="16" t="s">
        <v>48</v>
      </c>
      <c r="M14" s="16" t="s">
        <v>49</v>
      </c>
      <c r="N14" s="16" t="s">
        <v>50</v>
      </c>
      <c r="O14" s="16" t="s">
        <v>10</v>
      </c>
      <c r="P14" s="16" t="s">
        <v>11</v>
      </c>
      <c r="Q14" s="16" t="s">
        <v>12</v>
      </c>
      <c r="R14" s="17"/>
      <c r="S14" s="18"/>
      <c r="T14" s="19" t="s">
        <v>9</v>
      </c>
      <c r="U14" s="18"/>
      <c r="V14" s="19" t="s">
        <v>48</v>
      </c>
      <c r="W14" s="19" t="s">
        <v>49</v>
      </c>
      <c r="X14" s="19" t="s">
        <v>50</v>
      </c>
      <c r="Y14" s="19" t="s">
        <v>10</v>
      </c>
      <c r="Z14" s="19" t="s">
        <v>11</v>
      </c>
      <c r="AA14" s="19" t="s">
        <v>12</v>
      </c>
      <c r="AB14" s="17"/>
    </row>
    <row r="15" spans="1:28" x14ac:dyDescent="0.25">
      <c r="A15" s="3" t="s">
        <v>83</v>
      </c>
      <c r="B15" s="3"/>
      <c r="F15" t="s">
        <v>84</v>
      </c>
      <c r="I15" s="15"/>
      <c r="J15" s="16">
        <v>25</v>
      </c>
      <c r="K15" s="15"/>
      <c r="L15" s="15">
        <f>(L9/2)*100</f>
        <v>0.16656000000000001</v>
      </c>
      <c r="M15" s="15">
        <f t="shared" ref="M15:N15" si="14">(M9/2)*100</f>
        <v>0.12678500000000001</v>
      </c>
      <c r="N15" s="15">
        <f t="shared" si="14"/>
        <v>0.16175</v>
      </c>
      <c r="O15" s="16">
        <f>AVERAGE(L15:N15)</f>
        <v>0.15169833333333335</v>
      </c>
      <c r="P15" s="16">
        <f>STDEV(L15:N15)</f>
        <v>2.1709206764258776E-2</v>
      </c>
      <c r="Q15" s="16">
        <f>P15/SQRT(3)</f>
        <v>1.253381636923805E-2</v>
      </c>
      <c r="R15" s="17"/>
      <c r="S15" s="18"/>
      <c r="T15" s="19">
        <v>25</v>
      </c>
      <c r="U15" s="18"/>
      <c r="V15" s="18">
        <f>(V9/2)*100</f>
        <v>0.16720500000000002</v>
      </c>
      <c r="W15" s="18">
        <f t="shared" ref="W15:X15" si="15">(W9/2)*100</f>
        <v>0.18489666666666668</v>
      </c>
      <c r="X15" s="18">
        <f t="shared" si="15"/>
        <v>0.2088133333333333</v>
      </c>
      <c r="Y15" s="19">
        <f>AVERAGE(V15:X15)</f>
        <v>0.18697166666666667</v>
      </c>
      <c r="Z15" s="19">
        <f>STDEV(V15:X15)</f>
        <v>2.0881632346261707E-2</v>
      </c>
      <c r="AA15" s="19">
        <f>Z15/SQRT(3)</f>
        <v>1.2056016056232995E-2</v>
      </c>
      <c r="AB15" s="17"/>
    </row>
    <row r="16" spans="1:28" x14ac:dyDescent="0.25">
      <c r="A16" s="3"/>
      <c r="B16" s="3"/>
      <c r="I16" s="15"/>
      <c r="J16" s="16">
        <v>50</v>
      </c>
      <c r="K16" s="15"/>
      <c r="L16" s="15">
        <f>(L10/4)*100</f>
        <v>0.231985</v>
      </c>
      <c r="M16" s="15">
        <f t="shared" ref="M16:N16" si="16">(M10/4)*100</f>
        <v>0.36880000000000002</v>
      </c>
      <c r="N16" s="15">
        <f t="shared" si="16"/>
        <v>0.329405</v>
      </c>
      <c r="O16" s="16">
        <f>AVERAGE(L16:N16)</f>
        <v>0.31006333333333336</v>
      </c>
      <c r="P16" s="16">
        <f>STDEV(L16:N16)</f>
        <v>7.0428411229654361E-2</v>
      </c>
      <c r="Q16" s="16">
        <f t="shared" ref="Q16:Q17" si="17">P16/SQRT(3)</f>
        <v>4.0661862182038613E-2</v>
      </c>
      <c r="R16" s="17"/>
      <c r="S16" s="18"/>
      <c r="T16" s="19">
        <v>50</v>
      </c>
      <c r="U16" s="18"/>
      <c r="V16" s="18">
        <f>(V10/4)*100</f>
        <v>0.34352499999999991</v>
      </c>
      <c r="W16" s="18">
        <f t="shared" ref="W16:X16" si="18">(W10/4)*100</f>
        <v>0.38737416666666674</v>
      </c>
      <c r="X16" s="18">
        <f t="shared" si="18"/>
        <v>0.39937500000000009</v>
      </c>
      <c r="Y16" s="19">
        <f>AVERAGE(V16:X16)</f>
        <v>0.37675805555555558</v>
      </c>
      <c r="Z16" s="19">
        <f>STDEV(V16:X16)</f>
        <v>2.9399523573394832E-2</v>
      </c>
      <c r="AA16" s="19">
        <f t="shared" ref="AA16:AA17" si="19">Z16/SQRT(3)</f>
        <v>1.6973822849146256E-2</v>
      </c>
      <c r="AB16" s="17"/>
    </row>
    <row r="17" spans="1:28" x14ac:dyDescent="0.25">
      <c r="A17" s="3" t="s">
        <v>39</v>
      </c>
      <c r="B17" s="3"/>
      <c r="F17" t="s">
        <v>44</v>
      </c>
      <c r="I17" s="15"/>
      <c r="J17" s="16">
        <v>100</v>
      </c>
      <c r="K17" s="15"/>
      <c r="L17" s="15">
        <f>(L11/8)*100</f>
        <v>0.60749500000000001</v>
      </c>
      <c r="M17" s="15">
        <f t="shared" ref="M17:N17" si="20">(M11/8)*100</f>
        <v>0.61577625000000002</v>
      </c>
      <c r="N17" s="15">
        <f t="shared" si="20"/>
        <v>0.62168374999999998</v>
      </c>
      <c r="O17" s="16">
        <f>AVERAGE(L17:N17)</f>
        <v>0.614985</v>
      </c>
      <c r="P17" s="16">
        <f>STDEV(L17:N17)</f>
        <v>7.1273918134546121E-3</v>
      </c>
      <c r="Q17" s="16">
        <f t="shared" si="17"/>
        <v>4.1150015821179555E-3</v>
      </c>
      <c r="R17" s="17"/>
      <c r="S17" s="18"/>
      <c r="T17" s="19">
        <v>100</v>
      </c>
      <c r="U17" s="18"/>
      <c r="V17" s="18">
        <f>(V11/8)*100</f>
        <v>0.55842416666666672</v>
      </c>
      <c r="W17" s="18">
        <f t="shared" ref="W17:X17" si="21">(W11/8)*100</f>
        <v>0.58517791666666674</v>
      </c>
      <c r="X17" s="18">
        <f t="shared" si="21"/>
        <v>0.55095708333333326</v>
      </c>
      <c r="Y17" s="19">
        <f>AVERAGE(V17:X17)</f>
        <v>0.56485305555555565</v>
      </c>
      <c r="Z17" s="19">
        <f>STDEV(V17:X17)</f>
        <v>1.7993452080304263E-2</v>
      </c>
      <c r="AA17" s="19">
        <f t="shared" si="19"/>
        <v>1.0388524402214298E-2</v>
      </c>
      <c r="AB17" s="17"/>
    </row>
    <row r="18" spans="1:28" x14ac:dyDescent="0.25">
      <c r="A18" s="3"/>
      <c r="B18" s="3"/>
      <c r="I18" s="19"/>
      <c r="J18" s="18"/>
      <c r="K18" s="18"/>
      <c r="L18" s="18"/>
      <c r="M18" s="18"/>
      <c r="N18" s="18"/>
      <c r="O18" s="18"/>
      <c r="P18" s="18"/>
      <c r="Q18" s="18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spans="1:28" x14ac:dyDescent="0.25">
      <c r="A19" s="3" t="s">
        <v>37</v>
      </c>
      <c r="B19" s="3"/>
      <c r="F19" t="s">
        <v>45</v>
      </c>
      <c r="I19" s="18"/>
      <c r="J19" s="19"/>
      <c r="K19" s="18"/>
      <c r="L19" s="19"/>
      <c r="M19" s="19"/>
      <c r="N19" s="19"/>
      <c r="O19" s="19"/>
      <c r="P19" s="19"/>
      <c r="Q19" s="19"/>
      <c r="R19" s="20"/>
      <c r="S19" s="20"/>
      <c r="T19" s="20"/>
      <c r="U19" s="17"/>
      <c r="V19" s="17"/>
      <c r="W19" s="17"/>
      <c r="X19" s="17"/>
      <c r="Y19" s="17"/>
      <c r="Z19" s="17"/>
      <c r="AA19" s="17"/>
      <c r="AB19" s="17"/>
    </row>
    <row r="20" spans="1:28" x14ac:dyDescent="0.25">
      <c r="A20" s="3"/>
      <c r="B20" s="3"/>
      <c r="I20" s="18"/>
      <c r="J20" s="21" t="s">
        <v>54</v>
      </c>
      <c r="K20" s="21"/>
      <c r="L20" s="21"/>
      <c r="M20" s="21"/>
      <c r="N20" s="21"/>
      <c r="O20" s="21"/>
      <c r="P20" s="21"/>
      <c r="Q20" s="21"/>
      <c r="R20" s="22"/>
      <c r="S20" s="22"/>
      <c r="T20" s="22"/>
      <c r="U20" s="17"/>
      <c r="V20" s="17"/>
      <c r="W20" s="17"/>
      <c r="X20" s="17"/>
      <c r="Y20" s="17"/>
      <c r="Z20" s="17"/>
      <c r="AA20" s="17"/>
      <c r="AB20" s="17"/>
    </row>
    <row r="21" spans="1:28" ht="18.75" x14ac:dyDescent="0.3">
      <c r="A21" s="3" t="s">
        <v>51</v>
      </c>
      <c r="B21" s="3"/>
      <c r="F21" t="s">
        <v>52</v>
      </c>
      <c r="I21" s="18"/>
      <c r="J21" s="21" t="s">
        <v>9</v>
      </c>
      <c r="K21" s="21"/>
      <c r="L21" s="21" t="s">
        <v>48</v>
      </c>
      <c r="M21" s="21" t="s">
        <v>49</v>
      </c>
      <c r="N21" s="21" t="s">
        <v>50</v>
      </c>
      <c r="O21" s="21" t="s">
        <v>10</v>
      </c>
      <c r="P21" s="21" t="s">
        <v>11</v>
      </c>
      <c r="Q21" s="21" t="s">
        <v>12</v>
      </c>
      <c r="R21" s="22"/>
      <c r="S21" s="21"/>
      <c r="T21" s="32"/>
      <c r="U21" s="32"/>
      <c r="V21" s="17"/>
      <c r="W21" s="17"/>
      <c r="X21" s="17"/>
      <c r="Y21" s="17"/>
      <c r="Z21" s="17"/>
      <c r="AA21" s="17"/>
      <c r="AB21" s="17"/>
    </row>
    <row r="22" spans="1:28" x14ac:dyDescent="0.25">
      <c r="A22" s="3"/>
      <c r="B22" s="3"/>
      <c r="I22" s="18"/>
      <c r="J22" s="21">
        <v>25</v>
      </c>
      <c r="K22" s="23"/>
      <c r="L22" s="23">
        <v>0.24288999999999999</v>
      </c>
      <c r="M22" s="23">
        <v>0.39604</v>
      </c>
      <c r="N22" s="23">
        <v>0.49548999999999999</v>
      </c>
      <c r="O22" s="21">
        <f>AVERAGE(L22:N22)</f>
        <v>0.37813999999999998</v>
      </c>
      <c r="P22" s="21">
        <f>STDEV(L22:N22)</f>
        <v>0.12724777994134109</v>
      </c>
      <c r="Q22" s="21">
        <f>P22/SQRT(3)</f>
        <v>7.346654000291554E-2</v>
      </c>
      <c r="R22" s="22"/>
      <c r="S22" s="23"/>
      <c r="T22" s="14"/>
      <c r="U22" s="33"/>
      <c r="V22" s="17"/>
      <c r="W22" s="17"/>
      <c r="X22" s="17"/>
      <c r="Y22" s="17"/>
      <c r="Z22" s="17"/>
      <c r="AA22" s="17"/>
      <c r="AB22" s="17"/>
    </row>
    <row r="23" spans="1:28" x14ac:dyDescent="0.25">
      <c r="A23" s="3" t="s">
        <v>79</v>
      </c>
      <c r="B23" s="3"/>
      <c r="F23" t="s">
        <v>73</v>
      </c>
      <c r="I23" s="18"/>
      <c r="J23" s="21">
        <v>50</v>
      </c>
      <c r="K23" s="23"/>
      <c r="L23" s="23">
        <v>1.5222599999999999</v>
      </c>
      <c r="M23" s="23">
        <v>1.5841700000000001</v>
      </c>
      <c r="N23" s="23">
        <v>1.44648</v>
      </c>
      <c r="O23" s="21">
        <f>AVERAGE(L23:N23)</f>
        <v>1.5176366666666665</v>
      </c>
      <c r="P23" s="21">
        <f>STDEV(L23:N23)</f>
        <v>6.8961332885417309E-2</v>
      </c>
      <c r="Q23" s="21">
        <f t="shared" ref="Q23:Q24" si="22">P23/SQRT(3)</f>
        <v>3.9814844105071079E-2</v>
      </c>
      <c r="R23" s="22"/>
      <c r="S23" s="23"/>
      <c r="T23" s="14"/>
      <c r="U23" s="33"/>
      <c r="V23" s="17"/>
      <c r="W23" s="17"/>
      <c r="X23" s="17"/>
      <c r="Y23" s="17"/>
      <c r="Z23" s="17"/>
      <c r="AA23" s="17"/>
      <c r="AB23" s="17"/>
    </row>
    <row r="24" spans="1:28" x14ac:dyDescent="0.25">
      <c r="A24" s="3"/>
      <c r="B24" s="3"/>
      <c r="I24" s="18"/>
      <c r="J24" s="21">
        <v>100</v>
      </c>
      <c r="K24" s="23"/>
      <c r="L24" s="23">
        <v>5.5129599999999996</v>
      </c>
      <c r="M24" s="23">
        <v>5.5954100000000002</v>
      </c>
      <c r="N24" s="23">
        <v>5.4390099999999997</v>
      </c>
      <c r="O24" s="21">
        <f>AVERAGE(L24:N24)</f>
        <v>5.5157933333333338</v>
      </c>
      <c r="P24" s="21">
        <f>STDEV(L24:N24)</f>
        <v>7.8238486905955543E-2</v>
      </c>
      <c r="Q24" s="21">
        <f t="shared" si="22"/>
        <v>4.5171011476142449E-2</v>
      </c>
      <c r="R24" s="22"/>
      <c r="S24" s="22"/>
      <c r="T24" s="14"/>
      <c r="U24" s="33"/>
      <c r="V24" s="24"/>
      <c r="W24" s="17"/>
      <c r="X24" s="17"/>
      <c r="Y24" s="17"/>
      <c r="Z24" s="17"/>
      <c r="AA24" s="17"/>
      <c r="AB24" s="17"/>
    </row>
    <row r="25" spans="1:28" x14ac:dyDescent="0.25">
      <c r="A25" s="3" t="s">
        <v>80</v>
      </c>
      <c r="B25" s="3"/>
      <c r="F25" t="s">
        <v>74</v>
      </c>
      <c r="I25" s="18"/>
      <c r="J25" s="23"/>
      <c r="K25" s="23"/>
      <c r="L25" s="23"/>
      <c r="M25" s="23"/>
      <c r="N25" s="23"/>
      <c r="O25" s="23"/>
      <c r="P25" s="23"/>
      <c r="Q25" s="23"/>
      <c r="R25" s="22"/>
      <c r="S25" s="22"/>
      <c r="T25" s="14"/>
      <c r="U25" s="33"/>
      <c r="V25" s="17"/>
      <c r="W25" s="17"/>
      <c r="X25" s="17"/>
      <c r="Y25" s="17"/>
      <c r="Z25" s="17"/>
      <c r="AA25" s="17"/>
      <c r="AB25" s="17"/>
    </row>
    <row r="26" spans="1:28" x14ac:dyDescent="0.25">
      <c r="A26" s="3"/>
      <c r="B26" s="3"/>
      <c r="I26" s="18"/>
      <c r="J26" s="21" t="s">
        <v>105</v>
      </c>
      <c r="K26" s="21"/>
      <c r="L26" s="21"/>
      <c r="M26" s="21"/>
      <c r="N26" s="21"/>
      <c r="O26" s="21"/>
      <c r="P26" s="21"/>
      <c r="Q26" s="21"/>
      <c r="R26" s="22"/>
      <c r="S26" s="22"/>
      <c r="T26" s="14"/>
      <c r="U26" s="33"/>
      <c r="V26" s="17"/>
      <c r="W26" s="17"/>
      <c r="X26" s="17"/>
      <c r="Y26" s="17"/>
      <c r="Z26" s="17"/>
      <c r="AA26" s="17"/>
      <c r="AB26" s="17"/>
    </row>
    <row r="27" spans="1:28" x14ac:dyDescent="0.25">
      <c r="A27" s="3" t="s">
        <v>81</v>
      </c>
      <c r="B27" s="3"/>
      <c r="F27" t="s">
        <v>75</v>
      </c>
      <c r="I27" s="18"/>
      <c r="J27" s="21" t="s">
        <v>9</v>
      </c>
      <c r="K27" s="21"/>
      <c r="L27" s="21" t="s">
        <v>48</v>
      </c>
      <c r="M27" s="21" t="s">
        <v>49</v>
      </c>
      <c r="N27" s="21" t="s">
        <v>50</v>
      </c>
      <c r="O27" s="21" t="s">
        <v>10</v>
      </c>
      <c r="P27" s="21" t="s">
        <v>11</v>
      </c>
      <c r="Q27" s="21" t="s">
        <v>12</v>
      </c>
      <c r="R27" s="17"/>
      <c r="S27" s="17"/>
      <c r="T27" s="14"/>
      <c r="U27" s="33"/>
      <c r="V27" s="17"/>
      <c r="W27" s="17"/>
      <c r="X27" s="17"/>
      <c r="Y27" s="17"/>
      <c r="Z27" s="17"/>
      <c r="AA27" s="17"/>
      <c r="AB27" s="17"/>
    </row>
    <row r="28" spans="1:28" x14ac:dyDescent="0.25">
      <c r="A28" s="3"/>
      <c r="B28" s="3"/>
      <c r="I28" s="19"/>
      <c r="J28" s="21">
        <v>25</v>
      </c>
      <c r="K28" s="23"/>
      <c r="L28" s="26">
        <f>(L22/1000)*10</f>
        <v>2.4288999999999999E-3</v>
      </c>
      <c r="M28" s="26">
        <f t="shared" ref="M28:N28" si="23">(M22/1000)*10</f>
        <v>3.9604000000000002E-3</v>
      </c>
      <c r="N28" s="26">
        <f t="shared" si="23"/>
        <v>4.9548999999999999E-3</v>
      </c>
      <c r="O28" s="21">
        <f>AVERAGE(L28:N28)</f>
        <v>3.7814000000000003E-3</v>
      </c>
      <c r="P28" s="21">
        <f>STDEV(L28:N28)</f>
        <v>1.2724777994134124E-3</v>
      </c>
      <c r="Q28" s="21">
        <f>P28/SQRT(3)</f>
        <v>7.346654000291563E-4</v>
      </c>
      <c r="R28" s="17"/>
      <c r="S28" s="17"/>
      <c r="T28" s="14"/>
      <c r="U28" s="33"/>
      <c r="V28" s="17"/>
      <c r="W28" s="17"/>
      <c r="X28" s="17"/>
      <c r="Y28" s="17"/>
      <c r="Z28" s="17"/>
      <c r="AA28" s="17"/>
      <c r="AB28" s="17"/>
    </row>
    <row r="29" spans="1:28" x14ac:dyDescent="0.25">
      <c r="A29" s="3" t="s">
        <v>82</v>
      </c>
      <c r="B29" s="3"/>
      <c r="F29" t="s">
        <v>76</v>
      </c>
      <c r="I29" s="18"/>
      <c r="J29" s="21">
        <v>50</v>
      </c>
      <c r="K29" s="23"/>
      <c r="L29" s="26">
        <f t="shared" ref="L29:N29" si="24">(L23/1000)*10</f>
        <v>1.5222599999999999E-2</v>
      </c>
      <c r="M29" s="26">
        <f t="shared" si="24"/>
        <v>1.58417E-2</v>
      </c>
      <c r="N29" s="26">
        <f t="shared" si="24"/>
        <v>1.44648E-2</v>
      </c>
      <c r="O29" s="21">
        <f>AVERAGE(L29:N29)</f>
        <v>1.5176366666666668E-2</v>
      </c>
      <c r="P29" s="21">
        <f>STDEV(L29:N29)</f>
        <v>6.8961332885417279E-4</v>
      </c>
      <c r="Q29" s="21">
        <f t="shared" ref="Q29:Q30" si="25">P29/SQRT(3)</f>
        <v>3.9814844105071057E-4</v>
      </c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x14ac:dyDescent="0.25">
      <c r="A30" s="3"/>
      <c r="B30" s="3"/>
      <c r="I30" s="18"/>
      <c r="J30" s="21">
        <v>100</v>
      </c>
      <c r="K30" s="23"/>
      <c r="L30" s="26">
        <f t="shared" ref="L30:N30" si="26">(L24/1000)*10</f>
        <v>5.5129600000000001E-2</v>
      </c>
      <c r="M30" s="26">
        <f t="shared" si="26"/>
        <v>5.5954100000000007E-2</v>
      </c>
      <c r="N30" s="26">
        <f t="shared" si="26"/>
        <v>5.4390099999999997E-2</v>
      </c>
      <c r="O30" s="21">
        <f>AVERAGE(L30:N30)</f>
        <v>5.5157933333333332E-2</v>
      </c>
      <c r="P30" s="21">
        <f>STDEV(L30:N30)</f>
        <v>7.8238486905955751E-4</v>
      </c>
      <c r="Q30" s="21">
        <f t="shared" si="25"/>
        <v>4.5171011476142565E-4</v>
      </c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x14ac:dyDescent="0.25">
      <c r="A31" s="3" t="s">
        <v>42</v>
      </c>
      <c r="B31" s="3"/>
      <c r="F31" t="s">
        <v>8</v>
      </c>
      <c r="I31" s="18"/>
      <c r="J31" s="21"/>
      <c r="K31" s="23"/>
      <c r="L31" s="23"/>
      <c r="M31" s="23"/>
      <c r="N31" s="23"/>
      <c r="O31" s="23"/>
      <c r="P31" s="23"/>
      <c r="Q31" s="23"/>
      <c r="R31" s="25"/>
      <c r="S31" s="25"/>
      <c r="T31" s="25"/>
      <c r="U31" s="17"/>
      <c r="V31" s="17"/>
      <c r="W31" s="17"/>
      <c r="X31" s="17"/>
      <c r="Y31" s="17"/>
      <c r="Z31" s="17"/>
      <c r="AA31" s="17"/>
      <c r="AB31" s="17"/>
    </row>
    <row r="32" spans="1:28" x14ac:dyDescent="0.25">
      <c r="A32" s="3"/>
      <c r="B32" s="3"/>
      <c r="I32" s="18"/>
      <c r="J32" s="21" t="s">
        <v>78</v>
      </c>
      <c r="K32" s="23"/>
      <c r="L32" s="21"/>
      <c r="M32" s="21"/>
      <c r="N32" s="21"/>
      <c r="O32" s="21"/>
      <c r="P32" s="21"/>
      <c r="Q32" s="21"/>
      <c r="R32" s="22"/>
      <c r="S32" s="22"/>
      <c r="T32" s="22"/>
      <c r="U32" s="17"/>
      <c r="V32" s="17"/>
      <c r="W32" s="17"/>
      <c r="X32" s="17"/>
      <c r="Y32" s="17"/>
      <c r="Z32" s="17"/>
      <c r="AA32" s="17"/>
      <c r="AB32" s="17"/>
    </row>
    <row r="33" spans="1:28" x14ac:dyDescent="0.25">
      <c r="A33" s="6"/>
      <c r="B33" s="10"/>
      <c r="C33" s="7"/>
      <c r="D33" s="11"/>
      <c r="E33" s="7"/>
      <c r="F33" s="7"/>
      <c r="G33" s="7"/>
      <c r="I33" s="18"/>
      <c r="J33" s="21" t="s">
        <v>9</v>
      </c>
      <c r="K33" s="23"/>
      <c r="L33" s="21" t="s">
        <v>48</v>
      </c>
      <c r="M33" s="21" t="s">
        <v>49</v>
      </c>
      <c r="N33" s="21" t="s">
        <v>50</v>
      </c>
      <c r="O33" s="21" t="s">
        <v>10</v>
      </c>
      <c r="P33" s="21" t="s">
        <v>11</v>
      </c>
      <c r="Q33" s="21" t="s">
        <v>12</v>
      </c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x14ac:dyDescent="0.25">
      <c r="A34" s="3" t="s">
        <v>41</v>
      </c>
      <c r="B34" s="4"/>
      <c r="D34" s="14"/>
      <c r="F34" s="39">
        <v>1000</v>
      </c>
      <c r="I34" s="18"/>
      <c r="J34" s="21">
        <v>25</v>
      </c>
      <c r="K34" s="23"/>
      <c r="L34" s="26">
        <f>(L28/2)*100</f>
        <v>0.121445</v>
      </c>
      <c r="M34" s="26">
        <f t="shared" ref="M34:N34" si="27">(M28/2)*100</f>
        <v>0.19802</v>
      </c>
      <c r="N34" s="26">
        <f t="shared" si="27"/>
        <v>0.24774499999999999</v>
      </c>
      <c r="O34" s="27">
        <f>AVERAGE(L34:N34)</f>
        <v>0.18906999999999999</v>
      </c>
      <c r="P34" s="21">
        <f>STDEV(L34:N34)</f>
        <v>6.3623889970670547E-2</v>
      </c>
      <c r="Q34" s="21">
        <f>P34/SQRT(3)</f>
        <v>3.673327000145777E-2</v>
      </c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x14ac:dyDescent="0.25">
      <c r="A35" s="3" t="s">
        <v>100</v>
      </c>
      <c r="B35" s="4"/>
      <c r="D35" s="14"/>
      <c r="F35" s="39" t="s">
        <v>110</v>
      </c>
      <c r="I35" s="18"/>
      <c r="J35" s="21">
        <v>50</v>
      </c>
      <c r="K35" s="23"/>
      <c r="L35" s="26">
        <f>(L29/4)*100</f>
        <v>0.38056499999999999</v>
      </c>
      <c r="M35" s="26">
        <f t="shared" ref="M35:N35" si="28">(M29/4)*100</f>
        <v>0.39604250000000002</v>
      </c>
      <c r="N35" s="26">
        <f t="shared" si="28"/>
        <v>0.36162</v>
      </c>
      <c r="O35" s="21">
        <f>AVERAGE(L35:N35)</f>
        <v>0.37940916666666663</v>
      </c>
      <c r="P35" s="21">
        <f>STDEV(L35:N35)</f>
        <v>1.7240333221354327E-2</v>
      </c>
      <c r="Q35" s="21">
        <f t="shared" ref="Q35:Q36" si="29">P35/SQRT(3)</f>
        <v>9.9537110262677697E-3</v>
      </c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x14ac:dyDescent="0.25">
      <c r="A36" s="3"/>
      <c r="B36" s="14"/>
      <c r="I36" s="18"/>
      <c r="J36" s="21">
        <v>100</v>
      </c>
      <c r="K36" s="23"/>
      <c r="L36" s="26">
        <f>(L30/8)*100</f>
        <v>0.68911999999999995</v>
      </c>
      <c r="M36" s="26">
        <f t="shared" ref="M36:N36" si="30">(M30/8)*100</f>
        <v>0.69942625000000014</v>
      </c>
      <c r="N36" s="26">
        <f t="shared" si="30"/>
        <v>0.67987624999999996</v>
      </c>
      <c r="O36" s="21">
        <f>AVERAGE(L36:N36)</f>
        <v>0.68947416666666672</v>
      </c>
      <c r="P36" s="21">
        <f>STDEV(L36:N36)</f>
        <v>9.7798108632444983E-3</v>
      </c>
      <c r="Q36" s="21">
        <f t="shared" si="29"/>
        <v>5.6463764345178382E-3</v>
      </c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x14ac:dyDescent="0.25">
      <c r="A37" s="3"/>
      <c r="B37" s="4"/>
      <c r="D37" s="14"/>
      <c r="I37" s="18"/>
      <c r="J37" s="18"/>
      <c r="K37" s="18"/>
      <c r="L37" s="18"/>
      <c r="M37" s="18"/>
      <c r="N37" s="18"/>
      <c r="O37" s="18"/>
      <c r="P37" s="18"/>
      <c r="Q37" s="18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x14ac:dyDescent="0.25">
      <c r="A38" s="3" t="s">
        <v>108</v>
      </c>
      <c r="I38" s="18"/>
      <c r="J38" s="18"/>
      <c r="K38" s="18"/>
      <c r="L38" s="18"/>
      <c r="M38" s="18"/>
      <c r="N38" s="18"/>
      <c r="O38" s="18"/>
      <c r="P38" s="18"/>
      <c r="Q38" s="18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x14ac:dyDescent="0.25">
      <c r="A39" s="3" t="s">
        <v>111</v>
      </c>
      <c r="I39" s="18"/>
      <c r="J39" s="28" t="s">
        <v>53</v>
      </c>
      <c r="K39" s="28"/>
      <c r="L39" s="28"/>
      <c r="M39" s="28"/>
      <c r="N39" s="28"/>
      <c r="O39" s="28"/>
      <c r="P39" s="28"/>
      <c r="Q39" s="28"/>
      <c r="R39" s="29"/>
      <c r="S39" s="29"/>
      <c r="T39" s="29"/>
      <c r="U39" s="17"/>
      <c r="V39" s="17"/>
      <c r="W39" s="17"/>
      <c r="X39" s="17"/>
      <c r="Y39" s="17"/>
      <c r="Z39" s="17"/>
      <c r="AA39" s="17"/>
      <c r="AB39" s="17"/>
    </row>
    <row r="40" spans="1:28" x14ac:dyDescent="0.25">
      <c r="I40" s="18"/>
      <c r="J40" s="28" t="s">
        <v>9</v>
      </c>
      <c r="K40" s="28"/>
      <c r="L40" s="28" t="s">
        <v>48</v>
      </c>
      <c r="M40" s="28" t="s">
        <v>49</v>
      </c>
      <c r="N40" s="28" t="s">
        <v>50</v>
      </c>
      <c r="O40" s="28" t="s">
        <v>10</v>
      </c>
      <c r="P40" s="28" t="s">
        <v>11</v>
      </c>
      <c r="Q40" s="28" t="s">
        <v>12</v>
      </c>
      <c r="R40" s="29"/>
      <c r="S40" s="28"/>
      <c r="T40" s="28"/>
      <c r="U40" s="17"/>
      <c r="V40" s="17"/>
      <c r="W40" s="17"/>
      <c r="X40" s="17"/>
      <c r="Y40" s="17"/>
      <c r="Z40" s="17"/>
      <c r="AA40" s="17"/>
      <c r="AB40" s="17"/>
    </row>
    <row r="41" spans="1:28" x14ac:dyDescent="0.25">
      <c r="I41" s="18"/>
      <c r="J41" s="28">
        <v>25</v>
      </c>
      <c r="K41" s="30"/>
      <c r="L41" s="30">
        <v>0.42721999999999999</v>
      </c>
      <c r="M41" s="30">
        <v>0.45977000000000001</v>
      </c>
      <c r="N41" s="30">
        <v>0.43389</v>
      </c>
      <c r="O41" s="28">
        <f>AVERAGE(L41:N41)</f>
        <v>0.44029333333333326</v>
      </c>
      <c r="P41" s="28">
        <f>STDEV(L41:N41)</f>
        <v>1.719382544209792E-2</v>
      </c>
      <c r="Q41" s="28">
        <f>P41/SQRT(3)</f>
        <v>9.9268597473946701E-3</v>
      </c>
      <c r="R41" s="29"/>
      <c r="S41" s="30"/>
      <c r="T41" s="30"/>
      <c r="U41" s="17"/>
      <c r="V41" s="17"/>
      <c r="W41" s="17"/>
      <c r="X41" s="17"/>
      <c r="Y41" s="17"/>
      <c r="Z41" s="17"/>
      <c r="AA41" s="17"/>
      <c r="AB41" s="17"/>
    </row>
    <row r="42" spans="1:28" x14ac:dyDescent="0.25">
      <c r="I42" s="18"/>
      <c r="J42" s="28">
        <v>50</v>
      </c>
      <c r="K42" s="30"/>
      <c r="L42" s="30">
        <v>1.6720999999999999</v>
      </c>
      <c r="M42" s="30">
        <v>1.5891200000000001</v>
      </c>
      <c r="N42" s="30">
        <v>2.0284</v>
      </c>
      <c r="O42" s="28">
        <f>AVERAGE(L42:N42)</f>
        <v>1.7632066666666664</v>
      </c>
      <c r="P42" s="28">
        <f>STDEV(L42:N42)</f>
        <v>0.23338176478322908</v>
      </c>
      <c r="Q42" s="28">
        <f t="shared" ref="Q42:Q43" si="31">P42/SQRT(3)</f>
        <v>0.13474302472154726</v>
      </c>
      <c r="R42" s="29"/>
      <c r="S42" s="30"/>
      <c r="T42" s="30"/>
      <c r="U42" s="17"/>
      <c r="V42" s="17"/>
      <c r="W42" s="17"/>
      <c r="X42" s="17"/>
      <c r="Y42" s="17"/>
      <c r="Z42" s="17"/>
      <c r="AA42" s="17"/>
      <c r="AB42" s="17"/>
    </row>
    <row r="43" spans="1:28" x14ac:dyDescent="0.25">
      <c r="I43" s="18"/>
      <c r="J43" s="28">
        <v>100</v>
      </c>
      <c r="K43" s="30"/>
      <c r="L43" s="30">
        <v>3.0292599999999998</v>
      </c>
      <c r="M43" s="30">
        <v>3.5226500000000001</v>
      </c>
      <c r="N43" s="30">
        <v>2.8104900000000002</v>
      </c>
      <c r="O43" s="28">
        <f>AVERAGE(L43:N43)</f>
        <v>3.1207999999999996</v>
      </c>
      <c r="P43" s="28">
        <f>STDEV(L43:N43)</f>
        <v>0.36479808812547249</v>
      </c>
      <c r="Q43" s="28">
        <f t="shared" si="31"/>
        <v>0.21061627437910238</v>
      </c>
      <c r="R43" s="29"/>
      <c r="S43" s="29"/>
      <c r="T43" s="29"/>
      <c r="U43" s="17"/>
      <c r="V43" s="17"/>
      <c r="W43" s="17"/>
      <c r="X43" s="17"/>
      <c r="Y43" s="17"/>
      <c r="Z43" s="17"/>
      <c r="AA43" s="17"/>
      <c r="AB43" s="17"/>
    </row>
    <row r="44" spans="1:28" x14ac:dyDescent="0.25">
      <c r="C44" s="3" t="s">
        <v>85</v>
      </c>
      <c r="D44" s="3"/>
      <c r="E44" s="3"/>
      <c r="I44" s="18"/>
      <c r="J44" s="30"/>
      <c r="K44" s="30"/>
      <c r="L44" s="30"/>
      <c r="M44" s="30"/>
      <c r="N44" s="30"/>
      <c r="O44" s="30"/>
      <c r="P44" s="30"/>
      <c r="Q44" s="30"/>
      <c r="R44" s="29"/>
      <c r="S44" s="29"/>
      <c r="T44" s="29"/>
      <c r="U44" s="17"/>
      <c r="V44" s="17"/>
      <c r="W44" s="17"/>
      <c r="X44" s="17"/>
      <c r="Y44" s="17"/>
      <c r="Z44" s="17"/>
      <c r="AA44" s="17"/>
      <c r="AB44" s="17"/>
    </row>
    <row r="45" spans="1:28" x14ac:dyDescent="0.25">
      <c r="I45" s="18"/>
      <c r="J45" s="28" t="s">
        <v>105</v>
      </c>
      <c r="K45" s="28"/>
      <c r="L45" s="28"/>
      <c r="M45" s="28"/>
      <c r="N45" s="28"/>
      <c r="O45" s="28"/>
      <c r="P45" s="28"/>
      <c r="Q45" s="28"/>
      <c r="R45" s="29"/>
      <c r="S45" s="29"/>
      <c r="T45" s="29"/>
      <c r="U45" s="17"/>
      <c r="V45" s="17"/>
      <c r="W45" s="17"/>
      <c r="X45" s="17"/>
      <c r="Y45" s="17"/>
      <c r="Z45" s="17"/>
      <c r="AA45" s="17"/>
      <c r="AB45" s="17"/>
    </row>
    <row r="46" spans="1:28" x14ac:dyDescent="0.25">
      <c r="C46" s="3" t="s">
        <v>89</v>
      </c>
      <c r="D46" s="3"/>
      <c r="E46" s="3"/>
      <c r="F46" s="3"/>
      <c r="G46" s="3"/>
      <c r="I46" s="18"/>
      <c r="J46" s="28" t="s">
        <v>9</v>
      </c>
      <c r="K46" s="28"/>
      <c r="L46" s="28" t="s">
        <v>48</v>
      </c>
      <c r="M46" s="28" t="s">
        <v>49</v>
      </c>
      <c r="N46" s="28" t="s">
        <v>50</v>
      </c>
      <c r="O46" s="28" t="s">
        <v>10</v>
      </c>
      <c r="P46" s="28" t="s">
        <v>11</v>
      </c>
      <c r="Q46" s="28" t="s">
        <v>12</v>
      </c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x14ac:dyDescent="0.25">
      <c r="C47" s="3" t="s">
        <v>117</v>
      </c>
      <c r="I47" s="18"/>
      <c r="J47" s="28">
        <v>25</v>
      </c>
      <c r="K47" s="30"/>
      <c r="L47" s="30">
        <f>(L41/1000)*10</f>
        <v>4.2721999999999994E-3</v>
      </c>
      <c r="M47" s="30">
        <f t="shared" ref="M47:N47" si="32">(M41/1000)*10</f>
        <v>4.5977000000000006E-3</v>
      </c>
      <c r="N47" s="30">
        <f t="shared" si="32"/>
        <v>4.3388999999999997E-3</v>
      </c>
      <c r="O47" s="28">
        <f>AVERAGE(L47:N47)</f>
        <v>4.4029333333333335E-3</v>
      </c>
      <c r="P47" s="28">
        <f>STDEV(L47:N47)</f>
        <v>1.7193825442097968E-4</v>
      </c>
      <c r="Q47" s="28">
        <f>P47/SQRT(3)</f>
        <v>9.9268597473946984E-5</v>
      </c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x14ac:dyDescent="0.25">
      <c r="C48" t="s">
        <v>102</v>
      </c>
      <c r="I48" s="18"/>
      <c r="J48" s="28">
        <v>50</v>
      </c>
      <c r="K48" s="30"/>
      <c r="L48" s="30">
        <f t="shared" ref="L48:N48" si="33">(L42/1000)*10</f>
        <v>1.6721E-2</v>
      </c>
      <c r="M48" s="30">
        <f t="shared" si="33"/>
        <v>1.5891200000000001E-2</v>
      </c>
      <c r="N48" s="30">
        <f t="shared" si="33"/>
        <v>2.0284E-2</v>
      </c>
      <c r="O48" s="28">
        <f>AVERAGE(L48:N48)</f>
        <v>1.7632066666666668E-2</v>
      </c>
      <c r="P48" s="28">
        <f>STDEV(L48:N48)</f>
        <v>2.3338176478322663E-3</v>
      </c>
      <c r="Q48" s="28">
        <f t="shared" ref="Q48:Q49" si="34">P48/SQRT(3)</f>
        <v>1.3474302472154583E-3</v>
      </c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</row>
    <row r="49" spans="3:28" x14ac:dyDescent="0.25">
      <c r="C49" t="s">
        <v>103</v>
      </c>
      <c r="I49" s="18"/>
      <c r="J49" s="28">
        <v>100</v>
      </c>
      <c r="K49" s="30"/>
      <c r="L49" s="30">
        <f t="shared" ref="L49:N49" si="35">(L43/1000)*10</f>
        <v>3.0292599999999996E-2</v>
      </c>
      <c r="M49" s="30">
        <f t="shared" si="35"/>
        <v>3.5226500000000001E-2</v>
      </c>
      <c r="N49" s="30">
        <f t="shared" si="35"/>
        <v>2.8104900000000002E-2</v>
      </c>
      <c r="O49" s="28">
        <f>AVERAGE(L49:N49)</f>
        <v>3.1208E-2</v>
      </c>
      <c r="P49" s="28">
        <f>STDEV(L49:N49)</f>
        <v>3.6479808812547253E-3</v>
      </c>
      <c r="Q49" s="28">
        <f t="shared" si="34"/>
        <v>2.106162743791024E-3</v>
      </c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3:28" x14ac:dyDescent="0.25">
      <c r="C50" t="s">
        <v>104</v>
      </c>
      <c r="I50" s="18"/>
      <c r="J50" s="28"/>
      <c r="K50" s="30"/>
      <c r="L50" s="30"/>
      <c r="M50" s="30"/>
      <c r="N50" s="30"/>
      <c r="O50" s="30"/>
      <c r="P50" s="30"/>
      <c r="Q50" s="30"/>
      <c r="R50" s="31"/>
      <c r="S50" s="31"/>
      <c r="T50" s="31"/>
      <c r="U50" s="17"/>
      <c r="V50" s="17"/>
      <c r="W50" s="17"/>
      <c r="X50" s="17"/>
      <c r="Y50" s="17"/>
      <c r="Z50" s="17"/>
      <c r="AA50" s="17"/>
      <c r="AB50" s="17"/>
    </row>
    <row r="51" spans="3:28" x14ac:dyDescent="0.25">
      <c r="I51" s="18"/>
      <c r="J51" s="28" t="s">
        <v>78</v>
      </c>
      <c r="K51" s="30"/>
      <c r="L51" s="28"/>
      <c r="M51" s="28"/>
      <c r="N51" s="28"/>
      <c r="O51" s="28"/>
      <c r="P51" s="28"/>
      <c r="Q51" s="28"/>
      <c r="R51" s="29"/>
      <c r="S51" s="29"/>
      <c r="T51" s="29"/>
      <c r="U51" s="17"/>
      <c r="V51" s="17"/>
      <c r="W51" s="17"/>
      <c r="X51" s="17"/>
      <c r="Y51" s="17"/>
      <c r="Z51" s="17"/>
      <c r="AA51" s="17"/>
      <c r="AB51" s="17"/>
    </row>
    <row r="52" spans="3:28" x14ac:dyDescent="0.25">
      <c r="I52" s="18"/>
      <c r="J52" s="28" t="s">
        <v>9</v>
      </c>
      <c r="K52" s="30"/>
      <c r="L52" s="28" t="s">
        <v>48</v>
      </c>
      <c r="M52" s="28" t="s">
        <v>49</v>
      </c>
      <c r="N52" s="28" t="s">
        <v>50</v>
      </c>
      <c r="O52" s="28" t="s">
        <v>10</v>
      </c>
      <c r="P52" s="28" t="s">
        <v>11</v>
      </c>
      <c r="Q52" s="28" t="s">
        <v>12</v>
      </c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3:28" x14ac:dyDescent="0.25">
      <c r="C53" s="3"/>
      <c r="D53" s="3"/>
      <c r="E53" s="3"/>
      <c r="I53" s="18"/>
      <c r="J53" s="28">
        <v>25</v>
      </c>
      <c r="K53" s="30"/>
      <c r="L53" s="30">
        <f>(L47/2)*100</f>
        <v>0.21360999999999997</v>
      </c>
      <c r="M53" s="30">
        <f t="shared" ref="M53:N53" si="36">(M47/2)*100</f>
        <v>0.22988500000000003</v>
      </c>
      <c r="N53" s="30">
        <f t="shared" si="36"/>
        <v>0.216945</v>
      </c>
      <c r="O53" s="28">
        <f>AVERAGE(L53:N53)</f>
        <v>0.22014666666666663</v>
      </c>
      <c r="P53" s="28">
        <f>STDEV(L53:N53)</f>
        <v>8.5969127210489861E-3</v>
      </c>
      <c r="Q53" s="28">
        <f>P53/SQRT(3)</f>
        <v>4.9634298736973507E-3</v>
      </c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3:28" x14ac:dyDescent="0.25">
      <c r="C54" s="3" t="s">
        <v>90</v>
      </c>
      <c r="D54" s="3"/>
      <c r="E54" s="3"/>
      <c r="I54" s="18"/>
      <c r="J54" s="28">
        <v>50</v>
      </c>
      <c r="K54" s="30"/>
      <c r="L54" s="30">
        <f>(L48/4)*100</f>
        <v>0.41802499999999998</v>
      </c>
      <c r="M54" s="30">
        <f t="shared" ref="M54:N54" si="37">(M48/4)*100</f>
        <v>0.39728000000000002</v>
      </c>
      <c r="N54" s="30">
        <f t="shared" si="37"/>
        <v>0.5071</v>
      </c>
      <c r="O54" s="28">
        <f>AVERAGE(L54:N54)</f>
        <v>0.44080166666666659</v>
      </c>
      <c r="P54" s="28">
        <f>STDEV(L54:N54)</f>
        <v>5.8345441195807271E-2</v>
      </c>
      <c r="Q54" s="28">
        <f t="shared" ref="Q54:Q55" si="38">P54/SQRT(3)</f>
        <v>3.3685756180386814E-2</v>
      </c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</row>
    <row r="55" spans="3:28" x14ac:dyDescent="0.25">
      <c r="C55" s="3" t="s">
        <v>86</v>
      </c>
      <c r="D55" s="3"/>
      <c r="E55" s="3"/>
      <c r="I55" s="18"/>
      <c r="J55" s="28">
        <v>100</v>
      </c>
      <c r="K55" s="30"/>
      <c r="L55" s="30">
        <f>(L49/8)*100</f>
        <v>0.37865749999999992</v>
      </c>
      <c r="M55" s="30">
        <f t="shared" ref="M55:N55" si="39">(M49/8)*100</f>
        <v>0.44033125000000001</v>
      </c>
      <c r="N55" s="30">
        <f t="shared" si="39"/>
        <v>0.35131125000000002</v>
      </c>
      <c r="O55" s="28">
        <f>AVERAGE(L55:N55)</f>
        <v>0.39009999999999995</v>
      </c>
      <c r="P55" s="28">
        <f>STDEV(L55:N55)</f>
        <v>4.5599761015684068E-2</v>
      </c>
      <c r="Q55" s="28">
        <f t="shared" si="38"/>
        <v>2.6327034297387801E-2</v>
      </c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3:28" x14ac:dyDescent="0.25">
      <c r="C56" s="3" t="s">
        <v>109</v>
      </c>
      <c r="D56" s="3"/>
      <c r="E56" s="3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3:28" x14ac:dyDescent="0.25">
      <c r="C57" s="3" t="s">
        <v>101</v>
      </c>
      <c r="D57" s="3"/>
      <c r="E57" s="3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3:28" x14ac:dyDescent="0.25">
      <c r="C58" s="3" t="s">
        <v>99</v>
      </c>
      <c r="D58" s="3"/>
      <c r="E58" s="3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3:28" x14ac:dyDescent="0.25"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3:28" x14ac:dyDescent="0.25"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3:28" x14ac:dyDescent="0.25"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3:28" x14ac:dyDescent="0.25"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</row>
    <row r="63" spans="3:28" x14ac:dyDescent="0.25">
      <c r="C63" s="3"/>
      <c r="D63" s="3"/>
      <c r="E63" s="3"/>
      <c r="F63" s="3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3:28" x14ac:dyDescent="0.25">
      <c r="C64" s="3"/>
      <c r="D64" s="3"/>
      <c r="E64" s="3"/>
      <c r="F64" s="3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3:28" x14ac:dyDescent="0.25">
      <c r="C65" s="3" t="s">
        <v>87</v>
      </c>
      <c r="D65" s="3"/>
      <c r="E65" s="3"/>
      <c r="F65" s="3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3:28" x14ac:dyDescent="0.25">
      <c r="C66" s="3" t="s">
        <v>88</v>
      </c>
      <c r="D66" s="3"/>
      <c r="E66" s="3"/>
      <c r="F66" s="3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3:28" x14ac:dyDescent="0.25"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3:28" x14ac:dyDescent="0.25">
      <c r="C68" s="3" t="s">
        <v>107</v>
      </c>
      <c r="D68" s="3"/>
      <c r="E68" s="3"/>
      <c r="F68" s="3"/>
      <c r="G68" s="3"/>
      <c r="H68" s="3"/>
      <c r="I68" s="20"/>
      <c r="J68" s="20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3:28" x14ac:dyDescent="0.25"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3:28" x14ac:dyDescent="0.25"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</row>
    <row r="71" spans="3:28" x14ac:dyDescent="0.25"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5"/>
  <sheetViews>
    <sheetView tabSelected="1" workbookViewId="0">
      <selection activeCell="N6" sqref="N6"/>
    </sheetView>
  </sheetViews>
  <sheetFormatPr defaultRowHeight="15" x14ac:dyDescent="0.25"/>
  <cols>
    <col min="1" max="1" width="46" customWidth="1"/>
    <col min="7" max="7" width="13.7109375" customWidth="1"/>
    <col min="8" max="10" width="10.5703125" bestFit="1" customWidth="1"/>
  </cols>
  <sheetData>
    <row r="1" spans="1:13" x14ac:dyDescent="0.25">
      <c r="A1" t="s">
        <v>14</v>
      </c>
      <c r="G1" s="3" t="s">
        <v>98</v>
      </c>
      <c r="K1" s="4" t="s">
        <v>10</v>
      </c>
      <c r="L1" s="4" t="s">
        <v>60</v>
      </c>
      <c r="M1" s="4" t="s">
        <v>93</v>
      </c>
    </row>
    <row r="2" spans="1:13" x14ac:dyDescent="0.25">
      <c r="A2" t="s">
        <v>15</v>
      </c>
      <c r="B2" t="s">
        <v>65</v>
      </c>
      <c r="G2" s="3" t="s">
        <v>119</v>
      </c>
      <c r="H2" s="12">
        <v>9.8670000000000009</v>
      </c>
      <c r="I2" s="12">
        <v>9.84</v>
      </c>
      <c r="J2" s="12">
        <v>9.8350000000000009</v>
      </c>
      <c r="K2" s="37">
        <f>AVERAGE(H2:J2)</f>
        <v>9.8473333333333333</v>
      </c>
      <c r="L2" s="37">
        <f>STDEV(H2:J2)</f>
        <v>1.7214335111567371E-2</v>
      </c>
      <c r="M2" s="37">
        <f>L2/SQRT(3)</f>
        <v>9.9387010105838492E-3</v>
      </c>
    </row>
    <row r="3" spans="1:13" x14ac:dyDescent="0.25">
      <c r="A3" t="s">
        <v>16</v>
      </c>
      <c r="B3" t="s">
        <v>66</v>
      </c>
      <c r="G3" s="3" t="s">
        <v>120</v>
      </c>
      <c r="H3" s="12">
        <v>9.7859999999999996</v>
      </c>
      <c r="I3" s="12">
        <v>9.7439999999999998</v>
      </c>
      <c r="J3" s="12">
        <v>9.7590000000000003</v>
      </c>
      <c r="K3" s="37">
        <f t="shared" ref="K3:K6" si="0">AVERAGE(H3:J3)</f>
        <v>9.7629999999999999</v>
      </c>
      <c r="L3" s="37">
        <f t="shared" ref="L3:L6" si="1">STDEV(H3:J3)</f>
        <v>2.1283796653792611E-2</v>
      </c>
      <c r="M3" s="37">
        <f t="shared" ref="M3:M6" si="2">L3/SQRT(3)</f>
        <v>1.2288205727444421E-2</v>
      </c>
    </row>
    <row r="4" spans="1:13" x14ac:dyDescent="0.25">
      <c r="A4" t="s">
        <v>17</v>
      </c>
      <c r="B4">
        <v>-0.36849999999999999</v>
      </c>
      <c r="G4" s="3" t="s">
        <v>121</v>
      </c>
      <c r="H4" s="12">
        <v>9.6210000000000004</v>
      </c>
      <c r="I4" s="12">
        <v>9.6359999999999992</v>
      </c>
      <c r="J4" s="12">
        <v>9.6240000000000006</v>
      </c>
      <c r="K4" s="37">
        <f t="shared" si="0"/>
        <v>9.6270000000000007</v>
      </c>
      <c r="L4" s="37">
        <f t="shared" si="1"/>
        <v>7.9372539331930662E-3</v>
      </c>
      <c r="M4" s="37">
        <f t="shared" si="2"/>
        <v>4.5825756949554328E-3</v>
      </c>
    </row>
    <row r="5" spans="1:13" x14ac:dyDescent="0.25">
      <c r="A5" t="s">
        <v>18</v>
      </c>
      <c r="B5">
        <v>3.7409999999999999E-2</v>
      </c>
      <c r="G5" s="3" t="s">
        <v>122</v>
      </c>
      <c r="H5" s="12">
        <v>9.4730000000000008</v>
      </c>
      <c r="I5" s="12">
        <v>9.4779999999999998</v>
      </c>
      <c r="J5" s="12">
        <v>9.4830000000000005</v>
      </c>
      <c r="K5" s="37">
        <f t="shared" si="0"/>
        <v>9.4779999999999998</v>
      </c>
      <c r="L5" s="37">
        <f t="shared" si="1"/>
        <v>4.9999999999998934E-3</v>
      </c>
      <c r="M5" s="37">
        <f t="shared" si="2"/>
        <v>2.8867513459480674E-3</v>
      </c>
    </row>
    <row r="6" spans="1:13" x14ac:dyDescent="0.25">
      <c r="A6" t="s">
        <v>19</v>
      </c>
      <c r="G6" s="3" t="s">
        <v>123</v>
      </c>
      <c r="H6" s="12">
        <v>9.1869999999999994</v>
      </c>
      <c r="I6" s="12">
        <v>9.3320000000000007</v>
      </c>
      <c r="J6" s="12">
        <v>9.3650000000000002</v>
      </c>
      <c r="K6" s="37">
        <f t="shared" si="0"/>
        <v>9.2946666666666662</v>
      </c>
      <c r="L6" s="37">
        <f t="shared" si="1"/>
        <v>9.4690724642561702E-2</v>
      </c>
      <c r="M6" s="37">
        <f t="shared" si="2"/>
        <v>5.4669715362143732E-2</v>
      </c>
    </row>
    <row r="7" spans="1:13" x14ac:dyDescent="0.25">
      <c r="A7" t="s">
        <v>15</v>
      </c>
      <c r="B7" t="s">
        <v>67</v>
      </c>
    </row>
    <row r="8" spans="1:13" x14ac:dyDescent="0.25">
      <c r="A8" t="s">
        <v>16</v>
      </c>
      <c r="B8" t="s">
        <v>68</v>
      </c>
      <c r="G8" s="3" t="s">
        <v>91</v>
      </c>
      <c r="K8" s="4" t="s">
        <v>10</v>
      </c>
      <c r="L8" s="4" t="s">
        <v>60</v>
      </c>
      <c r="M8" s="4" t="s">
        <v>93</v>
      </c>
    </row>
    <row r="9" spans="1:13" x14ac:dyDescent="0.25">
      <c r="A9" t="s">
        <v>17</v>
      </c>
      <c r="B9" t="s">
        <v>69</v>
      </c>
      <c r="G9" s="3" t="s">
        <v>124</v>
      </c>
      <c r="H9" s="34">
        <v>80.811000000000007</v>
      </c>
      <c r="I9" s="34">
        <v>86.971999999999994</v>
      </c>
      <c r="J9" s="34">
        <v>87.864999999999995</v>
      </c>
      <c r="K9" s="13">
        <f>AVERAGE(H9:J9)</f>
        <v>85.216000000000008</v>
      </c>
      <c r="L9" s="13">
        <f>STDEV(H9:J9)</f>
        <v>3.8408828412228284</v>
      </c>
      <c r="M9" s="13">
        <f>L9/SQRT(3)</f>
        <v>2.2175347423058147</v>
      </c>
    </row>
    <row r="10" spans="1:13" x14ac:dyDescent="0.25">
      <c r="A10" t="s">
        <v>20</v>
      </c>
      <c r="G10" s="3" t="s">
        <v>120</v>
      </c>
      <c r="H10" s="34">
        <v>164.02699999999999</v>
      </c>
      <c r="I10" s="34">
        <v>173.93</v>
      </c>
      <c r="J10" s="34">
        <v>174.48400000000001</v>
      </c>
      <c r="K10" s="13">
        <f t="shared" ref="K10:K13" si="3">AVERAGE(H10:J10)</f>
        <v>170.81366666666668</v>
      </c>
      <c r="L10" s="13">
        <f t="shared" ref="L10:L13" si="4">STDEV(H10:J10)</f>
        <v>5.8839495522423944</v>
      </c>
      <c r="M10" s="13">
        <f t="shared" ref="M10:M13" si="5">L10/SQRT(3)</f>
        <v>3.3970998578853244</v>
      </c>
    </row>
    <row r="11" spans="1:13" x14ac:dyDescent="0.25">
      <c r="A11" t="s">
        <v>21</v>
      </c>
      <c r="B11">
        <v>0.98839999999999995</v>
      </c>
      <c r="G11" s="3" t="s">
        <v>121</v>
      </c>
      <c r="H11" s="34">
        <v>338.03</v>
      </c>
      <c r="I11" s="34">
        <v>334.97699999999998</v>
      </c>
      <c r="J11" s="34">
        <v>347.14800000000002</v>
      </c>
      <c r="K11" s="13">
        <f t="shared" si="3"/>
        <v>340.05166666666668</v>
      </c>
      <c r="L11" s="13">
        <f t="shared" si="4"/>
        <v>6.3323504588212494</v>
      </c>
      <c r="M11" s="13">
        <f t="shared" si="5"/>
        <v>3.6559842420034987</v>
      </c>
    </row>
    <row r="12" spans="1:13" x14ac:dyDescent="0.25">
      <c r="A12" t="s">
        <v>22</v>
      </c>
      <c r="B12">
        <v>53.06</v>
      </c>
      <c r="G12" s="3" t="s">
        <v>122</v>
      </c>
      <c r="H12" s="34">
        <v>713.53499999999997</v>
      </c>
      <c r="I12" s="34">
        <v>723.90499999999997</v>
      </c>
      <c r="J12" s="34">
        <v>693.12900000000002</v>
      </c>
      <c r="K12" s="13">
        <f t="shared" si="3"/>
        <v>710.18966666666665</v>
      </c>
      <c r="L12" s="13">
        <f t="shared" si="4"/>
        <v>15.65835193541557</v>
      </c>
      <c r="M12" s="13">
        <f t="shared" si="5"/>
        <v>9.0403537049780773</v>
      </c>
    </row>
    <row r="13" spans="1:13" x14ac:dyDescent="0.25">
      <c r="A13" t="s">
        <v>23</v>
      </c>
      <c r="G13" s="3" t="s">
        <v>123</v>
      </c>
      <c r="H13" s="34">
        <v>1383.066</v>
      </c>
      <c r="I13" s="34">
        <v>1426.2719999999999</v>
      </c>
      <c r="J13" s="34">
        <v>1189.0550000000001</v>
      </c>
      <c r="K13" s="13">
        <f t="shared" si="3"/>
        <v>1332.7976666666666</v>
      </c>
      <c r="L13" s="13">
        <f t="shared" si="4"/>
        <v>126.34538089828737</v>
      </c>
      <c r="M13" s="13">
        <f t="shared" si="5"/>
        <v>72.945539672492018</v>
      </c>
    </row>
    <row r="14" spans="1:13" x14ac:dyDescent="0.25">
      <c r="A14" t="s">
        <v>24</v>
      </c>
      <c r="B14">
        <v>1107</v>
      </c>
    </row>
    <row r="15" spans="1:13" x14ac:dyDescent="0.25">
      <c r="A15" t="s">
        <v>25</v>
      </c>
      <c r="B15" t="s">
        <v>26</v>
      </c>
      <c r="G15" s="8" t="s">
        <v>92</v>
      </c>
      <c r="K15" s="4" t="s">
        <v>10</v>
      </c>
      <c r="L15" s="4" t="s">
        <v>60</v>
      </c>
      <c r="M15" s="4" t="s">
        <v>93</v>
      </c>
    </row>
    <row r="16" spans="1:13" x14ac:dyDescent="0.25">
      <c r="A16" t="s">
        <v>27</v>
      </c>
      <c r="B16" t="s">
        <v>28</v>
      </c>
      <c r="G16" s="3" t="s">
        <v>124</v>
      </c>
      <c r="H16" s="17">
        <v>2.6543399999999999</v>
      </c>
      <c r="I16" s="17">
        <v>2.8848099999999999</v>
      </c>
      <c r="J16" s="17">
        <v>2.9182199999999998</v>
      </c>
      <c r="K16" s="13">
        <f>AVERAGE(H16:J16)</f>
        <v>2.8191233333333332</v>
      </c>
      <c r="L16" s="13">
        <f>STDEV(H16:J16)</f>
        <v>0.14368095640457479</v>
      </c>
      <c r="M16" s="13">
        <f>L16/SQRT(3)</f>
        <v>8.295423885760414E-2</v>
      </c>
    </row>
    <row r="17" spans="1:13" x14ac:dyDescent="0.25">
      <c r="A17" t="s">
        <v>29</v>
      </c>
      <c r="B17" t="s">
        <v>30</v>
      </c>
      <c r="G17" s="3" t="s">
        <v>120</v>
      </c>
      <c r="H17" s="17">
        <v>5.7671200000000002</v>
      </c>
      <c r="I17" s="17">
        <v>6.1375500000000001</v>
      </c>
      <c r="J17" s="17">
        <v>6.1582800000000004</v>
      </c>
      <c r="K17" s="13">
        <f t="shared" ref="K17:K20" si="6">AVERAGE(H17:J17)</f>
        <v>6.0209833333333336</v>
      </c>
      <c r="L17" s="13">
        <f t="shared" ref="L17:L20" si="7">STDEV(H17:J17)</f>
        <v>0.22009629082138876</v>
      </c>
      <c r="M17" s="13">
        <f t="shared" ref="M17:M20" si="8">L17/SQRT(3)</f>
        <v>0.12707265275336696</v>
      </c>
    </row>
    <row r="18" spans="1:13" x14ac:dyDescent="0.25">
      <c r="A18" t="s">
        <v>31</v>
      </c>
      <c r="G18" s="3" t="s">
        <v>121</v>
      </c>
      <c r="H18" s="17">
        <v>12.275919999999999</v>
      </c>
      <c r="I18" s="17">
        <v>12.161720000000001</v>
      </c>
      <c r="J18" s="17">
        <v>12.616989999999999</v>
      </c>
      <c r="K18" s="13">
        <f t="shared" si="6"/>
        <v>12.351543333333334</v>
      </c>
      <c r="L18" s="13">
        <f t="shared" si="7"/>
        <v>0.23686886590122624</v>
      </c>
      <c r="M18" s="13">
        <f t="shared" si="8"/>
        <v>0.13675630349071435</v>
      </c>
    </row>
    <row r="19" spans="1:13" x14ac:dyDescent="0.25">
      <c r="A19" t="s">
        <v>32</v>
      </c>
      <c r="B19">
        <v>5</v>
      </c>
      <c r="G19" s="3" t="s">
        <v>122</v>
      </c>
      <c r="H19" s="17">
        <v>26.322120000000002</v>
      </c>
      <c r="I19" s="17">
        <v>26.71003</v>
      </c>
      <c r="J19" s="17">
        <v>25.558820000000001</v>
      </c>
      <c r="K19" s="13">
        <f t="shared" si="6"/>
        <v>26.19699</v>
      </c>
      <c r="L19" s="13">
        <f t="shared" si="7"/>
        <v>0.58571687161972685</v>
      </c>
      <c r="M19" s="13">
        <f t="shared" si="8"/>
        <v>0.3381637934985548</v>
      </c>
    </row>
    <row r="20" spans="1:13" x14ac:dyDescent="0.25">
      <c r="A20" t="s">
        <v>33</v>
      </c>
      <c r="B20">
        <v>3</v>
      </c>
      <c r="G20" s="3" t="s">
        <v>123</v>
      </c>
      <c r="H20" s="17">
        <v>51.366709999999998</v>
      </c>
      <c r="I20" s="17">
        <v>52.982869999999998</v>
      </c>
      <c r="J20" s="17">
        <v>44.10951</v>
      </c>
      <c r="K20" s="13">
        <f t="shared" si="6"/>
        <v>49.486363333333337</v>
      </c>
      <c r="L20" s="13">
        <f t="shared" si="7"/>
        <v>4.7260879289887656</v>
      </c>
      <c r="M20" s="13">
        <f t="shared" si="8"/>
        <v>2.7286081380155047</v>
      </c>
    </row>
    <row r="21" spans="1:13" x14ac:dyDescent="0.25">
      <c r="A21" t="s">
        <v>34</v>
      </c>
      <c r="B21">
        <v>15</v>
      </c>
    </row>
    <row r="22" spans="1:13" x14ac:dyDescent="0.25">
      <c r="A22" t="s">
        <v>35</v>
      </c>
      <c r="B22">
        <v>35</v>
      </c>
      <c r="G22" s="8" t="s">
        <v>94</v>
      </c>
    </row>
    <row r="23" spans="1:13" x14ac:dyDescent="0.25">
      <c r="G23" s="35">
        <v>3.125</v>
      </c>
      <c r="H23" s="35">
        <v>2.8191233333333332</v>
      </c>
      <c r="I23" s="35">
        <f>((G23-H23)/G23)*100</f>
        <v>9.7880533333333375</v>
      </c>
    </row>
    <row r="24" spans="1:13" x14ac:dyDescent="0.25">
      <c r="G24" s="35">
        <v>6.25</v>
      </c>
      <c r="H24" s="35">
        <v>6.0209833333333336</v>
      </c>
      <c r="I24" s="35">
        <f t="shared" ref="I24:I27" si="9">((G24-H24)/G24)*100</f>
        <v>3.6642666666666628</v>
      </c>
    </row>
    <row r="25" spans="1:13" x14ac:dyDescent="0.25">
      <c r="A25" s="3" t="s">
        <v>118</v>
      </c>
      <c r="G25" s="35">
        <v>12.5</v>
      </c>
      <c r="H25" s="35">
        <v>12.351543333333334</v>
      </c>
      <c r="I25" s="35">
        <f t="shared" si="9"/>
        <v>1.1876533333333299</v>
      </c>
    </row>
    <row r="26" spans="1:13" x14ac:dyDescent="0.25">
      <c r="G26" s="35">
        <v>25</v>
      </c>
      <c r="H26" s="35">
        <v>26.19699</v>
      </c>
      <c r="I26" s="35">
        <f t="shared" si="9"/>
        <v>-4.7879599999999982</v>
      </c>
    </row>
    <row r="27" spans="1:13" x14ac:dyDescent="0.25">
      <c r="G27" s="35">
        <v>50</v>
      </c>
      <c r="H27" s="35">
        <v>49.486363333333337</v>
      </c>
      <c r="I27" s="35">
        <f t="shared" si="9"/>
        <v>1.0272733333333264</v>
      </c>
    </row>
    <row r="30" spans="1:13" x14ac:dyDescent="0.25">
      <c r="G30" s="3" t="s">
        <v>95</v>
      </c>
      <c r="H30" s="3"/>
      <c r="I30" s="3"/>
      <c r="J30" s="3"/>
    </row>
    <row r="31" spans="1:13" x14ac:dyDescent="0.25">
      <c r="G31">
        <v>2.8191233333333332</v>
      </c>
      <c r="H31">
        <v>85.216000000000008</v>
      </c>
      <c r="I31" s="36">
        <f>STEYX(H31:H35,G31:G35)</f>
        <v>2.4627704454908712E-4</v>
      </c>
      <c r="L31" s="3" t="s">
        <v>96</v>
      </c>
      <c r="M31" s="3">
        <f>(I31*3.3)/I33</f>
        <v>3.0400525884879003E-5</v>
      </c>
    </row>
    <row r="32" spans="1:13" x14ac:dyDescent="0.25">
      <c r="G32">
        <v>6.0209833333333336</v>
      </c>
      <c r="H32">
        <v>170.81366666666668</v>
      </c>
      <c r="L32" s="3"/>
      <c r="M32" s="3"/>
    </row>
    <row r="33" spans="7:13" x14ac:dyDescent="0.25">
      <c r="G33">
        <v>12.351543333333334</v>
      </c>
      <c r="H33">
        <v>340.05166666666668</v>
      </c>
      <c r="I33" s="36">
        <f>SLOPE(H31:H35,G31:G35)</f>
        <v>26.733558823606586</v>
      </c>
      <c r="L33" s="3" t="s">
        <v>97</v>
      </c>
      <c r="M33" s="3">
        <f>(I31*10)/I33</f>
        <v>9.2122805711754554E-5</v>
      </c>
    </row>
    <row r="34" spans="7:13" x14ac:dyDescent="0.25">
      <c r="G34">
        <v>26.19699</v>
      </c>
      <c r="H34">
        <v>710.18966666666665</v>
      </c>
    </row>
    <row r="35" spans="7:13" x14ac:dyDescent="0.25">
      <c r="G35">
        <v>49.486363333333337</v>
      </c>
      <c r="H35">
        <v>1332.7976666666666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A963-280E-4936-82F9-6E0EF468984D}">
  <dimension ref="A1:T35"/>
  <sheetViews>
    <sheetView workbookViewId="0">
      <selection activeCell="E30" sqref="E30"/>
    </sheetView>
  </sheetViews>
  <sheetFormatPr defaultRowHeight="15" x14ac:dyDescent="0.25"/>
  <cols>
    <col min="3" max="3" width="11.85546875" customWidth="1"/>
    <col min="4" max="4" width="14.5703125" customWidth="1"/>
    <col min="10" max="10" width="11.7109375" customWidth="1"/>
    <col min="11" max="11" width="15.140625" customWidth="1"/>
    <col min="17" max="17" width="10" customWidth="1"/>
    <col min="18" max="18" width="14.28515625" customWidth="1"/>
  </cols>
  <sheetData>
    <row r="1" spans="1:20" x14ac:dyDescent="0.25">
      <c r="C1" s="3" t="s">
        <v>72</v>
      </c>
      <c r="D1" s="3"/>
      <c r="E1" s="3"/>
      <c r="F1" s="3"/>
      <c r="G1" s="3"/>
    </row>
    <row r="2" spans="1:20" x14ac:dyDescent="0.25">
      <c r="C2" s="3"/>
      <c r="D2" s="3"/>
      <c r="E2" s="3"/>
      <c r="F2" s="3"/>
      <c r="G2" s="3"/>
    </row>
    <row r="3" spans="1:20" x14ac:dyDescent="0.25">
      <c r="A3" s="3" t="s">
        <v>70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5">
      <c r="A4" s="3" t="s">
        <v>71</v>
      </c>
      <c r="B4" s="3"/>
      <c r="C4" s="3">
        <v>4.1367000000000003</v>
      </c>
      <c r="D4" s="3"/>
      <c r="E4" s="3"/>
      <c r="F4" s="3"/>
      <c r="G4" s="3"/>
      <c r="H4" s="3"/>
      <c r="I4" s="3"/>
      <c r="J4" s="3">
        <v>4.1485000000000003</v>
      </c>
      <c r="K4" s="3"/>
      <c r="L4" s="3"/>
      <c r="M4" s="3"/>
      <c r="N4" s="3"/>
      <c r="O4" s="3"/>
      <c r="P4" s="3"/>
      <c r="Q4" s="3">
        <v>4.1974999999999998</v>
      </c>
      <c r="R4" s="3"/>
      <c r="S4" s="3"/>
      <c r="T4" s="3"/>
    </row>
    <row r="5" spans="1:20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5">
      <c r="A6" s="3" t="s">
        <v>116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5">
      <c r="A8" s="9"/>
      <c r="C8" s="3" t="s">
        <v>112</v>
      </c>
      <c r="D8" s="3" t="s">
        <v>112</v>
      </c>
      <c r="E8" s="3" t="s">
        <v>56</v>
      </c>
      <c r="F8" s="3"/>
      <c r="G8" s="3"/>
      <c r="H8" s="3"/>
      <c r="I8" s="3"/>
      <c r="J8" s="3" t="s">
        <v>112</v>
      </c>
      <c r="K8" s="3" t="s">
        <v>112</v>
      </c>
      <c r="L8" s="3" t="s">
        <v>56</v>
      </c>
      <c r="M8" s="3"/>
      <c r="N8" s="3"/>
      <c r="O8" s="3"/>
      <c r="P8" s="3"/>
      <c r="Q8" s="3" t="s">
        <v>112</v>
      </c>
      <c r="R8" s="3" t="s">
        <v>112</v>
      </c>
      <c r="S8" s="3" t="s">
        <v>56</v>
      </c>
      <c r="T8" s="3"/>
    </row>
    <row r="9" spans="1:20" x14ac:dyDescent="0.25">
      <c r="A9" s="9"/>
      <c r="C9" s="3" t="s">
        <v>55</v>
      </c>
      <c r="D9" s="3" t="s">
        <v>114</v>
      </c>
      <c r="E9" s="3"/>
      <c r="F9" s="3"/>
      <c r="G9" s="3"/>
      <c r="H9" s="3"/>
      <c r="I9" s="3"/>
      <c r="J9" s="3" t="s">
        <v>55</v>
      </c>
      <c r="K9" s="3" t="s">
        <v>113</v>
      </c>
      <c r="L9" s="3"/>
      <c r="M9" s="3"/>
      <c r="N9" s="3"/>
      <c r="O9" s="3"/>
      <c r="P9" s="3"/>
      <c r="Q9" s="3" t="s">
        <v>55</v>
      </c>
      <c r="R9" s="3" t="s">
        <v>115</v>
      </c>
      <c r="S9" s="3"/>
      <c r="T9" s="3"/>
    </row>
    <row r="10" spans="1:20" x14ac:dyDescent="0.25">
      <c r="A10" s="9" t="s">
        <v>57</v>
      </c>
      <c r="C10">
        <v>5.5849000000000002</v>
      </c>
      <c r="D10">
        <v>5.4626000000000001</v>
      </c>
      <c r="E10">
        <f>C10-D10</f>
        <v>0.12230000000000008</v>
      </c>
      <c r="J10">
        <v>5.5849000000000002</v>
      </c>
      <c r="K10">
        <v>5.3367000000000004</v>
      </c>
      <c r="L10">
        <f>J10-K10</f>
        <v>0.24819999999999975</v>
      </c>
      <c r="Q10">
        <v>5.5849000000000002</v>
      </c>
      <c r="R10">
        <v>5.0922000000000001</v>
      </c>
      <c r="S10">
        <f>Q10-R10</f>
        <v>0.49270000000000014</v>
      </c>
    </row>
    <row r="11" spans="1:20" x14ac:dyDescent="0.25">
      <c r="A11" s="9" t="s">
        <v>58</v>
      </c>
      <c r="C11">
        <v>5.6378000000000004</v>
      </c>
      <c r="D11">
        <v>5.5343999999999998</v>
      </c>
      <c r="E11">
        <f t="shared" ref="E11:E12" si="0">C11-D11</f>
        <v>0.1034000000000006</v>
      </c>
      <c r="J11">
        <v>5.6378000000000004</v>
      </c>
      <c r="K11">
        <v>5.4081999999999999</v>
      </c>
      <c r="L11">
        <f t="shared" ref="L11:L12" si="1">J11-K11</f>
        <v>0.22960000000000047</v>
      </c>
      <c r="Q11">
        <v>5.6378000000000004</v>
      </c>
      <c r="R11">
        <v>5.1726999999999999</v>
      </c>
      <c r="S11">
        <f t="shared" ref="S11:S12" si="2">Q11-R11</f>
        <v>0.46510000000000051</v>
      </c>
    </row>
    <row r="12" spans="1:20" x14ac:dyDescent="0.25">
      <c r="A12" s="9" t="s">
        <v>59</v>
      </c>
      <c r="C12">
        <v>5.2344999999999997</v>
      </c>
      <c r="D12">
        <v>5.1109999999999998</v>
      </c>
      <c r="E12">
        <f t="shared" si="0"/>
        <v>0.12349999999999994</v>
      </c>
      <c r="J12">
        <v>5.2344999999999997</v>
      </c>
      <c r="K12">
        <v>4.9966999999999997</v>
      </c>
      <c r="L12">
        <f t="shared" si="1"/>
        <v>0.23780000000000001</v>
      </c>
      <c r="Q12">
        <v>5.2344999999999997</v>
      </c>
      <c r="R12">
        <v>4.7843</v>
      </c>
      <c r="S12">
        <f t="shared" si="2"/>
        <v>0.45019999999999971</v>
      </c>
    </row>
    <row r="13" spans="1:20" x14ac:dyDescent="0.25">
      <c r="A13" s="9" t="s">
        <v>10</v>
      </c>
      <c r="C13" s="5">
        <f t="shared" ref="C13:D13" si="3">AVERAGE(C10:C12)</f>
        <v>5.4857333333333331</v>
      </c>
      <c r="D13" s="5">
        <f t="shared" si="3"/>
        <v>5.3693333333333335</v>
      </c>
      <c r="E13" s="5">
        <f>AVERAGE(E10:E12)</f>
        <v>0.11640000000000021</v>
      </c>
      <c r="F13" s="5"/>
      <c r="G13" s="5"/>
      <c r="H13" s="5"/>
      <c r="I13" s="5"/>
      <c r="J13" s="5">
        <f t="shared" ref="J13" si="4">AVERAGE(J10:J12)</f>
        <v>5.4857333333333331</v>
      </c>
      <c r="K13" s="5">
        <f t="shared" ref="K13" si="5">AVERAGE(K10:K12)</f>
        <v>5.2472000000000003</v>
      </c>
      <c r="L13" s="5">
        <f>AVERAGE(L10:L12)</f>
        <v>0.2385333333333334</v>
      </c>
      <c r="M13" s="5"/>
      <c r="N13" s="5"/>
      <c r="O13" s="5"/>
      <c r="P13" s="5"/>
      <c r="Q13" s="5">
        <f t="shared" ref="Q13" si="6">AVERAGE(Q10:Q12)</f>
        <v>5.4857333333333331</v>
      </c>
      <c r="R13" s="5">
        <f t="shared" ref="R13" si="7">AVERAGE(R10:R12)</f>
        <v>5.0164</v>
      </c>
      <c r="S13" s="5">
        <f>AVERAGE(S10:S12)</f>
        <v>0.46933333333333344</v>
      </c>
      <c r="T13" s="5"/>
    </row>
    <row r="14" spans="1:20" x14ac:dyDescent="0.25">
      <c r="A14" s="9" t="s">
        <v>60</v>
      </c>
      <c r="C14" s="5">
        <f t="shared" ref="C14:D14" si="8">STDEV(C10:C12)</f>
        <v>0.2191762836926785</v>
      </c>
      <c r="D14" s="5">
        <f t="shared" si="8"/>
        <v>0.22658528931361224</v>
      </c>
      <c r="E14" s="5">
        <f>STDEV(E10:E12)</f>
        <v>1.1274307074050813E-2</v>
      </c>
      <c r="F14" s="3"/>
      <c r="G14" s="3"/>
      <c r="H14" s="5"/>
      <c r="I14" s="3"/>
      <c r="J14" s="5">
        <f t="shared" ref="J14:K14" si="9">STDEV(J10:J12)</f>
        <v>0.2191762836926785</v>
      </c>
      <c r="K14" s="5">
        <f t="shared" si="9"/>
        <v>0.21986529967232232</v>
      </c>
      <c r="L14" s="5">
        <f>STDEV(L10:L12)</f>
        <v>9.3216593658707967E-3</v>
      </c>
      <c r="M14" s="3"/>
      <c r="N14" s="3"/>
      <c r="O14" s="5"/>
      <c r="P14" s="3"/>
      <c r="Q14" s="5">
        <f t="shared" ref="Q14:R14" si="10">STDEV(Q10:Q12)</f>
        <v>0.2191762836926785</v>
      </c>
      <c r="R14" s="5">
        <f t="shared" si="10"/>
        <v>0.20499480481221952</v>
      </c>
      <c r="S14" s="5">
        <f>STDEV(S10:S12)</f>
        <v>2.1563935942525425E-2</v>
      </c>
      <c r="T14" s="3"/>
    </row>
    <row r="15" spans="1:20" x14ac:dyDescent="0.25">
      <c r="A15" s="9" t="s">
        <v>61</v>
      </c>
      <c r="C15" s="5">
        <f t="shared" ref="C15:D15" si="11">C14/(SQRT(3))</f>
        <v>0.12654148638994972</v>
      </c>
      <c r="D15" s="5">
        <f t="shared" si="11"/>
        <v>0.13081907777962326</v>
      </c>
      <c r="E15" s="5">
        <f>E14/(SQRT(3))</f>
        <v>6.5092242241297392E-3</v>
      </c>
      <c r="F15" s="3"/>
      <c r="G15" s="3"/>
      <c r="H15" s="5"/>
      <c r="I15" s="3"/>
      <c r="J15" s="5">
        <f t="shared" ref="J15" si="12">J14/(SQRT(3))</f>
        <v>0.12654148638994972</v>
      </c>
      <c r="K15" s="5">
        <f t="shared" ref="K15" si="13">K14/(SQRT(3))</f>
        <v>0.12693928995127304</v>
      </c>
      <c r="L15" s="5">
        <f>L14/(SQRT(3))</f>
        <v>5.3818625441795012E-3</v>
      </c>
      <c r="M15" s="3"/>
      <c r="N15" s="3"/>
      <c r="O15" s="5"/>
      <c r="P15" s="3"/>
      <c r="Q15" s="5">
        <f t="shared" ref="Q15" si="14">Q14/(SQRT(3))</f>
        <v>0.12654148638994972</v>
      </c>
      <c r="R15" s="5">
        <f t="shared" ref="R15" si="15">R14/(SQRT(3))</f>
        <v>0.11835380574080974</v>
      </c>
      <c r="S15" s="5">
        <f>S14/(SQRT(3))</f>
        <v>1.2449944221204901E-2</v>
      </c>
      <c r="T15" s="3"/>
    </row>
    <row r="17" spans="1:20" x14ac:dyDescent="0.25">
      <c r="B17" s="3"/>
      <c r="C17" s="3" t="s">
        <v>62</v>
      </c>
      <c r="D17" s="3"/>
      <c r="E17" s="3"/>
      <c r="F17" s="3"/>
      <c r="G17" s="3"/>
      <c r="H17" s="3"/>
      <c r="I17" s="3"/>
    </row>
    <row r="18" spans="1:20" x14ac:dyDescent="0.25">
      <c r="B18" s="3"/>
      <c r="C18" s="3"/>
      <c r="D18" s="3"/>
      <c r="E18" s="3"/>
      <c r="F18" s="3"/>
      <c r="G18" s="3"/>
      <c r="H18" s="3"/>
      <c r="I18" s="3"/>
    </row>
    <row r="19" spans="1:20" x14ac:dyDescent="0.25">
      <c r="B19" s="3"/>
      <c r="C19" s="3" t="s">
        <v>63</v>
      </c>
      <c r="D19" s="3"/>
      <c r="E19" s="3"/>
      <c r="F19" s="3"/>
      <c r="G19" s="3"/>
    </row>
    <row r="21" spans="1:20" x14ac:dyDescent="0.25">
      <c r="A21" s="9" t="s">
        <v>57</v>
      </c>
      <c r="E21" s="12">
        <f>E10/1.18</f>
        <v>0.10364406779661024</v>
      </c>
      <c r="F21" s="12"/>
      <c r="G21" s="12"/>
      <c r="H21" s="12"/>
      <c r="I21" s="12"/>
      <c r="J21" s="12"/>
      <c r="K21" s="12"/>
      <c r="L21" s="12">
        <f>L10/1.18</f>
        <v>0.21033898305084725</v>
      </c>
      <c r="M21" s="12"/>
      <c r="N21" s="12"/>
      <c r="O21" s="12"/>
      <c r="P21" s="12"/>
      <c r="Q21" s="12"/>
      <c r="R21" s="12"/>
      <c r="S21" s="12">
        <f>S10/1.18</f>
        <v>0.41754237288135609</v>
      </c>
      <c r="T21" s="12"/>
    </row>
    <row r="22" spans="1:20" x14ac:dyDescent="0.25">
      <c r="A22" s="9" t="s">
        <v>58</v>
      </c>
      <c r="E22" s="12">
        <f t="shared" ref="E22:E23" si="16">E11/1.18</f>
        <v>8.7627118644068316E-2</v>
      </c>
      <c r="F22" s="12"/>
      <c r="G22" s="12"/>
      <c r="H22" s="12"/>
      <c r="I22" s="12"/>
      <c r="J22" s="12"/>
      <c r="K22" s="12"/>
      <c r="L22" s="12">
        <f t="shared" ref="L22:L23" si="17">L11/1.18</f>
        <v>0.19457627118644108</v>
      </c>
      <c r="M22" s="12"/>
      <c r="N22" s="12"/>
      <c r="O22" s="12"/>
      <c r="P22" s="12"/>
      <c r="Q22" s="12"/>
      <c r="R22" s="12"/>
      <c r="S22" s="12">
        <f t="shared" ref="S22:S23" si="18">S11/1.18</f>
        <v>0.39415254237288183</v>
      </c>
      <c r="T22" s="12"/>
    </row>
    <row r="23" spans="1:20" x14ac:dyDescent="0.25">
      <c r="A23" s="9" t="s">
        <v>59</v>
      </c>
      <c r="E23" s="12">
        <f t="shared" si="16"/>
        <v>0.1046610169491525</v>
      </c>
      <c r="F23" s="12"/>
      <c r="G23" s="12"/>
      <c r="H23" s="12"/>
      <c r="I23" s="12"/>
      <c r="J23" s="12"/>
      <c r="K23" s="12"/>
      <c r="L23" s="12">
        <f t="shared" si="17"/>
        <v>0.20152542372881357</v>
      </c>
      <c r="M23" s="12"/>
      <c r="N23" s="12"/>
      <c r="O23" s="12"/>
      <c r="P23" s="12"/>
      <c r="Q23" s="12"/>
      <c r="R23" s="12"/>
      <c r="S23" s="12">
        <f t="shared" si="18"/>
        <v>0.38152542372881332</v>
      </c>
      <c r="T23" s="12"/>
    </row>
    <row r="24" spans="1:20" x14ac:dyDescent="0.25">
      <c r="A24" s="38" t="s">
        <v>10</v>
      </c>
      <c r="B24" s="12"/>
      <c r="C24" s="12"/>
      <c r="D24" s="12"/>
      <c r="E24" s="35">
        <f>AVERAGE(E21:E23)</f>
        <v>9.8644067796610349E-2</v>
      </c>
      <c r="F24" s="12"/>
      <c r="G24" s="12"/>
      <c r="H24" s="12"/>
      <c r="I24" s="12"/>
      <c r="J24" s="12"/>
      <c r="K24" s="12"/>
      <c r="L24" s="35">
        <f>AVERAGE(L21:L23)</f>
        <v>0.20214689265536731</v>
      </c>
      <c r="M24" s="12"/>
      <c r="N24" s="12"/>
      <c r="O24" s="12"/>
      <c r="P24" s="12"/>
      <c r="Q24" s="12"/>
      <c r="R24" s="12"/>
      <c r="S24" s="35">
        <f>AVERAGE(S21:S23)</f>
        <v>0.39774011299435036</v>
      </c>
      <c r="T24" s="12"/>
    </row>
    <row r="25" spans="1:20" x14ac:dyDescent="0.25">
      <c r="A25" s="38" t="s">
        <v>60</v>
      </c>
      <c r="B25" s="12"/>
      <c r="C25" s="12"/>
      <c r="D25" s="12"/>
      <c r="E25" s="35">
        <f>STDEV(E21:E23)</f>
        <v>9.5544975203820451E-3</v>
      </c>
      <c r="F25" s="12"/>
      <c r="G25" s="12"/>
      <c r="H25" s="12"/>
      <c r="I25" s="12"/>
      <c r="J25" s="12"/>
      <c r="K25" s="12"/>
      <c r="L25" s="35">
        <f>STDEV(L21:L23)</f>
        <v>7.8997113270091474E-3</v>
      </c>
      <c r="M25" s="12"/>
      <c r="N25" s="12"/>
      <c r="O25" s="12"/>
      <c r="P25" s="12"/>
      <c r="Q25" s="12"/>
      <c r="R25" s="12"/>
      <c r="S25" s="35">
        <f>STDEV(S21:S23)</f>
        <v>1.8274521985191056E-2</v>
      </c>
    </row>
    <row r="26" spans="1:20" x14ac:dyDescent="0.25">
      <c r="A26" s="38" t="s">
        <v>61</v>
      </c>
      <c r="B26" s="12"/>
      <c r="C26" s="12"/>
      <c r="D26" s="12"/>
      <c r="E26" s="35">
        <f>E25/(SQRT(3))</f>
        <v>5.5162917153641858E-3</v>
      </c>
      <c r="F26" s="12"/>
      <c r="G26" s="12"/>
      <c r="H26" s="12"/>
      <c r="I26" s="12"/>
      <c r="J26" s="12"/>
      <c r="K26" s="12"/>
      <c r="L26" s="35">
        <f>L25/(SQRT(3))</f>
        <v>4.560900461169067E-3</v>
      </c>
      <c r="M26" s="12"/>
      <c r="N26" s="12"/>
      <c r="O26" s="12"/>
      <c r="P26" s="12"/>
      <c r="Q26" s="12"/>
      <c r="R26" s="12"/>
      <c r="S26" s="35">
        <f>S25/(SQRT(3))</f>
        <v>1.055080018746179E-2</v>
      </c>
    </row>
    <row r="28" spans="1:20" x14ac:dyDescent="0.25">
      <c r="A28" s="3"/>
      <c r="B28" s="3"/>
      <c r="E28" s="3" t="s">
        <v>64</v>
      </c>
      <c r="F28" s="3"/>
      <c r="G28" s="3"/>
      <c r="H28" s="3"/>
      <c r="I28" s="3"/>
    </row>
    <row r="29" spans="1:20" x14ac:dyDescent="0.25">
      <c r="A29" s="3"/>
      <c r="B29" s="3"/>
    </row>
    <row r="30" spans="1:20" x14ac:dyDescent="0.25">
      <c r="A30" s="9" t="s">
        <v>57</v>
      </c>
      <c r="B30" s="3"/>
      <c r="E30" s="12">
        <f>E21/25</f>
        <v>4.1457627118644093E-3</v>
      </c>
      <c r="F30" s="12"/>
      <c r="G30" s="12"/>
      <c r="H30" s="12"/>
      <c r="I30" s="12"/>
      <c r="J30" s="12"/>
      <c r="K30" s="12"/>
      <c r="L30" s="12">
        <f>L21/50</f>
        <v>4.2067796610169451E-3</v>
      </c>
      <c r="M30" s="12"/>
      <c r="N30" s="12"/>
      <c r="O30" s="12"/>
      <c r="P30" s="12"/>
      <c r="Q30" s="12"/>
      <c r="R30" s="12"/>
      <c r="S30" s="12">
        <f>S21/100</f>
        <v>4.1754237288135609E-3</v>
      </c>
      <c r="T30" s="12"/>
    </row>
    <row r="31" spans="1:20" x14ac:dyDescent="0.25">
      <c r="A31" s="9" t="s">
        <v>58</v>
      </c>
      <c r="E31" s="12">
        <f t="shared" ref="E31:E32" si="19">E22/25</f>
        <v>3.5050847457627327E-3</v>
      </c>
      <c r="L31" s="12">
        <f t="shared" ref="L31:L32" si="20">L22/50</f>
        <v>3.8915254237288214E-3</v>
      </c>
      <c r="S31" s="12">
        <f t="shared" ref="S31:S32" si="21">S22/100</f>
        <v>3.9415254237288181E-3</v>
      </c>
    </row>
    <row r="32" spans="1:20" x14ac:dyDescent="0.25">
      <c r="A32" s="9" t="s">
        <v>59</v>
      </c>
      <c r="E32" s="12">
        <f t="shared" si="19"/>
        <v>4.1864406779661004E-3</v>
      </c>
      <c r="L32" s="12">
        <f t="shared" si="20"/>
        <v>4.0305084745762719E-3</v>
      </c>
      <c r="S32" s="12">
        <f t="shared" si="21"/>
        <v>3.8152542372881333E-3</v>
      </c>
    </row>
    <row r="33" spans="1:19" x14ac:dyDescent="0.25">
      <c r="A33" s="38" t="s">
        <v>10</v>
      </c>
      <c r="B33" s="12"/>
      <c r="C33" s="12"/>
      <c r="D33" s="12"/>
      <c r="E33" s="35">
        <f>AVERAGE(E30:E32)</f>
        <v>3.945762711864414E-3</v>
      </c>
      <c r="F33" s="12"/>
      <c r="G33" s="12"/>
      <c r="H33" s="12"/>
      <c r="I33" s="12"/>
      <c r="J33" s="12"/>
      <c r="K33" s="12"/>
      <c r="L33" s="35">
        <f>AVERAGE(L30:L32)</f>
        <v>4.042937853107346E-3</v>
      </c>
      <c r="M33" s="12"/>
      <c r="N33" s="12"/>
      <c r="O33" s="12"/>
      <c r="P33" s="12"/>
      <c r="Q33" s="12"/>
      <c r="R33" s="12"/>
      <c r="S33" s="35">
        <f>AVERAGE(S30:S32)</f>
        <v>3.9774011299435049E-3</v>
      </c>
    </row>
    <row r="34" spans="1:19" x14ac:dyDescent="0.25">
      <c r="A34" s="38" t="s">
        <v>60</v>
      </c>
      <c r="B34" s="12"/>
      <c r="C34" s="12"/>
      <c r="D34" s="12"/>
      <c r="E34" s="35">
        <f>STDEV(E30:E32)</f>
        <v>3.8217990081528176E-4</v>
      </c>
      <c r="F34" s="12"/>
      <c r="G34" s="12"/>
      <c r="H34" s="12"/>
      <c r="I34" s="12"/>
      <c r="J34" s="12"/>
      <c r="K34" s="12"/>
      <c r="L34" s="35">
        <f>STDEV(L30:L32)</f>
        <v>1.5799422654018308E-4</v>
      </c>
      <c r="M34" s="12"/>
      <c r="N34" s="12"/>
      <c r="O34" s="12"/>
      <c r="P34" s="12"/>
      <c r="Q34" s="12"/>
      <c r="R34" s="12"/>
      <c r="S34" s="35">
        <f>STDEV(S30:S32)</f>
        <v>1.8274521985191052E-4</v>
      </c>
    </row>
    <row r="35" spans="1:19" x14ac:dyDescent="0.25">
      <c r="A35" s="38" t="s">
        <v>61</v>
      </c>
      <c r="B35" s="12"/>
      <c r="C35" s="12"/>
      <c r="D35" s="12"/>
      <c r="E35" s="35">
        <f>E34/(SQRT(3))</f>
        <v>2.2065166861456742E-4</v>
      </c>
      <c r="F35" s="12"/>
      <c r="G35" s="12"/>
      <c r="H35" s="12"/>
      <c r="I35" s="12"/>
      <c r="J35" s="12"/>
      <c r="K35" s="12"/>
      <c r="L35" s="35">
        <f>L34/(SQRT(3))</f>
        <v>9.1218009223381424E-5</v>
      </c>
      <c r="M35" s="12"/>
      <c r="N35" s="12"/>
      <c r="O35" s="12"/>
      <c r="P35" s="12"/>
      <c r="Q35" s="12"/>
      <c r="R35" s="12"/>
      <c r="S35" s="35">
        <f>S34/(SQRT(3))</f>
        <v>1.0550800187461789E-4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Nicotine Recovery</vt:lpstr>
      <vt:lpstr>Std Curve Stats</vt:lpstr>
      <vt:lpstr>Vaporization per puff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Palazzolo, Domenico</dc:creator>
  <cp:lastModifiedBy>Palazzolo, Domenico</cp:lastModifiedBy>
  <dcterms:created xsi:type="dcterms:W3CDTF">2020-03-11T12:45:30Z</dcterms:created>
  <dcterms:modified xsi:type="dcterms:W3CDTF">2024-04-26T14:56:04Z</dcterms:modified>
</cp:coreProperties>
</file>