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5"/>
  <workbookPr defaultThemeVersion="124226"/>
  <mc:AlternateContent xmlns:mc="http://schemas.openxmlformats.org/markup-compatibility/2006">
    <mc:Choice Requires="x15">
      <x15ac:absPath xmlns:x15ac="http://schemas.microsoft.com/office/spreadsheetml/2010/11/ac" url="G:\USERS\HS\JGordon\EASA\96-well\Paper\Data\Calculated Data\"/>
    </mc:Choice>
  </mc:AlternateContent>
  <xr:revisionPtr revIDLastSave="0" documentId="8_{0C11D5D2-7847-48CF-A552-FF1E11D4EA77}" xr6:coauthVersionLast="36" xr6:coauthVersionMax="36" xr10:uidLastSave="{00000000-0000-0000-0000-000000000000}"/>
  <bookViews>
    <workbookView xWindow="0" yWindow="0" windowWidth="19200" windowHeight="6350" tabRatio="824" firstSheet="3" activeTab="9" xr2:uid="{00000000-000D-0000-FFFF-FFFF00000000}"/>
  </bookViews>
  <sheets>
    <sheet name="Instructions" sheetId="3" r:id="rId1"/>
    <sheet name="Raw Data" sheetId="5" r:id="rId2"/>
    <sheet name="Study Information" sheetId="4" r:id="rId3"/>
    <sheet name="680 nm (Bubble) Outlier" sheetId="6" r:id="rId4"/>
    <sheet name="Quartiles Outlier Blank-NC" sheetId="10" r:id="rId5"/>
    <sheet name="Interference" sheetId="7" r:id="rId6"/>
    <sheet name="NBT Depletion" sheetId="1" r:id="rId7"/>
    <sheet name="T-test" sheetId="9" r:id="rId8"/>
    <sheet name="QC Chart Data" sheetId="8" r:id="rId9"/>
    <sheet name="NBT Report" sheetId="2" r:id="rId10"/>
  </sheets>
  <calcPr calcId="191029"/>
</workbook>
</file>

<file path=xl/calcChain.xml><?xml version="1.0" encoding="utf-8"?>
<calcChain xmlns="http://schemas.openxmlformats.org/spreadsheetml/2006/main">
  <c r="U23" i="6" l="1"/>
  <c r="G2" i="2" l="1"/>
  <c r="Q15" i="2" l="1"/>
  <c r="Q8" i="2"/>
  <c r="Q1" i="2"/>
  <c r="H32" i="2"/>
  <c r="H25" i="2"/>
  <c r="H18" i="2"/>
  <c r="G4" i="6" l="1"/>
  <c r="H4" i="6"/>
  <c r="I4" i="6"/>
  <c r="J4" i="6"/>
  <c r="K4" i="6"/>
  <c r="L4" i="6"/>
  <c r="M4" i="6"/>
  <c r="I9" i="6"/>
  <c r="G9" i="6"/>
  <c r="J9" i="6"/>
  <c r="H6" i="6"/>
  <c r="G6" i="6"/>
  <c r="J6" i="6"/>
  <c r="G5" i="6"/>
  <c r="C6" i="6"/>
  <c r="E6" i="6"/>
  <c r="J3" i="6"/>
  <c r="J5" i="6"/>
  <c r="B3" i="6"/>
  <c r="H9" i="6"/>
  <c r="K9" i="6"/>
  <c r="B48" i="6" l="1"/>
  <c r="B33" i="10" s="1"/>
  <c r="B38" i="6"/>
  <c r="B28" i="6"/>
  <c r="B18" i="6"/>
  <c r="B3" i="10" s="1"/>
  <c r="E41" i="6"/>
  <c r="E31" i="6"/>
  <c r="E51" i="6"/>
  <c r="E21" i="6"/>
  <c r="M33" i="10"/>
  <c r="C51" i="6"/>
  <c r="C41" i="6"/>
  <c r="C31" i="6"/>
  <c r="M13" i="10" s="1"/>
  <c r="C21" i="6"/>
  <c r="J28" i="6"/>
  <c r="J48" i="6"/>
  <c r="J33" i="10" s="1"/>
  <c r="J38" i="6"/>
  <c r="J23" i="10" s="1"/>
  <c r="J18" i="6"/>
  <c r="H49" i="6"/>
  <c r="I49" i="6"/>
  <c r="M49" i="6"/>
  <c r="H39" i="6"/>
  <c r="L39" i="6"/>
  <c r="G39" i="6"/>
  <c r="K29" i="6"/>
  <c r="H19" i="6"/>
  <c r="L19" i="6"/>
  <c r="J49" i="6"/>
  <c r="I39" i="6"/>
  <c r="M39" i="6"/>
  <c r="H29" i="6"/>
  <c r="L29" i="6"/>
  <c r="G29" i="6"/>
  <c r="I19" i="6"/>
  <c r="M19" i="6"/>
  <c r="K49" i="6"/>
  <c r="J39" i="6"/>
  <c r="I29" i="6"/>
  <c r="M29" i="6"/>
  <c r="J19" i="6"/>
  <c r="G19" i="6"/>
  <c r="L49" i="6"/>
  <c r="K39" i="6"/>
  <c r="J29" i="6"/>
  <c r="G49" i="6"/>
  <c r="K19" i="6"/>
  <c r="J13" i="10"/>
  <c r="J3" i="10"/>
  <c r="M3" i="10"/>
  <c r="M23" i="10"/>
  <c r="B23" i="10"/>
  <c r="B13" i="10"/>
  <c r="V14" i="6" l="1"/>
  <c r="V24" i="6"/>
  <c r="A4" i="2"/>
  <c r="I6" i="6"/>
  <c r="K6" i="6"/>
  <c r="L6" i="6"/>
  <c r="M6" i="6"/>
  <c r="L41" i="6" l="1"/>
  <c r="J51" i="6"/>
  <c r="H31" i="6"/>
  <c r="K51" i="6"/>
  <c r="M31" i="6"/>
  <c r="K21" i="6"/>
  <c r="K41" i="6"/>
  <c r="I51" i="6"/>
  <c r="K31" i="6"/>
  <c r="G51" i="6"/>
  <c r="L31" i="6"/>
  <c r="J41" i="6"/>
  <c r="J21" i="6"/>
  <c r="L51" i="6"/>
  <c r="M51" i="6"/>
  <c r="H21" i="6"/>
  <c r="I41" i="6"/>
  <c r="I21" i="6"/>
  <c r="G41" i="6"/>
  <c r="G21" i="6"/>
  <c r="G31" i="6"/>
  <c r="H41" i="6"/>
  <c r="L21" i="6"/>
  <c r="M41" i="6"/>
  <c r="M21" i="6"/>
  <c r="I31" i="6"/>
  <c r="H51" i="6"/>
  <c r="J31" i="6"/>
  <c r="L9" i="6"/>
  <c r="M9" i="6"/>
  <c r="J44" i="6" l="1"/>
  <c r="J24" i="6"/>
  <c r="J34" i="6"/>
  <c r="G54" i="6"/>
  <c r="H24" i="6"/>
  <c r="G24" i="6"/>
  <c r="H34" i="6"/>
  <c r="I34" i="6"/>
  <c r="H54" i="6"/>
  <c r="K24" i="6"/>
  <c r="H44" i="6"/>
  <c r="L24" i="6"/>
  <c r="G44" i="6"/>
  <c r="J54" i="6"/>
  <c r="M34" i="6"/>
  <c r="L54" i="6"/>
  <c r="I54" i="6"/>
  <c r="L44" i="6"/>
  <c r="M44" i="6"/>
  <c r="I24" i="6"/>
  <c r="M24" i="6"/>
  <c r="K54" i="6"/>
  <c r="G34" i="6"/>
  <c r="K44" i="6"/>
  <c r="M54" i="6"/>
  <c r="K34" i="6"/>
  <c r="L34" i="6"/>
  <c r="I44" i="6"/>
  <c r="V26" i="6"/>
  <c r="V16" i="6"/>
  <c r="V29" i="6" l="1"/>
  <c r="V19" i="6"/>
  <c r="T42" i="7"/>
  <c r="V42" i="7" s="1"/>
  <c r="T41" i="7"/>
  <c r="V41" i="7" s="1"/>
  <c r="T40" i="7"/>
  <c r="V40" i="7" s="1"/>
  <c r="T39" i="7"/>
  <c r="V39" i="7" s="1"/>
  <c r="T38" i="7"/>
  <c r="V38" i="7" s="1"/>
  <c r="T37" i="7"/>
  <c r="V37" i="7" s="1"/>
  <c r="T36" i="7"/>
  <c r="V36" i="7" s="1"/>
  <c r="T32" i="7"/>
  <c r="V32" i="7" s="1"/>
  <c r="T31" i="7"/>
  <c r="V31" i="7" s="1"/>
  <c r="T30" i="7"/>
  <c r="V30" i="7" s="1"/>
  <c r="T29" i="7"/>
  <c r="V29" i="7" s="1"/>
  <c r="T28" i="7"/>
  <c r="V28" i="7" s="1"/>
  <c r="T27" i="7"/>
  <c r="V27" i="7" s="1"/>
  <c r="T26" i="7"/>
  <c r="V26" i="7" s="1"/>
  <c r="T22" i="7"/>
  <c r="V22" i="7" s="1"/>
  <c r="T21" i="7"/>
  <c r="V21" i="7" s="1"/>
  <c r="T20" i="7"/>
  <c r="V20" i="7" s="1"/>
  <c r="T19" i="7"/>
  <c r="V19" i="7" s="1"/>
  <c r="T18" i="7"/>
  <c r="V18" i="7" s="1"/>
  <c r="T17" i="7"/>
  <c r="V17" i="7" s="1"/>
  <c r="T16" i="7"/>
  <c r="V16" i="7" s="1"/>
  <c r="T7" i="7"/>
  <c r="V7" i="7" s="1"/>
  <c r="T8" i="7"/>
  <c r="V8" i="7" s="1"/>
  <c r="T9" i="7"/>
  <c r="V9" i="7" s="1"/>
  <c r="T10" i="7"/>
  <c r="V10" i="7" s="1"/>
  <c r="T11" i="7"/>
  <c r="V11" i="7" s="1"/>
  <c r="T12" i="7"/>
  <c r="V12" i="7" s="1"/>
  <c r="T6" i="7"/>
  <c r="V6" i="7" s="1"/>
  <c r="D6" i="6" l="1"/>
  <c r="D51" i="6" l="1"/>
  <c r="D41" i="6"/>
  <c r="D31" i="6"/>
  <c r="D21" i="6"/>
  <c r="B10" i="6"/>
  <c r="G8" i="6"/>
  <c r="I5" i="6"/>
  <c r="B55" i="6" l="1"/>
  <c r="B45" i="6"/>
  <c r="B30" i="10" s="1"/>
  <c r="B35" i="6"/>
  <c r="B20" i="10" s="1"/>
  <c r="B25" i="6"/>
  <c r="B10" i="10" s="1"/>
  <c r="B40" i="10"/>
  <c r="B5" i="6"/>
  <c r="B8" i="6"/>
  <c r="E5" i="6"/>
  <c r="H8" i="6"/>
  <c r="F8" i="6"/>
  <c r="E50" i="6" l="1"/>
  <c r="E40" i="6"/>
  <c r="E20" i="6"/>
  <c r="E30" i="6"/>
  <c r="B43" i="6"/>
  <c r="B28" i="10" s="1"/>
  <c r="B53" i="6"/>
  <c r="B38" i="10" s="1"/>
  <c r="B33" i="6"/>
  <c r="B18" i="10" s="1"/>
  <c r="B23" i="6"/>
  <c r="B8" i="10" s="1"/>
  <c r="F53" i="6"/>
  <c r="F43" i="6"/>
  <c r="F33" i="6"/>
  <c r="F23" i="6"/>
  <c r="B50" i="6"/>
  <c r="B40" i="6"/>
  <c r="B25" i="10" s="1"/>
  <c r="B30" i="6"/>
  <c r="B15" i="10" s="1"/>
  <c r="B20" i="6"/>
  <c r="B5" i="10" s="1"/>
  <c r="B35" i="10"/>
  <c r="O42" i="7"/>
  <c r="Y42" i="7" s="1"/>
  <c r="O41" i="7"/>
  <c r="Y41" i="7" s="1"/>
  <c r="O40" i="7"/>
  <c r="Y40" i="7" s="1"/>
  <c r="O39" i="7"/>
  <c r="Y39" i="7" s="1"/>
  <c r="O38" i="7"/>
  <c r="Y38" i="7" s="1"/>
  <c r="O37" i="7"/>
  <c r="Y37" i="7" s="1"/>
  <c r="O36" i="7"/>
  <c r="Y36" i="7" s="1"/>
  <c r="O32" i="7"/>
  <c r="Y32" i="7" s="1"/>
  <c r="O31" i="7"/>
  <c r="Y31" i="7" s="1"/>
  <c r="O30" i="7"/>
  <c r="Y30" i="7" s="1"/>
  <c r="O29" i="7"/>
  <c r="Y29" i="7" s="1"/>
  <c r="O28" i="7"/>
  <c r="Y28" i="7" s="1"/>
  <c r="O27" i="7"/>
  <c r="Y27" i="7" s="1"/>
  <c r="O26" i="7"/>
  <c r="Y26" i="7" s="1"/>
  <c r="O22" i="7"/>
  <c r="Y22" i="7" s="1"/>
  <c r="O21" i="7"/>
  <c r="Y21" i="7" s="1"/>
  <c r="O20" i="7"/>
  <c r="Y20" i="7" s="1"/>
  <c r="O19" i="7"/>
  <c r="Y19" i="7" s="1"/>
  <c r="O18" i="7"/>
  <c r="Y18" i="7" s="1"/>
  <c r="O17" i="7"/>
  <c r="Y17" i="7" s="1"/>
  <c r="O16" i="7"/>
  <c r="Y16" i="7" s="1"/>
  <c r="O12" i="7"/>
  <c r="Y12" i="7" s="1"/>
  <c r="O11" i="7"/>
  <c r="Y11" i="7" s="1"/>
  <c r="O10" i="7"/>
  <c r="Y10" i="7" s="1"/>
  <c r="O9" i="7"/>
  <c r="Y9" i="7" s="1"/>
  <c r="O8" i="7"/>
  <c r="Y8" i="7" s="1"/>
  <c r="O7" i="7"/>
  <c r="Y7" i="7" s="1"/>
  <c r="O6" i="7"/>
  <c r="Y6" i="7" s="1"/>
  <c r="O45" i="6"/>
  <c r="O44" i="6"/>
  <c r="O43" i="6"/>
  <c r="O42" i="6"/>
  <c r="O41" i="6"/>
  <c r="O40" i="6"/>
  <c r="O39" i="6"/>
  <c r="O35" i="6"/>
  <c r="O34" i="6"/>
  <c r="O33" i="6"/>
  <c r="O32" i="6"/>
  <c r="O31" i="6"/>
  <c r="O30" i="6"/>
  <c r="O29" i="6"/>
  <c r="O25" i="6"/>
  <c r="O24" i="6"/>
  <c r="O23" i="6"/>
  <c r="O22" i="6"/>
  <c r="O21" i="6"/>
  <c r="O20" i="6"/>
  <c r="O19" i="6"/>
  <c r="O10" i="6"/>
  <c r="O9" i="6"/>
  <c r="O8" i="6"/>
  <c r="O7" i="6"/>
  <c r="O6" i="6"/>
  <c r="O5" i="6"/>
  <c r="O4" i="6"/>
  <c r="N4" i="6" l="1"/>
  <c r="N5" i="6"/>
  <c r="N6" i="6"/>
  <c r="N7" i="6"/>
  <c r="N8" i="6"/>
  <c r="N9" i="6"/>
  <c r="N10" i="6"/>
  <c r="N18" i="6"/>
  <c r="N19" i="6"/>
  <c r="N20" i="6"/>
  <c r="N21" i="6"/>
  <c r="N22" i="6"/>
  <c r="N23" i="6"/>
  <c r="N24" i="6"/>
  <c r="N25" i="6"/>
  <c r="N28" i="6"/>
  <c r="N29" i="6"/>
  <c r="N30" i="6"/>
  <c r="N31" i="6"/>
  <c r="N32" i="6"/>
  <c r="N33" i="6"/>
  <c r="N34" i="6"/>
  <c r="N35" i="6"/>
  <c r="N38" i="6"/>
  <c r="N39" i="6"/>
  <c r="N40" i="6"/>
  <c r="N41" i="6"/>
  <c r="N42" i="6"/>
  <c r="N43" i="6"/>
  <c r="N44" i="6"/>
  <c r="N45" i="6"/>
  <c r="N48" i="6"/>
  <c r="N49" i="6"/>
  <c r="N50" i="6"/>
  <c r="N51" i="6"/>
  <c r="N52" i="6"/>
  <c r="N53" i="6"/>
  <c r="N54" i="6"/>
  <c r="N55" i="6"/>
  <c r="N3" i="6"/>
  <c r="B4" i="6" l="1"/>
  <c r="C4" i="6"/>
  <c r="D4" i="6"/>
  <c r="E4" i="6"/>
  <c r="F4" i="6"/>
  <c r="K24" i="1"/>
  <c r="K24" i="9" s="1"/>
  <c r="M34" i="1"/>
  <c r="M34" i="9" s="1"/>
  <c r="C5" i="6"/>
  <c r="D5" i="6"/>
  <c r="F5" i="6"/>
  <c r="H5" i="6"/>
  <c r="K5" i="6"/>
  <c r="L5" i="6"/>
  <c r="M5" i="6"/>
  <c r="B6" i="6"/>
  <c r="F6" i="6"/>
  <c r="G38" i="7"/>
  <c r="I26" i="1"/>
  <c r="I26" i="9" s="1"/>
  <c r="M36" i="1"/>
  <c r="M36" i="9" s="1"/>
  <c r="B7" i="6"/>
  <c r="C7" i="6"/>
  <c r="D7" i="6"/>
  <c r="E7" i="6"/>
  <c r="F7" i="6"/>
  <c r="G7" i="6"/>
  <c r="H7" i="6"/>
  <c r="I7" i="6"/>
  <c r="J7" i="6"/>
  <c r="K7" i="6"/>
  <c r="L7" i="6"/>
  <c r="M7" i="6"/>
  <c r="C8" i="6"/>
  <c r="D8" i="6"/>
  <c r="E8" i="6"/>
  <c r="I8" i="6"/>
  <c r="J8" i="6"/>
  <c r="K8" i="6"/>
  <c r="L8" i="6"/>
  <c r="M8" i="6"/>
  <c r="B9" i="6"/>
  <c r="C9" i="6"/>
  <c r="D9" i="6"/>
  <c r="E9" i="6"/>
  <c r="F9" i="6"/>
  <c r="J19" i="1"/>
  <c r="J19" i="9" s="1"/>
  <c r="C10" i="6"/>
  <c r="D10" i="6"/>
  <c r="E10" i="6"/>
  <c r="F10" i="6"/>
  <c r="G10" i="6"/>
  <c r="H10" i="6"/>
  <c r="I10" i="6"/>
  <c r="J10" i="6"/>
  <c r="K10" i="6"/>
  <c r="L10" i="6"/>
  <c r="M10" i="6"/>
  <c r="C3" i="6"/>
  <c r="D3" i="6"/>
  <c r="E3" i="6"/>
  <c r="F3" i="6"/>
  <c r="G3" i="6"/>
  <c r="H3" i="6"/>
  <c r="I3" i="6"/>
  <c r="K3" i="6"/>
  <c r="L3" i="6"/>
  <c r="M3" i="6"/>
  <c r="B12" i="4"/>
  <c r="B13" i="4"/>
  <c r="B14" i="4"/>
  <c r="B15" i="4"/>
  <c r="B16" i="4"/>
  <c r="B17" i="4"/>
  <c r="B11" i="4"/>
  <c r="B47" i="6"/>
  <c r="B32" i="10" s="1"/>
  <c r="C47" i="6"/>
  <c r="C32" i="10" s="1"/>
  <c r="D47" i="6"/>
  <c r="D32" i="10" s="1"/>
  <c r="E47" i="6"/>
  <c r="E32" i="10" s="1"/>
  <c r="F47" i="6"/>
  <c r="F32" i="10" s="1"/>
  <c r="G47" i="6"/>
  <c r="G32" i="10" s="1"/>
  <c r="H47" i="6"/>
  <c r="I47" i="6"/>
  <c r="J47" i="6"/>
  <c r="J32" i="10" s="1"/>
  <c r="K47" i="6"/>
  <c r="L47" i="6"/>
  <c r="M47" i="6"/>
  <c r="B37" i="6"/>
  <c r="B22" i="10" s="1"/>
  <c r="C37" i="6"/>
  <c r="D37" i="6"/>
  <c r="E37" i="6"/>
  <c r="E22" i="10" s="1"/>
  <c r="F37" i="6"/>
  <c r="F22" i="10" s="1"/>
  <c r="G37" i="6"/>
  <c r="G22" i="10" s="1"/>
  <c r="H37" i="6"/>
  <c r="I37" i="6"/>
  <c r="I22" i="10" s="1"/>
  <c r="J37" i="6"/>
  <c r="J22" i="10" s="1"/>
  <c r="K37" i="6"/>
  <c r="L37" i="6"/>
  <c r="M37" i="6"/>
  <c r="B27" i="6"/>
  <c r="C27" i="6"/>
  <c r="D27" i="6"/>
  <c r="D12" i="10" s="1"/>
  <c r="E27" i="6"/>
  <c r="F27" i="6"/>
  <c r="G27" i="6"/>
  <c r="H27" i="6"/>
  <c r="H12" i="10" s="1"/>
  <c r="I27" i="6"/>
  <c r="J27" i="6"/>
  <c r="K27" i="6"/>
  <c r="L27" i="6"/>
  <c r="M27" i="6"/>
  <c r="B17" i="6"/>
  <c r="C17" i="6"/>
  <c r="D17" i="6"/>
  <c r="E17" i="6"/>
  <c r="F17" i="6"/>
  <c r="G17" i="6"/>
  <c r="H17" i="6"/>
  <c r="I17" i="6"/>
  <c r="J17" i="6"/>
  <c r="K17" i="6"/>
  <c r="K2" i="1" s="1"/>
  <c r="K2" i="9" s="1"/>
  <c r="L17" i="6"/>
  <c r="L2" i="1" s="1"/>
  <c r="L2" i="9" s="1"/>
  <c r="M17" i="6"/>
  <c r="M2" i="1" s="1"/>
  <c r="M2" i="9" s="1"/>
  <c r="B4" i="7"/>
  <c r="C4" i="7"/>
  <c r="D4" i="7"/>
  <c r="E4" i="7"/>
  <c r="F4" i="7"/>
  <c r="G4" i="7"/>
  <c r="H4" i="7"/>
  <c r="I4" i="7"/>
  <c r="J4" i="7"/>
  <c r="K4" i="7"/>
  <c r="L4" i="7"/>
  <c r="M4" i="7"/>
  <c r="O55" i="6"/>
  <c r="O54" i="6"/>
  <c r="O53" i="6"/>
  <c r="O52" i="6"/>
  <c r="O51" i="6"/>
  <c r="O50" i="6"/>
  <c r="O49" i="6"/>
  <c r="U16" i="6"/>
  <c r="U18" i="6"/>
  <c r="U19" i="6"/>
  <c r="U20" i="6"/>
  <c r="U14" i="6"/>
  <c r="C2" i="6"/>
  <c r="D2" i="6"/>
  <c r="E2" i="6"/>
  <c r="F2" i="6"/>
  <c r="G2" i="6"/>
  <c r="H2" i="6"/>
  <c r="I2" i="6"/>
  <c r="J2" i="6"/>
  <c r="K2" i="6"/>
  <c r="L2" i="6"/>
  <c r="M2" i="6"/>
  <c r="B2" i="6"/>
  <c r="A48" i="6"/>
  <c r="A49" i="6"/>
  <c r="A50" i="6"/>
  <c r="A51" i="6"/>
  <c r="A36" i="10" s="1"/>
  <c r="A52" i="6"/>
  <c r="A53" i="6"/>
  <c r="A38" i="10" s="1"/>
  <c r="A54" i="6"/>
  <c r="A55" i="6"/>
  <c r="A40" i="10" s="1"/>
  <c r="A47" i="6"/>
  <c r="A38" i="6"/>
  <c r="A39" i="6"/>
  <c r="A40" i="6"/>
  <c r="A41" i="6"/>
  <c r="A42" i="6"/>
  <c r="A43" i="6"/>
  <c r="A44" i="6"/>
  <c r="A45" i="6"/>
  <c r="A37" i="6"/>
  <c r="A22" i="10" s="1"/>
  <c r="Z22" i="10" s="1"/>
  <c r="A28" i="6"/>
  <c r="A13" i="10" s="1"/>
  <c r="A29" i="6"/>
  <c r="A30" i="6"/>
  <c r="A31" i="6"/>
  <c r="A32" i="6"/>
  <c r="A17" i="10" s="1"/>
  <c r="A33" i="6"/>
  <c r="A34" i="6"/>
  <c r="A35" i="6"/>
  <c r="A27" i="6"/>
  <c r="A18" i="6"/>
  <c r="A19" i="6"/>
  <c r="A20" i="6"/>
  <c r="A21" i="6"/>
  <c r="A22" i="6"/>
  <c r="A23" i="6"/>
  <c r="A24" i="6"/>
  <c r="A25" i="6"/>
  <c r="A17" i="6"/>
  <c r="A5" i="6"/>
  <c r="A6" i="6"/>
  <c r="A7" i="6"/>
  <c r="A8" i="6"/>
  <c r="A9" i="6"/>
  <c r="A10" i="6"/>
  <c r="A4" i="6"/>
  <c r="A3" i="6"/>
  <c r="A2" i="6"/>
  <c r="U17" i="6"/>
  <c r="U15" i="6"/>
  <c r="F28" i="6" l="1"/>
  <c r="F48" i="6"/>
  <c r="F38" i="6"/>
  <c r="F18" i="6"/>
  <c r="F3" i="10" s="1"/>
  <c r="E55" i="6"/>
  <c r="E25" i="6"/>
  <c r="E35" i="6"/>
  <c r="E45" i="6"/>
  <c r="E30" i="1" s="1"/>
  <c r="E30" i="9" s="1"/>
  <c r="F54" i="6"/>
  <c r="F44" i="6"/>
  <c r="F34" i="6"/>
  <c r="F24" i="6"/>
  <c r="B54" i="6"/>
  <c r="B44" i="6"/>
  <c r="B34" i="6"/>
  <c r="B24" i="6"/>
  <c r="C53" i="6"/>
  <c r="C43" i="6"/>
  <c r="C33" i="6"/>
  <c r="C23" i="6"/>
  <c r="F22" i="6"/>
  <c r="F42" i="6"/>
  <c r="F52" i="6"/>
  <c r="F32" i="6"/>
  <c r="B52" i="6"/>
  <c r="B42" i="6"/>
  <c r="B32" i="6"/>
  <c r="B22" i="6"/>
  <c r="B7" i="10" s="1"/>
  <c r="F51" i="6"/>
  <c r="F41" i="6"/>
  <c r="F31" i="6"/>
  <c r="F21" i="6"/>
  <c r="C50" i="6"/>
  <c r="C40" i="6"/>
  <c r="C30" i="6"/>
  <c r="C20" i="6"/>
  <c r="L3" i="10" s="1"/>
  <c r="E49" i="6"/>
  <c r="E39" i="6"/>
  <c r="E29" i="6"/>
  <c r="E19" i="6"/>
  <c r="I48" i="6"/>
  <c r="I38" i="6"/>
  <c r="I18" i="6"/>
  <c r="I28" i="6"/>
  <c r="I13" i="10" s="1"/>
  <c r="E48" i="6"/>
  <c r="E38" i="6"/>
  <c r="E18" i="6"/>
  <c r="E28" i="6"/>
  <c r="E13" i="10" s="1"/>
  <c r="D55" i="6"/>
  <c r="D45" i="6"/>
  <c r="D35" i="6"/>
  <c r="D25" i="6"/>
  <c r="E54" i="6"/>
  <c r="E44" i="6"/>
  <c r="E34" i="6"/>
  <c r="E24" i="6"/>
  <c r="K43" i="6"/>
  <c r="I53" i="6"/>
  <c r="I23" i="6"/>
  <c r="H53" i="6"/>
  <c r="G53" i="6"/>
  <c r="J53" i="6"/>
  <c r="I43" i="6"/>
  <c r="H33" i="6"/>
  <c r="J33" i="6"/>
  <c r="M43" i="6"/>
  <c r="G33" i="6"/>
  <c r="J23" i="6"/>
  <c r="K33" i="6"/>
  <c r="L53" i="6"/>
  <c r="G23" i="6"/>
  <c r="K23" i="6"/>
  <c r="K8" i="1" s="1"/>
  <c r="K8" i="9" s="1"/>
  <c r="L23" i="6"/>
  <c r="H23" i="6"/>
  <c r="K53" i="6"/>
  <c r="M53" i="6"/>
  <c r="M40" i="7" s="1"/>
  <c r="M33" i="6"/>
  <c r="G43" i="6"/>
  <c r="I33" i="6"/>
  <c r="L43" i="6"/>
  <c r="L30" i="7" s="1"/>
  <c r="H43" i="6"/>
  <c r="L33" i="6"/>
  <c r="J43" i="6"/>
  <c r="M23" i="6"/>
  <c r="M8" i="1" s="1"/>
  <c r="M8" i="9" s="1"/>
  <c r="E52" i="6"/>
  <c r="E42" i="6"/>
  <c r="E32" i="6"/>
  <c r="E22" i="6"/>
  <c r="B51" i="6"/>
  <c r="B41" i="6"/>
  <c r="B31" i="6"/>
  <c r="B21" i="6"/>
  <c r="I30" i="6"/>
  <c r="H50" i="6"/>
  <c r="K20" i="6"/>
  <c r="H40" i="6"/>
  <c r="L20" i="6"/>
  <c r="M20" i="6"/>
  <c r="J50" i="6"/>
  <c r="M30" i="6"/>
  <c r="L50" i="6"/>
  <c r="I50" i="6"/>
  <c r="L40" i="6"/>
  <c r="I20" i="6"/>
  <c r="M40" i="6"/>
  <c r="G40" i="6"/>
  <c r="K50" i="6"/>
  <c r="G30" i="6"/>
  <c r="K40" i="6"/>
  <c r="M50" i="6"/>
  <c r="K30" i="6"/>
  <c r="I40" i="6"/>
  <c r="L30" i="6"/>
  <c r="J40" i="6"/>
  <c r="J20" i="6"/>
  <c r="J30" i="6"/>
  <c r="J15" i="1" s="1"/>
  <c r="J15" i="9" s="1"/>
  <c r="G50" i="6"/>
  <c r="H20" i="6"/>
  <c r="H30" i="6"/>
  <c r="G20" i="6"/>
  <c r="D39" i="6"/>
  <c r="D29" i="6"/>
  <c r="D49" i="6"/>
  <c r="D19" i="6"/>
  <c r="H48" i="6"/>
  <c r="H38" i="6"/>
  <c r="H28" i="6"/>
  <c r="H18" i="6"/>
  <c r="H3" i="10" s="1"/>
  <c r="D48" i="6"/>
  <c r="D38" i="6"/>
  <c r="D28" i="6"/>
  <c r="D18" i="6"/>
  <c r="I55" i="6"/>
  <c r="M55" i="6"/>
  <c r="H45" i="6"/>
  <c r="L45" i="6"/>
  <c r="L32" i="7" s="1"/>
  <c r="K35" i="6"/>
  <c r="H25" i="6"/>
  <c r="L25" i="6"/>
  <c r="J55" i="6"/>
  <c r="G55" i="6"/>
  <c r="I45" i="6"/>
  <c r="M45" i="6"/>
  <c r="H35" i="6"/>
  <c r="L35" i="6"/>
  <c r="I25" i="6"/>
  <c r="M25" i="6"/>
  <c r="K55" i="6"/>
  <c r="V30" i="6" s="1"/>
  <c r="J45" i="6"/>
  <c r="G45" i="6"/>
  <c r="I35" i="6"/>
  <c r="M35" i="6"/>
  <c r="J25" i="6"/>
  <c r="G25" i="6"/>
  <c r="H55" i="6"/>
  <c r="K25" i="6"/>
  <c r="K12" i="7" s="1"/>
  <c r="L55" i="6"/>
  <c r="K45" i="6"/>
  <c r="J35" i="6"/>
  <c r="G35" i="6"/>
  <c r="G20" i="1" s="1"/>
  <c r="G20" i="9" s="1"/>
  <c r="C55" i="6"/>
  <c r="C45" i="6"/>
  <c r="C35" i="6"/>
  <c r="C25" i="6"/>
  <c r="D34" i="6"/>
  <c r="D44" i="6"/>
  <c r="D24" i="6"/>
  <c r="D54" i="6"/>
  <c r="D39" i="1" s="1"/>
  <c r="D39" i="9" s="1"/>
  <c r="E53" i="6"/>
  <c r="E43" i="6"/>
  <c r="E33" i="6"/>
  <c r="E23" i="6"/>
  <c r="E8" i="1" s="1"/>
  <c r="E8" i="9" s="1"/>
  <c r="D52" i="6"/>
  <c r="D42" i="6"/>
  <c r="D32" i="6"/>
  <c r="D22" i="6"/>
  <c r="F50" i="6"/>
  <c r="F40" i="6"/>
  <c r="F30" i="6"/>
  <c r="F20" i="6"/>
  <c r="F7" i="7" s="1"/>
  <c r="C29" i="6"/>
  <c r="C39" i="6"/>
  <c r="C19" i="6"/>
  <c r="C49" i="6"/>
  <c r="G28" i="6"/>
  <c r="G38" i="6"/>
  <c r="G48" i="6"/>
  <c r="G18" i="6"/>
  <c r="G3" i="10" s="1"/>
  <c r="C48" i="6"/>
  <c r="C38" i="6"/>
  <c r="C28" i="6"/>
  <c r="C18" i="6"/>
  <c r="C3" i="10" s="1"/>
  <c r="F55" i="6"/>
  <c r="F45" i="6"/>
  <c r="F25" i="6"/>
  <c r="F35" i="6"/>
  <c r="C54" i="6"/>
  <c r="C44" i="6"/>
  <c r="C34" i="6"/>
  <c r="C24" i="6"/>
  <c r="P3" i="10" s="1"/>
  <c r="D53" i="6"/>
  <c r="D43" i="6"/>
  <c r="D23" i="6"/>
  <c r="D33" i="6"/>
  <c r="K52" i="6"/>
  <c r="G52" i="6"/>
  <c r="J42" i="6"/>
  <c r="I32" i="6"/>
  <c r="M32" i="6"/>
  <c r="J22" i="6"/>
  <c r="H52" i="6"/>
  <c r="L52" i="6"/>
  <c r="L39" i="7" s="1"/>
  <c r="K42" i="6"/>
  <c r="G42" i="6"/>
  <c r="J32" i="6"/>
  <c r="K22" i="6"/>
  <c r="G22" i="6"/>
  <c r="I52" i="6"/>
  <c r="M52" i="6"/>
  <c r="H42" i="6"/>
  <c r="L42" i="6"/>
  <c r="K32" i="6"/>
  <c r="G32" i="6"/>
  <c r="H22" i="6"/>
  <c r="L22" i="6"/>
  <c r="J52" i="6"/>
  <c r="I42" i="6"/>
  <c r="H32" i="6"/>
  <c r="H19" i="7" s="1"/>
  <c r="M22" i="6"/>
  <c r="L32" i="6"/>
  <c r="L17" i="1" s="1"/>
  <c r="L17" i="9" s="1"/>
  <c r="M42" i="6"/>
  <c r="I22" i="6"/>
  <c r="C52" i="6"/>
  <c r="C42" i="6"/>
  <c r="C22" i="6"/>
  <c r="C32" i="6"/>
  <c r="N13" i="10" s="1"/>
  <c r="D50" i="6"/>
  <c r="D20" i="6"/>
  <c r="D30" i="6"/>
  <c r="D40" i="6"/>
  <c r="D25" i="1" s="1"/>
  <c r="D25" i="9" s="1"/>
  <c r="F49" i="6"/>
  <c r="F39" i="6"/>
  <c r="F24" i="1" s="1"/>
  <c r="F24" i="9" s="1"/>
  <c r="F29" i="6"/>
  <c r="F19" i="6"/>
  <c r="B39" i="6"/>
  <c r="B29" i="6"/>
  <c r="B14" i="10" s="1"/>
  <c r="B49" i="6"/>
  <c r="B19" i="6"/>
  <c r="A10" i="1"/>
  <c r="A10" i="9" s="1"/>
  <c r="A10" i="10"/>
  <c r="A8" i="1"/>
  <c r="A8" i="9" s="1"/>
  <c r="A8" i="10"/>
  <c r="A6" i="1"/>
  <c r="A6" i="9" s="1"/>
  <c r="A6" i="10"/>
  <c r="A4" i="1"/>
  <c r="A4" i="9" s="1"/>
  <c r="A4" i="10"/>
  <c r="A14" i="7"/>
  <c r="A12" i="10"/>
  <c r="Z12" i="10" s="1"/>
  <c r="A21" i="7"/>
  <c r="A19" i="10"/>
  <c r="A17" i="7"/>
  <c r="A15" i="10"/>
  <c r="A30" i="1"/>
  <c r="A30" i="9" s="1"/>
  <c r="A30" i="10"/>
  <c r="A28" i="1"/>
  <c r="A28" i="9" s="1"/>
  <c r="A28" i="10"/>
  <c r="A26" i="1"/>
  <c r="A26" i="9" s="1"/>
  <c r="A26" i="10"/>
  <c r="A24" i="1"/>
  <c r="A24" i="9" s="1"/>
  <c r="A24" i="10"/>
  <c r="A32" i="1"/>
  <c r="A32" i="9" s="1"/>
  <c r="P33" i="9" s="1"/>
  <c r="A32" i="10"/>
  <c r="Z32" i="10" s="1"/>
  <c r="A39" i="1"/>
  <c r="A39" i="9" s="1"/>
  <c r="A39" i="10"/>
  <c r="A37" i="1"/>
  <c r="A37" i="9" s="1"/>
  <c r="A37" i="10"/>
  <c r="A35" i="1"/>
  <c r="A35" i="9" s="1"/>
  <c r="A35" i="10"/>
  <c r="A33" i="1"/>
  <c r="A33" i="9" s="1"/>
  <c r="A33" i="10"/>
  <c r="J2" i="1"/>
  <c r="J2" i="9" s="1"/>
  <c r="J2" i="10"/>
  <c r="H2" i="1"/>
  <c r="H2" i="9" s="1"/>
  <c r="H2" i="10"/>
  <c r="F2" i="1"/>
  <c r="F2" i="9" s="1"/>
  <c r="F2" i="10"/>
  <c r="D2" i="1"/>
  <c r="D2" i="9" s="1"/>
  <c r="D2" i="10"/>
  <c r="B2" i="1"/>
  <c r="B2" i="9" s="1"/>
  <c r="B2" i="10"/>
  <c r="J12" i="1"/>
  <c r="J12" i="9" s="1"/>
  <c r="J12" i="10"/>
  <c r="F12" i="1"/>
  <c r="F12" i="9" s="1"/>
  <c r="F12" i="10"/>
  <c r="B12" i="1"/>
  <c r="B12" i="9" s="1"/>
  <c r="B12" i="10"/>
  <c r="L22" i="1"/>
  <c r="L22" i="9" s="1"/>
  <c r="H22" i="1"/>
  <c r="H22" i="9" s="1"/>
  <c r="H22" i="10"/>
  <c r="D22" i="1"/>
  <c r="D22" i="9" s="1"/>
  <c r="D22" i="10"/>
  <c r="L32" i="1"/>
  <c r="L32" i="9" s="1"/>
  <c r="H32" i="1"/>
  <c r="H32" i="9" s="1"/>
  <c r="H32" i="10"/>
  <c r="A4" i="7"/>
  <c r="A2" i="10"/>
  <c r="Z2" i="10" s="1"/>
  <c r="A11" i="7"/>
  <c r="A9" i="10"/>
  <c r="A9" i="7"/>
  <c r="A7" i="10"/>
  <c r="A7" i="7"/>
  <c r="A5" i="10"/>
  <c r="A5" i="7"/>
  <c r="A3" i="10"/>
  <c r="A20" i="1"/>
  <c r="A20" i="9" s="1"/>
  <c r="A20" i="10"/>
  <c r="A18" i="1"/>
  <c r="A18" i="9" s="1"/>
  <c r="A18" i="10"/>
  <c r="A16" i="1"/>
  <c r="A16" i="9" s="1"/>
  <c r="A16" i="10"/>
  <c r="A14" i="1"/>
  <c r="A14" i="9" s="1"/>
  <c r="A14" i="10"/>
  <c r="A29" i="1"/>
  <c r="A29" i="9" s="1"/>
  <c r="A29" i="10"/>
  <c r="A27" i="1"/>
  <c r="A27" i="9" s="1"/>
  <c r="A27" i="10"/>
  <c r="A25" i="1"/>
  <c r="A25" i="9" s="1"/>
  <c r="A25" i="10"/>
  <c r="A23" i="1"/>
  <c r="A23" i="9" s="1"/>
  <c r="A23" i="10"/>
  <c r="A36" i="7"/>
  <c r="A34" i="10"/>
  <c r="I2" i="1"/>
  <c r="I2" i="9" s="1"/>
  <c r="I2" i="10"/>
  <c r="G2" i="1"/>
  <c r="G2" i="9" s="1"/>
  <c r="G2" i="10"/>
  <c r="E2" i="1"/>
  <c r="E2" i="9" s="1"/>
  <c r="E2" i="10"/>
  <c r="C2" i="1"/>
  <c r="C2" i="9" s="1"/>
  <c r="C2" i="10"/>
  <c r="M12" i="1"/>
  <c r="M12" i="9" s="1"/>
  <c r="K12" i="1"/>
  <c r="K12" i="9" s="1"/>
  <c r="I12" i="1"/>
  <c r="I12" i="9" s="1"/>
  <c r="I12" i="10"/>
  <c r="G12" i="1"/>
  <c r="G12" i="9" s="1"/>
  <c r="G12" i="10"/>
  <c r="E12" i="1"/>
  <c r="E12" i="9" s="1"/>
  <c r="E12" i="10"/>
  <c r="C12" i="1"/>
  <c r="C12" i="9" s="1"/>
  <c r="C12" i="10"/>
  <c r="K24" i="7"/>
  <c r="C24" i="7"/>
  <c r="C22" i="10"/>
  <c r="I34" i="7"/>
  <c r="I32" i="10"/>
  <c r="Z21" i="2"/>
  <c r="U27" i="6"/>
  <c r="Z24" i="2"/>
  <c r="U30" i="6"/>
  <c r="Z22" i="2"/>
  <c r="U28" i="6"/>
  <c r="Z19" i="2"/>
  <c r="U25" i="6"/>
  <c r="Z18" i="2"/>
  <c r="U24" i="6"/>
  <c r="Z23" i="2"/>
  <c r="U29" i="6"/>
  <c r="Z20" i="2"/>
  <c r="U26" i="6"/>
  <c r="D3" i="10"/>
  <c r="H32" i="7"/>
  <c r="I42" i="7"/>
  <c r="M40" i="1"/>
  <c r="M40" i="9" s="1"/>
  <c r="K30" i="1"/>
  <c r="K30" i="9" s="1"/>
  <c r="G30" i="1"/>
  <c r="G30" i="9" s="1"/>
  <c r="I10" i="1"/>
  <c r="I10" i="9" s="1"/>
  <c r="M12" i="7"/>
  <c r="I30" i="1"/>
  <c r="I30" i="9" s="1"/>
  <c r="M30" i="1"/>
  <c r="M30" i="9" s="1"/>
  <c r="E42" i="7"/>
  <c r="E10" i="1"/>
  <c r="E10" i="9" s="1"/>
  <c r="Q13" i="10"/>
  <c r="F41" i="7"/>
  <c r="F31" i="7"/>
  <c r="F11" i="7"/>
  <c r="D31" i="7"/>
  <c r="D11" i="7"/>
  <c r="B9" i="10"/>
  <c r="B29" i="10"/>
  <c r="B39" i="10"/>
  <c r="B19" i="10"/>
  <c r="D30" i="7"/>
  <c r="F37" i="1"/>
  <c r="F37" i="9" s="1"/>
  <c r="F27" i="1"/>
  <c r="F27" i="9" s="1"/>
  <c r="F7" i="1"/>
  <c r="F7" i="9" s="1"/>
  <c r="D39" i="7"/>
  <c r="D27" i="1"/>
  <c r="D27" i="9" s="1"/>
  <c r="B37" i="10"/>
  <c r="B17" i="10"/>
  <c r="B27" i="10"/>
  <c r="F28" i="7"/>
  <c r="F35" i="1"/>
  <c r="F35" i="9" s="1"/>
  <c r="F27" i="7"/>
  <c r="L33" i="10"/>
  <c r="L13" i="10"/>
  <c r="E36" i="7"/>
  <c r="E24" i="1"/>
  <c r="E24" i="9" s="1"/>
  <c r="E16" i="7"/>
  <c r="E6" i="7"/>
  <c r="K13" i="10"/>
  <c r="I23" i="10"/>
  <c r="I3" i="10"/>
  <c r="G23" i="10"/>
  <c r="G13" i="10"/>
  <c r="E23" i="10"/>
  <c r="E3" i="10"/>
  <c r="C13" i="10"/>
  <c r="C23" i="10"/>
  <c r="F30" i="1"/>
  <c r="F30" i="9" s="1"/>
  <c r="D32" i="7"/>
  <c r="E29" i="1"/>
  <c r="E29" i="9" s="1"/>
  <c r="P33" i="10"/>
  <c r="P13" i="10"/>
  <c r="I28" i="1"/>
  <c r="I28" i="9" s="1"/>
  <c r="G18" i="1"/>
  <c r="G18" i="9" s="1"/>
  <c r="G30" i="7"/>
  <c r="I40" i="7"/>
  <c r="J28" i="1"/>
  <c r="J28" i="9" s="1"/>
  <c r="H28" i="1"/>
  <c r="H28" i="9" s="1"/>
  <c r="M28" i="1"/>
  <c r="M28" i="9" s="1"/>
  <c r="K28" i="1"/>
  <c r="K28" i="9" s="1"/>
  <c r="I10" i="7"/>
  <c r="E40" i="7"/>
  <c r="E28" i="1"/>
  <c r="E28" i="9" s="1"/>
  <c r="O13" i="10"/>
  <c r="H37" i="1"/>
  <c r="H37" i="9" s="1"/>
  <c r="J37" i="1"/>
  <c r="J37" i="9" s="1"/>
  <c r="J29" i="7"/>
  <c r="L27" i="1"/>
  <c r="L27" i="9" s="1"/>
  <c r="J17" i="1"/>
  <c r="J17" i="9" s="1"/>
  <c r="I37" i="1"/>
  <c r="I37" i="9" s="1"/>
  <c r="M37" i="1"/>
  <c r="M37" i="9" s="1"/>
  <c r="E27" i="1"/>
  <c r="E27" i="9" s="1"/>
  <c r="N3" i="10"/>
  <c r="N33" i="10"/>
  <c r="B36" i="10"/>
  <c r="B16" i="10"/>
  <c r="B6" i="10"/>
  <c r="J37" i="7"/>
  <c r="K17" i="7"/>
  <c r="I37" i="7"/>
  <c r="H37" i="7"/>
  <c r="L37" i="7"/>
  <c r="H17" i="7"/>
  <c r="L15" i="1"/>
  <c r="L15" i="9" s="1"/>
  <c r="D7" i="7"/>
  <c r="D34" i="1"/>
  <c r="D34" i="9" s="1"/>
  <c r="B34" i="10"/>
  <c r="B24" i="10"/>
  <c r="B4" i="10"/>
  <c r="M37" i="7"/>
  <c r="J30" i="1"/>
  <c r="J30" i="9" s="1"/>
  <c r="G14" i="1"/>
  <c r="G14" i="9" s="1"/>
  <c r="M8" i="7"/>
  <c r="G16" i="1"/>
  <c r="G16" i="9" s="1"/>
  <c r="L31" i="7"/>
  <c r="K4" i="1"/>
  <c r="L19" i="1"/>
  <c r="L19" i="9" s="1"/>
  <c r="I34" i="1"/>
  <c r="I34" i="9" s="1"/>
  <c r="H31" i="7"/>
  <c r="H21" i="7"/>
  <c r="G36" i="7"/>
  <c r="I14" i="7"/>
  <c r="J29" i="1"/>
  <c r="J29" i="9" s="1"/>
  <c r="M26" i="7"/>
  <c r="A9" i="1"/>
  <c r="A9" i="9" s="1"/>
  <c r="N4" i="1"/>
  <c r="N6" i="7"/>
  <c r="N6" i="1"/>
  <c r="N8" i="7"/>
  <c r="N8" i="1"/>
  <c r="N10" i="7"/>
  <c r="N10" i="1"/>
  <c r="N12" i="7"/>
  <c r="N14" i="1"/>
  <c r="N16" i="7"/>
  <c r="N16" i="1"/>
  <c r="N18" i="7"/>
  <c r="N18" i="1"/>
  <c r="N20" i="7"/>
  <c r="N20" i="1"/>
  <c r="N22" i="7"/>
  <c r="N24" i="1"/>
  <c r="N26" i="7"/>
  <c r="N26" i="1"/>
  <c r="N28" i="7"/>
  <c r="N28" i="1"/>
  <c r="N30" i="7"/>
  <c r="N30" i="1"/>
  <c r="N32" i="7"/>
  <c r="N34" i="1"/>
  <c r="N36" i="7"/>
  <c r="N36" i="1"/>
  <c r="N38" i="7"/>
  <c r="N38" i="1"/>
  <c r="N40" i="7"/>
  <c r="N40" i="1"/>
  <c r="N42" i="7"/>
  <c r="N3" i="1"/>
  <c r="N5" i="7"/>
  <c r="N5" i="1"/>
  <c r="N7" i="7"/>
  <c r="N7" i="1"/>
  <c r="N9" i="7"/>
  <c r="N9" i="1"/>
  <c r="N11" i="7"/>
  <c r="N13" i="1"/>
  <c r="N15" i="7"/>
  <c r="N15" i="1"/>
  <c r="N17" i="7"/>
  <c r="N17" i="1"/>
  <c r="N19" i="7"/>
  <c r="N19" i="1"/>
  <c r="N21" i="7"/>
  <c r="N23" i="1"/>
  <c r="N25" i="7"/>
  <c r="N25" i="1"/>
  <c r="N27" i="7"/>
  <c r="N27" i="1"/>
  <c r="N29" i="7"/>
  <c r="N29" i="1"/>
  <c r="N31" i="7"/>
  <c r="N33" i="1"/>
  <c r="N35" i="7"/>
  <c r="N35" i="1"/>
  <c r="N37" i="7"/>
  <c r="N37" i="1"/>
  <c r="N39" i="7"/>
  <c r="N39" i="1"/>
  <c r="N41" i="7"/>
  <c r="D24" i="7"/>
  <c r="M18" i="7"/>
  <c r="K38" i="7"/>
  <c r="I18" i="7"/>
  <c r="G26" i="1"/>
  <c r="G26" i="9" s="1"/>
  <c r="M16" i="7"/>
  <c r="K36" i="7"/>
  <c r="I16" i="7"/>
  <c r="J25" i="7"/>
  <c r="I8" i="7"/>
  <c r="E28" i="7"/>
  <c r="K26" i="1"/>
  <c r="K26" i="9" s="1"/>
  <c r="I24" i="1"/>
  <c r="I24" i="9" s="1"/>
  <c r="I36" i="1"/>
  <c r="I36" i="9" s="1"/>
  <c r="A18" i="7"/>
  <c r="L24" i="7"/>
  <c r="H34" i="7"/>
  <c r="K22" i="1"/>
  <c r="K22" i="9" s="1"/>
  <c r="L14" i="7"/>
  <c r="L12" i="1"/>
  <c r="L12" i="9" s="1"/>
  <c r="H14" i="7"/>
  <c r="H12" i="1"/>
  <c r="H12" i="9" s="1"/>
  <c r="D14" i="7"/>
  <c r="D12" i="1"/>
  <c r="D12" i="9" s="1"/>
  <c r="J22" i="1"/>
  <c r="J22" i="9" s="1"/>
  <c r="J24" i="7"/>
  <c r="F22" i="1"/>
  <c r="F22" i="9" s="1"/>
  <c r="F24" i="7"/>
  <c r="B22" i="1"/>
  <c r="B22" i="9" s="1"/>
  <c r="B24" i="7"/>
  <c r="J32" i="1"/>
  <c r="J32" i="9" s="1"/>
  <c r="J34" i="7"/>
  <c r="F32" i="1"/>
  <c r="F32" i="9" s="1"/>
  <c r="F34" i="7"/>
  <c r="D32" i="1"/>
  <c r="D32" i="9" s="1"/>
  <c r="D34" i="7"/>
  <c r="B32" i="1"/>
  <c r="B32" i="9" s="1"/>
  <c r="B34" i="7"/>
  <c r="H24" i="7"/>
  <c r="L34" i="7"/>
  <c r="M6" i="7"/>
  <c r="M26" i="1"/>
  <c r="M26" i="9" s="1"/>
  <c r="A22" i="7"/>
  <c r="M14" i="7"/>
  <c r="E14" i="7"/>
  <c r="A5" i="1"/>
  <c r="A5" i="9" s="1"/>
  <c r="A34" i="1"/>
  <c r="A34" i="9" s="1"/>
  <c r="J32" i="7"/>
  <c r="M39" i="1"/>
  <c r="M39" i="9" s="1"/>
  <c r="M41" i="7"/>
  <c r="K39" i="1"/>
  <c r="K39" i="9" s="1"/>
  <c r="K41" i="7"/>
  <c r="I39" i="1"/>
  <c r="I39" i="9" s="1"/>
  <c r="I41" i="7"/>
  <c r="G39" i="1"/>
  <c r="G39" i="9" s="1"/>
  <c r="G41" i="7"/>
  <c r="F28" i="1"/>
  <c r="F28" i="9" s="1"/>
  <c r="F30" i="7"/>
  <c r="D26" i="1"/>
  <c r="D26" i="9" s="1"/>
  <c r="D28" i="7"/>
  <c r="E25" i="1"/>
  <c r="E25" i="9" s="1"/>
  <c r="E27" i="7"/>
  <c r="C28" i="7"/>
  <c r="A17" i="1"/>
  <c r="A17" i="9" s="1"/>
  <c r="A19" i="7"/>
  <c r="A13" i="1"/>
  <c r="A13" i="9" s="1"/>
  <c r="A15" i="7"/>
  <c r="L36" i="1"/>
  <c r="L36" i="9" s="1"/>
  <c r="L38" i="7"/>
  <c r="J36" i="1"/>
  <c r="J36" i="9" s="1"/>
  <c r="J38" i="7"/>
  <c r="H36" i="1"/>
  <c r="H36" i="9" s="1"/>
  <c r="H38" i="7"/>
  <c r="L34" i="1"/>
  <c r="L34" i="9" s="1"/>
  <c r="L36" i="7"/>
  <c r="J34" i="1"/>
  <c r="J34" i="9" s="1"/>
  <c r="J36" i="7"/>
  <c r="H34" i="1"/>
  <c r="H34" i="9" s="1"/>
  <c r="H36" i="7"/>
  <c r="E6" i="1"/>
  <c r="E6" i="9" s="1"/>
  <c r="E8" i="7"/>
  <c r="K6" i="1"/>
  <c r="K6" i="9" s="1"/>
  <c r="K8" i="7"/>
  <c r="I4" i="1"/>
  <c r="I4" i="9" s="1"/>
  <c r="I6" i="7"/>
  <c r="J35" i="7"/>
  <c r="L39" i="1"/>
  <c r="L39" i="9" s="1"/>
  <c r="L41" i="7"/>
  <c r="J39" i="1"/>
  <c r="J39" i="9" s="1"/>
  <c r="J41" i="7"/>
  <c r="H39" i="1"/>
  <c r="H39" i="9" s="1"/>
  <c r="H41" i="7"/>
  <c r="A10" i="7"/>
  <c r="A6" i="7"/>
  <c r="J15" i="7"/>
  <c r="J21" i="7"/>
  <c r="K26" i="7"/>
  <c r="A34" i="7"/>
  <c r="A39" i="7"/>
  <c r="A35" i="7"/>
  <c r="M38" i="7"/>
  <c r="M36" i="7"/>
  <c r="A19" i="1"/>
  <c r="A19" i="9" s="1"/>
  <c r="A22" i="1"/>
  <c r="A22" i="9" s="1"/>
  <c r="P23" i="9" s="1"/>
  <c r="A24" i="7"/>
  <c r="A40" i="1"/>
  <c r="A40" i="9" s="1"/>
  <c r="A42" i="7"/>
  <c r="A38" i="1"/>
  <c r="A38" i="9" s="1"/>
  <c r="A40" i="7"/>
  <c r="A36" i="1"/>
  <c r="A36" i="9" s="1"/>
  <c r="A38" i="7"/>
  <c r="A12" i="7"/>
  <c r="A8" i="7"/>
  <c r="M22" i="1"/>
  <c r="M22" i="9" s="1"/>
  <c r="M24" i="7"/>
  <c r="I22" i="1"/>
  <c r="I22" i="9" s="1"/>
  <c r="I24" i="7"/>
  <c r="G22" i="1"/>
  <c r="G22" i="9" s="1"/>
  <c r="G24" i="7"/>
  <c r="E22" i="1"/>
  <c r="E22" i="9" s="1"/>
  <c r="E24" i="7"/>
  <c r="M32" i="1"/>
  <c r="M32" i="9" s="1"/>
  <c r="M34" i="7"/>
  <c r="K32" i="1"/>
  <c r="K32" i="9" s="1"/>
  <c r="K34" i="7"/>
  <c r="G32" i="1"/>
  <c r="G32" i="9" s="1"/>
  <c r="G34" i="7"/>
  <c r="E32" i="1"/>
  <c r="E32" i="9" s="1"/>
  <c r="E34" i="7"/>
  <c r="C32" i="1"/>
  <c r="C32" i="9" s="1"/>
  <c r="C34" i="7"/>
  <c r="A20" i="7"/>
  <c r="A16" i="7"/>
  <c r="K14" i="7"/>
  <c r="G14" i="7"/>
  <c r="C14" i="7"/>
  <c r="A25" i="7"/>
  <c r="I28" i="7"/>
  <c r="A41" i="7"/>
  <c r="A37" i="7"/>
  <c r="A2" i="1"/>
  <c r="A2" i="9" s="1"/>
  <c r="P3" i="9" s="1"/>
  <c r="A7" i="1"/>
  <c r="A7" i="9" s="1"/>
  <c r="A3" i="1"/>
  <c r="A3" i="9" s="1"/>
  <c r="A12" i="1"/>
  <c r="A12" i="9" s="1"/>
  <c r="P13" i="9" s="1"/>
  <c r="A15" i="1"/>
  <c r="A15" i="9" s="1"/>
  <c r="C22" i="1"/>
  <c r="C22" i="9" s="1"/>
  <c r="G36" i="1"/>
  <c r="G36" i="9" s="1"/>
  <c r="I32" i="1"/>
  <c r="I32" i="9" s="1"/>
  <c r="J14" i="7"/>
  <c r="F14" i="7"/>
  <c r="B14" i="7"/>
  <c r="U3" i="10" l="1"/>
  <c r="T3" i="10"/>
  <c r="S3" i="10"/>
  <c r="B26" i="10"/>
  <c r="S23" i="10" s="1"/>
  <c r="N23" i="10"/>
  <c r="O3" i="10"/>
  <c r="O23" i="10"/>
  <c r="P23" i="10"/>
  <c r="C35" i="7"/>
  <c r="C33" i="10"/>
  <c r="K3" i="10"/>
  <c r="C26" i="7"/>
  <c r="K23" i="10"/>
  <c r="C27" i="7"/>
  <c r="L23" i="10"/>
  <c r="Q3" i="10"/>
  <c r="C32" i="7"/>
  <c r="Q23" i="10"/>
  <c r="D23" i="10"/>
  <c r="D33" i="10"/>
  <c r="F13" i="10"/>
  <c r="F23" i="10"/>
  <c r="H23" i="10"/>
  <c r="H33" i="10"/>
  <c r="S13" i="10"/>
  <c r="T13" i="10"/>
  <c r="U13" i="10"/>
  <c r="S33" i="10"/>
  <c r="U33" i="10"/>
  <c r="T33" i="10"/>
  <c r="O33" i="10"/>
  <c r="E35" i="7"/>
  <c r="E33" i="10"/>
  <c r="G33" i="10"/>
  <c r="I33" i="10"/>
  <c r="K33" i="10"/>
  <c r="Q33" i="10"/>
  <c r="D13" i="10"/>
  <c r="F35" i="7"/>
  <c r="F33" i="10"/>
  <c r="H15" i="7"/>
  <c r="H13" i="10"/>
  <c r="K4" i="9"/>
  <c r="T39" i="9"/>
  <c r="S39" i="9"/>
  <c r="U39" i="9"/>
  <c r="V39" i="9"/>
  <c r="S36" i="9"/>
  <c r="T36" i="9"/>
  <c r="L35" i="1"/>
  <c r="L35" i="9" s="1"/>
  <c r="D5" i="1"/>
  <c r="D5" i="9" s="1"/>
  <c r="I8" i="1"/>
  <c r="I8" i="9" s="1"/>
  <c r="I35" i="7"/>
  <c r="G37" i="7"/>
  <c r="V15" i="6"/>
  <c r="W15" i="6" s="1"/>
  <c r="V25" i="6"/>
  <c r="AE19" i="2" s="1"/>
  <c r="AF19" i="2" s="1"/>
  <c r="K38" i="1"/>
  <c r="K38" i="9" s="1"/>
  <c r="V28" i="6"/>
  <c r="W28" i="6" s="1"/>
  <c r="G40" i="7"/>
  <c r="V18" i="6"/>
  <c r="AB22" i="2" s="1"/>
  <c r="AC22" i="2" s="1"/>
  <c r="G42" i="7"/>
  <c r="V20" i="6"/>
  <c r="W20" i="6" s="1"/>
  <c r="G39" i="7"/>
  <c r="V17" i="6"/>
  <c r="W17" i="6" s="1"/>
  <c r="K39" i="7"/>
  <c r="V27" i="6"/>
  <c r="E26" i="7"/>
  <c r="J17" i="7"/>
  <c r="M32" i="7"/>
  <c r="C36" i="7"/>
  <c r="D41" i="7"/>
  <c r="K15" i="1"/>
  <c r="K15" i="9" s="1"/>
  <c r="G35" i="7"/>
  <c r="D36" i="7"/>
  <c r="H30" i="7"/>
  <c r="K37" i="1"/>
  <c r="K37" i="9" s="1"/>
  <c r="V7" i="6"/>
  <c r="AB11" i="2" s="1"/>
  <c r="AC11" i="2" s="1"/>
  <c r="F26" i="1"/>
  <c r="F26" i="9" s="1"/>
  <c r="F29" i="7"/>
  <c r="E12" i="7"/>
  <c r="E29" i="7"/>
  <c r="F32" i="7"/>
  <c r="J39" i="7"/>
  <c r="V9" i="6"/>
  <c r="W9" i="6" s="1"/>
  <c r="D7" i="1"/>
  <c r="D7" i="9" s="1"/>
  <c r="E30" i="7"/>
  <c r="D35" i="7"/>
  <c r="H35" i="7"/>
  <c r="F9" i="7"/>
  <c r="C29" i="7"/>
  <c r="D28" i="1"/>
  <c r="D28" i="9" s="1"/>
  <c r="E31" i="7"/>
  <c r="H30" i="1"/>
  <c r="H30" i="9" s="1"/>
  <c r="T30" i="9" s="1"/>
  <c r="L30" i="1"/>
  <c r="D9" i="7"/>
  <c r="D9" i="1"/>
  <c r="D9" i="9" s="1"/>
  <c r="C12" i="7"/>
  <c r="F26" i="7"/>
  <c r="I35" i="1"/>
  <c r="I35" i="9" s="1"/>
  <c r="I39" i="7"/>
  <c r="L28" i="1"/>
  <c r="L28" i="9" s="1"/>
  <c r="U28" i="9" s="1"/>
  <c r="G37" i="1"/>
  <c r="G37" i="9" s="1"/>
  <c r="C40" i="7"/>
  <c r="G20" i="7"/>
  <c r="J30" i="7"/>
  <c r="C31" i="7"/>
  <c r="D30" i="1"/>
  <c r="D30" i="9" s="1"/>
  <c r="F25" i="1"/>
  <c r="F25" i="9" s="1"/>
  <c r="F29" i="1"/>
  <c r="F29" i="9" s="1"/>
  <c r="G35" i="1"/>
  <c r="G35" i="9" s="1"/>
  <c r="M39" i="7"/>
  <c r="V5" i="6"/>
  <c r="W5" i="6" s="1"/>
  <c r="H35" i="1"/>
  <c r="H35" i="9" s="1"/>
  <c r="K30" i="7"/>
  <c r="L19" i="7"/>
  <c r="V6" i="6"/>
  <c r="W6" i="6" s="1"/>
  <c r="V10" i="6"/>
  <c r="W10" i="6" s="1"/>
  <c r="M10" i="7"/>
  <c r="M35" i="1"/>
  <c r="M35" i="9" s="1"/>
  <c r="W27" i="6"/>
  <c r="R6" i="6"/>
  <c r="R3" i="6"/>
  <c r="S3" i="6" s="1"/>
  <c r="G40" i="1"/>
  <c r="G40" i="9" s="1"/>
  <c r="I32" i="7"/>
  <c r="V8" i="6"/>
  <c r="W8" i="6" s="1"/>
  <c r="H17" i="1"/>
  <c r="H17" i="9" s="1"/>
  <c r="J19" i="7"/>
  <c r="V4" i="6"/>
  <c r="W4" i="6" s="1"/>
  <c r="K10" i="1"/>
  <c r="K10" i="9" s="1"/>
  <c r="W30" i="6"/>
  <c r="G16" i="7"/>
  <c r="M16" i="1"/>
  <c r="M16" i="9" s="1"/>
  <c r="P41" i="7"/>
  <c r="Q41" i="7"/>
  <c r="P36" i="7"/>
  <c r="Q36" i="7"/>
  <c r="P38" i="7"/>
  <c r="Q38" i="7"/>
  <c r="G18" i="7"/>
  <c r="L37" i="1"/>
  <c r="L37" i="9" s="1"/>
  <c r="E10" i="7"/>
  <c r="M10" i="1"/>
  <c r="M10" i="9" s="1"/>
  <c r="H29" i="1"/>
  <c r="H29" i="9" s="1"/>
  <c r="C42" i="7"/>
  <c r="I30" i="7"/>
  <c r="M6" i="1"/>
  <c r="M6" i="9" s="1"/>
  <c r="L21" i="7"/>
  <c r="D15" i="7"/>
  <c r="E14" i="1"/>
  <c r="E14" i="9" s="1"/>
  <c r="E34" i="1"/>
  <c r="E34" i="9" s="1"/>
  <c r="J27" i="1"/>
  <c r="J27" i="9" s="1"/>
  <c r="L29" i="1"/>
  <c r="L29" i="9" s="1"/>
  <c r="E32" i="7"/>
  <c r="J35" i="1"/>
  <c r="J35" i="9" s="1"/>
  <c r="H39" i="7"/>
  <c r="E26" i="1"/>
  <c r="E26" i="9" s="1"/>
  <c r="H19" i="1"/>
  <c r="H19" i="9" s="1"/>
  <c r="F15" i="7"/>
  <c r="C8" i="7"/>
  <c r="I12" i="7"/>
  <c r="D25" i="7"/>
  <c r="M14" i="1"/>
  <c r="M14" i="9" s="1"/>
  <c r="D37" i="1"/>
  <c r="D37" i="9" s="1"/>
  <c r="I38" i="1"/>
  <c r="I38" i="9" s="1"/>
  <c r="J31" i="7"/>
  <c r="E40" i="1"/>
  <c r="E40" i="9" s="1"/>
  <c r="I36" i="7"/>
  <c r="K6" i="7"/>
  <c r="F9" i="1"/>
  <c r="F9" i="9" s="1"/>
  <c r="C38" i="7"/>
  <c r="D27" i="7"/>
  <c r="G34" i="1"/>
  <c r="G34" i="9" s="1"/>
  <c r="I38" i="7"/>
  <c r="K28" i="7"/>
  <c r="K32" i="7"/>
  <c r="I6" i="1"/>
  <c r="I6" i="9" s="1"/>
  <c r="H25" i="7"/>
  <c r="I14" i="1"/>
  <c r="I14" i="9" s="1"/>
  <c r="I16" i="1"/>
  <c r="I16" i="9" s="1"/>
  <c r="E38" i="1"/>
  <c r="E38" i="9" s="1"/>
  <c r="M38" i="1"/>
  <c r="M38" i="9" s="1"/>
  <c r="D29" i="1"/>
  <c r="D29" i="9" s="1"/>
  <c r="F5" i="1"/>
  <c r="F5" i="9" s="1"/>
  <c r="L29" i="7"/>
  <c r="G32" i="7"/>
  <c r="H15" i="1"/>
  <c r="H15" i="9" s="1"/>
  <c r="G28" i="7"/>
  <c r="K36" i="1"/>
  <c r="F39" i="7"/>
  <c r="L17" i="7"/>
  <c r="M24" i="1"/>
  <c r="M24" i="9" s="1"/>
  <c r="D29" i="7"/>
  <c r="C6" i="7"/>
  <c r="K10" i="7"/>
  <c r="E4" i="1"/>
  <c r="E4" i="9" s="1"/>
  <c r="F25" i="7"/>
  <c r="K34" i="1"/>
  <c r="F37" i="7"/>
  <c r="C30" i="7"/>
  <c r="G28" i="1"/>
  <c r="G28" i="9" s="1"/>
  <c r="K40" i="7"/>
  <c r="F39" i="1"/>
  <c r="F39" i="9" s="1"/>
  <c r="M42" i="7"/>
  <c r="W19" i="6"/>
  <c r="AB23" i="2"/>
  <c r="AC23" i="2" s="1"/>
  <c r="W26" i="6"/>
  <c r="AE20" i="2"/>
  <c r="AF20" i="2" s="1"/>
  <c r="W14" i="6"/>
  <c r="AB18" i="2"/>
  <c r="AC18" i="2" s="1"/>
  <c r="W24" i="6"/>
  <c r="AE18" i="2"/>
  <c r="AF18" i="2" s="1"/>
  <c r="W29" i="6"/>
  <c r="AE23" i="2"/>
  <c r="AF23" i="2" s="1"/>
  <c r="W16" i="6"/>
  <c r="AB20" i="2"/>
  <c r="AC20" i="2" s="1"/>
  <c r="I26" i="7"/>
  <c r="M28" i="7"/>
  <c r="M30" i="7"/>
  <c r="G22" i="7"/>
  <c r="G38" i="1"/>
  <c r="G38" i="9" s="1"/>
  <c r="I40" i="1"/>
  <c r="I40" i="9" s="1"/>
  <c r="M4" i="1"/>
  <c r="M4" i="9" s="1"/>
  <c r="C10" i="7"/>
  <c r="Q39" i="1"/>
  <c r="AA39" i="1" s="1"/>
  <c r="K40" i="1"/>
  <c r="K40" i="9" s="1"/>
  <c r="K42" i="7"/>
  <c r="E36" i="1"/>
  <c r="E36" i="9" s="1"/>
  <c r="E38" i="7"/>
  <c r="J24" i="1"/>
  <c r="J24" i="9" s="1"/>
  <c r="J26" i="7"/>
  <c r="H25" i="1"/>
  <c r="H25" i="9" s="1"/>
  <c r="H27" i="7"/>
  <c r="L25" i="1"/>
  <c r="L25" i="9" s="1"/>
  <c r="L27" i="7"/>
  <c r="J26" i="1"/>
  <c r="J26" i="9" s="1"/>
  <c r="J28" i="7"/>
  <c r="H29" i="7"/>
  <c r="H27" i="1"/>
  <c r="H27" i="9" s="1"/>
  <c r="K14" i="1"/>
  <c r="K14" i="9" s="1"/>
  <c r="K16" i="7"/>
  <c r="M15" i="1"/>
  <c r="M15" i="9" s="1"/>
  <c r="M17" i="7"/>
  <c r="I17" i="1"/>
  <c r="I17" i="9" s="1"/>
  <c r="I19" i="7"/>
  <c r="M17" i="1"/>
  <c r="M17" i="9" s="1"/>
  <c r="M19" i="7"/>
  <c r="K18" i="1"/>
  <c r="K18" i="9" s="1"/>
  <c r="K20" i="7"/>
  <c r="I19" i="1"/>
  <c r="I19" i="9" s="1"/>
  <c r="I21" i="7"/>
  <c r="M19" i="1"/>
  <c r="M19" i="9" s="1"/>
  <c r="M21" i="7"/>
  <c r="K20" i="1"/>
  <c r="K20" i="9" s="1"/>
  <c r="K22" i="7"/>
  <c r="G19" i="1"/>
  <c r="G19" i="9" s="1"/>
  <c r="G21" i="7"/>
  <c r="G15" i="1"/>
  <c r="G15" i="9" s="1"/>
  <c r="G17" i="7"/>
  <c r="F15" i="1"/>
  <c r="F15" i="9" s="1"/>
  <c r="F17" i="7"/>
  <c r="D19" i="7"/>
  <c r="D17" i="1"/>
  <c r="D17" i="9" s="1"/>
  <c r="E18" i="1"/>
  <c r="E18" i="9" s="1"/>
  <c r="E20" i="7"/>
  <c r="F19" i="1"/>
  <c r="F19" i="9" s="1"/>
  <c r="F21" i="7"/>
  <c r="F14" i="1"/>
  <c r="F14" i="9" s="1"/>
  <c r="F16" i="7"/>
  <c r="E15" i="7"/>
  <c r="I15" i="7"/>
  <c r="C18" i="7"/>
  <c r="C22" i="7"/>
  <c r="J4" i="1"/>
  <c r="J4" i="9" s="1"/>
  <c r="J6" i="7"/>
  <c r="H5" i="1"/>
  <c r="H5" i="9" s="1"/>
  <c r="H7" i="7"/>
  <c r="L5" i="1"/>
  <c r="L5" i="9" s="1"/>
  <c r="L7" i="7"/>
  <c r="J6" i="1"/>
  <c r="J6" i="9" s="1"/>
  <c r="J8" i="7"/>
  <c r="H7" i="1"/>
  <c r="H7" i="9" s="1"/>
  <c r="H9" i="7"/>
  <c r="L7" i="1"/>
  <c r="L7" i="9" s="1"/>
  <c r="L9" i="7"/>
  <c r="J8" i="1"/>
  <c r="J8" i="9" s="1"/>
  <c r="J10" i="7"/>
  <c r="H9" i="1"/>
  <c r="H9" i="9" s="1"/>
  <c r="H11" i="7"/>
  <c r="L9" i="1"/>
  <c r="L9" i="9" s="1"/>
  <c r="L11" i="7"/>
  <c r="J10" i="1"/>
  <c r="J10" i="9" s="1"/>
  <c r="J12" i="7"/>
  <c r="G10" i="1"/>
  <c r="G10" i="9" s="1"/>
  <c r="G12" i="7"/>
  <c r="G6" i="1"/>
  <c r="G6" i="9" s="1"/>
  <c r="G8" i="7"/>
  <c r="E5" i="1"/>
  <c r="E5" i="9" s="1"/>
  <c r="E7" i="7"/>
  <c r="F6" i="1"/>
  <c r="F6" i="9" s="1"/>
  <c r="F8" i="7"/>
  <c r="D8" i="1"/>
  <c r="D8" i="9" s="1"/>
  <c r="D10" i="7"/>
  <c r="E9" i="1"/>
  <c r="E9" i="9" s="1"/>
  <c r="E11" i="7"/>
  <c r="F10" i="1"/>
  <c r="F10" i="9" s="1"/>
  <c r="F12" i="7"/>
  <c r="D5" i="7"/>
  <c r="H5" i="7"/>
  <c r="C7" i="7"/>
  <c r="C11" i="7"/>
  <c r="K35" i="1"/>
  <c r="K35" i="9" s="1"/>
  <c r="K37" i="7"/>
  <c r="J38" i="1"/>
  <c r="J38" i="9" s="1"/>
  <c r="J40" i="7"/>
  <c r="H40" i="1"/>
  <c r="H40" i="9" s="1"/>
  <c r="H42" i="7"/>
  <c r="L40" i="1"/>
  <c r="L40" i="9" s="1"/>
  <c r="L42" i="7"/>
  <c r="D36" i="1"/>
  <c r="D36" i="9" s="1"/>
  <c r="D38" i="7"/>
  <c r="E37" i="1"/>
  <c r="E37" i="9" s="1"/>
  <c r="E39" i="7"/>
  <c r="F38" i="1"/>
  <c r="F38" i="9" s="1"/>
  <c r="F40" i="7"/>
  <c r="D40" i="1"/>
  <c r="D40" i="9" s="1"/>
  <c r="D42" i="7"/>
  <c r="F34" i="1"/>
  <c r="F34" i="9" s="1"/>
  <c r="F36" i="7"/>
  <c r="C39" i="7"/>
  <c r="I25" i="1"/>
  <c r="I25" i="9" s="1"/>
  <c r="I27" i="7"/>
  <c r="M25" i="1"/>
  <c r="M25" i="9" s="1"/>
  <c r="M27" i="7"/>
  <c r="K27" i="1"/>
  <c r="K27" i="9" s="1"/>
  <c r="K29" i="7"/>
  <c r="I29" i="1"/>
  <c r="I29" i="9" s="1"/>
  <c r="I31" i="7"/>
  <c r="M29" i="1"/>
  <c r="M29" i="9" s="1"/>
  <c r="M31" i="7"/>
  <c r="G27" i="1"/>
  <c r="G27" i="9" s="1"/>
  <c r="G29" i="7"/>
  <c r="D24" i="1"/>
  <c r="D24" i="9" s="1"/>
  <c r="D26" i="7"/>
  <c r="G25" i="7"/>
  <c r="C25" i="7"/>
  <c r="J14" i="1"/>
  <c r="J14" i="9" s="1"/>
  <c r="J16" i="7"/>
  <c r="H16" i="1"/>
  <c r="H16" i="9" s="1"/>
  <c r="H18" i="7"/>
  <c r="L16" i="1"/>
  <c r="L16" i="9" s="1"/>
  <c r="L18" i="7"/>
  <c r="J18" i="1"/>
  <c r="J18" i="9" s="1"/>
  <c r="J20" i="7"/>
  <c r="H20" i="1"/>
  <c r="H20" i="9" s="1"/>
  <c r="H22" i="7"/>
  <c r="L20" i="1"/>
  <c r="L20" i="9" s="1"/>
  <c r="L22" i="7"/>
  <c r="D16" i="1"/>
  <c r="D16" i="9" s="1"/>
  <c r="D18" i="7"/>
  <c r="E17" i="1"/>
  <c r="E17" i="9" s="1"/>
  <c r="E19" i="7"/>
  <c r="F18" i="1"/>
  <c r="F18" i="9" s="1"/>
  <c r="F20" i="7"/>
  <c r="D20" i="1"/>
  <c r="D20" i="9" s="1"/>
  <c r="D22" i="7"/>
  <c r="C17" i="7"/>
  <c r="C21" i="7"/>
  <c r="I5" i="1"/>
  <c r="I5" i="9" s="1"/>
  <c r="I7" i="7"/>
  <c r="M5" i="1"/>
  <c r="M5" i="9" s="1"/>
  <c r="M7" i="7"/>
  <c r="K7" i="1"/>
  <c r="K7" i="9" s="1"/>
  <c r="K9" i="7"/>
  <c r="I9" i="1"/>
  <c r="I9" i="9" s="1"/>
  <c r="I11" i="7"/>
  <c r="M9" i="1"/>
  <c r="M9" i="9" s="1"/>
  <c r="M11" i="7"/>
  <c r="G7" i="1"/>
  <c r="G7" i="9" s="1"/>
  <c r="G9" i="7"/>
  <c r="D6" i="7"/>
  <c r="D4" i="1"/>
  <c r="D4" i="9" s="1"/>
  <c r="G5" i="7"/>
  <c r="D35" i="1"/>
  <c r="D35" i="9" s="1"/>
  <c r="D37" i="7"/>
  <c r="H24" i="1"/>
  <c r="H24" i="9" s="1"/>
  <c r="H26" i="7"/>
  <c r="L24" i="1"/>
  <c r="L24" i="9" s="1"/>
  <c r="L26" i="7"/>
  <c r="J25" i="1"/>
  <c r="J25" i="9" s="1"/>
  <c r="J27" i="7"/>
  <c r="H26" i="1"/>
  <c r="H26" i="9" s="1"/>
  <c r="H28" i="7"/>
  <c r="L28" i="7"/>
  <c r="L26" i="1"/>
  <c r="G24" i="1"/>
  <c r="G24" i="9" s="1"/>
  <c r="G26" i="7"/>
  <c r="I15" i="1"/>
  <c r="I15" i="9" s="1"/>
  <c r="I17" i="7"/>
  <c r="K16" i="1"/>
  <c r="K16" i="9" s="1"/>
  <c r="K18" i="7"/>
  <c r="K17" i="1"/>
  <c r="K17" i="9" s="1"/>
  <c r="K19" i="7"/>
  <c r="I18" i="1"/>
  <c r="I18" i="9" s="1"/>
  <c r="I20" i="7"/>
  <c r="M18" i="1"/>
  <c r="M18" i="9" s="1"/>
  <c r="M20" i="7"/>
  <c r="K19" i="1"/>
  <c r="K19" i="9" s="1"/>
  <c r="K21" i="7"/>
  <c r="I20" i="1"/>
  <c r="I20" i="9" s="1"/>
  <c r="I22" i="7"/>
  <c r="M20" i="1"/>
  <c r="M20" i="9" s="1"/>
  <c r="M22" i="7"/>
  <c r="G17" i="1"/>
  <c r="G17" i="9" s="1"/>
  <c r="G19" i="7"/>
  <c r="D17" i="7"/>
  <c r="D15" i="1"/>
  <c r="D15" i="9" s="1"/>
  <c r="E16" i="1"/>
  <c r="E16" i="9" s="1"/>
  <c r="E18" i="7"/>
  <c r="F17" i="1"/>
  <c r="F17" i="9" s="1"/>
  <c r="F19" i="7"/>
  <c r="D21" i="7"/>
  <c r="D19" i="1"/>
  <c r="D19" i="9" s="1"/>
  <c r="E20" i="1"/>
  <c r="E20" i="9" s="1"/>
  <c r="E22" i="7"/>
  <c r="D16" i="7"/>
  <c r="D14" i="1"/>
  <c r="D14" i="9" s="1"/>
  <c r="G15" i="7"/>
  <c r="C16" i="7"/>
  <c r="C20" i="7"/>
  <c r="H6" i="7"/>
  <c r="H4" i="1"/>
  <c r="H4" i="9" s="1"/>
  <c r="L4" i="1"/>
  <c r="L4" i="9" s="1"/>
  <c r="L6" i="7"/>
  <c r="J5" i="1"/>
  <c r="J5" i="9" s="1"/>
  <c r="J7" i="7"/>
  <c r="H8" i="7"/>
  <c r="H6" i="1"/>
  <c r="H6" i="9" s="1"/>
  <c r="L6" i="1"/>
  <c r="L6" i="9" s="1"/>
  <c r="L8" i="7"/>
  <c r="J7" i="1"/>
  <c r="J7" i="9" s="1"/>
  <c r="J9" i="7"/>
  <c r="H10" i="7"/>
  <c r="H8" i="1"/>
  <c r="H8" i="9" s="1"/>
  <c r="L8" i="1"/>
  <c r="L10" i="7"/>
  <c r="J9" i="1"/>
  <c r="J9" i="9" s="1"/>
  <c r="J11" i="7"/>
  <c r="H12" i="7"/>
  <c r="H10" i="1"/>
  <c r="H10" i="9" s="1"/>
  <c r="L12" i="7"/>
  <c r="L10" i="1"/>
  <c r="L10" i="9" s="1"/>
  <c r="G8" i="1"/>
  <c r="G8" i="9" s="1"/>
  <c r="G10" i="7"/>
  <c r="G4" i="1"/>
  <c r="G4" i="9" s="1"/>
  <c r="G6" i="7"/>
  <c r="D6" i="1"/>
  <c r="D6" i="9" s="1"/>
  <c r="D8" i="7"/>
  <c r="E7" i="1"/>
  <c r="E7" i="9" s="1"/>
  <c r="E9" i="7"/>
  <c r="F8" i="1"/>
  <c r="F8" i="9" s="1"/>
  <c r="F10" i="7"/>
  <c r="D12" i="7"/>
  <c r="D10" i="1"/>
  <c r="D10" i="9" s="1"/>
  <c r="F4" i="1"/>
  <c r="F4" i="9" s="1"/>
  <c r="F6" i="7"/>
  <c r="F5" i="7"/>
  <c r="J5" i="7"/>
  <c r="C9" i="7"/>
  <c r="C5" i="7"/>
  <c r="H38" i="1"/>
  <c r="H38" i="9" s="1"/>
  <c r="H40" i="7"/>
  <c r="L38" i="1"/>
  <c r="L38" i="9" s="1"/>
  <c r="L40" i="7"/>
  <c r="J40" i="1"/>
  <c r="J40" i="9" s="1"/>
  <c r="J42" i="7"/>
  <c r="E35" i="1"/>
  <c r="E35" i="9" s="1"/>
  <c r="E37" i="7"/>
  <c r="F36" i="1"/>
  <c r="F36" i="9" s="1"/>
  <c r="F38" i="7"/>
  <c r="D38" i="1"/>
  <c r="D38" i="9" s="1"/>
  <c r="D40" i="7"/>
  <c r="E39" i="1"/>
  <c r="E39" i="9" s="1"/>
  <c r="E41" i="7"/>
  <c r="F40" i="1"/>
  <c r="F40" i="9" s="1"/>
  <c r="F42" i="7"/>
  <c r="C37" i="7"/>
  <c r="C41" i="7"/>
  <c r="K25" i="1"/>
  <c r="K25" i="9" s="1"/>
  <c r="K27" i="7"/>
  <c r="I27" i="1"/>
  <c r="I27" i="9" s="1"/>
  <c r="I29" i="7"/>
  <c r="M27" i="1"/>
  <c r="M27" i="9" s="1"/>
  <c r="M29" i="7"/>
  <c r="K29" i="1"/>
  <c r="K29" i="9" s="1"/>
  <c r="K31" i="7"/>
  <c r="G29" i="1"/>
  <c r="G29" i="9" s="1"/>
  <c r="G31" i="7"/>
  <c r="G25" i="1"/>
  <c r="G25" i="9" s="1"/>
  <c r="G27" i="7"/>
  <c r="E25" i="7"/>
  <c r="I25" i="7"/>
  <c r="H14" i="1"/>
  <c r="H14" i="9" s="1"/>
  <c r="H16" i="7"/>
  <c r="L14" i="1"/>
  <c r="L14" i="9" s="1"/>
  <c r="L16" i="7"/>
  <c r="J16" i="1"/>
  <c r="J16" i="9" s="1"/>
  <c r="J18" i="7"/>
  <c r="H18" i="1"/>
  <c r="H18" i="9" s="1"/>
  <c r="H20" i="7"/>
  <c r="L18" i="1"/>
  <c r="L18" i="9" s="1"/>
  <c r="L20" i="7"/>
  <c r="J20" i="1"/>
  <c r="J20" i="9" s="1"/>
  <c r="J22" i="7"/>
  <c r="E15" i="1"/>
  <c r="E15" i="9" s="1"/>
  <c r="E17" i="7"/>
  <c r="F16" i="1"/>
  <c r="F16" i="9" s="1"/>
  <c r="F18" i="7"/>
  <c r="D20" i="7"/>
  <c r="D18" i="1"/>
  <c r="D18" i="9" s="1"/>
  <c r="E19" i="1"/>
  <c r="E19" i="9" s="1"/>
  <c r="E21" i="7"/>
  <c r="F20" i="1"/>
  <c r="F20" i="9" s="1"/>
  <c r="F22" i="7"/>
  <c r="C19" i="7"/>
  <c r="C15" i="7"/>
  <c r="K5" i="1"/>
  <c r="K5" i="9" s="1"/>
  <c r="K7" i="7"/>
  <c r="I7" i="1"/>
  <c r="I7" i="9" s="1"/>
  <c r="I9" i="7"/>
  <c r="M7" i="1"/>
  <c r="M7" i="9" s="1"/>
  <c r="M9" i="7"/>
  <c r="K9" i="1"/>
  <c r="K9" i="9" s="1"/>
  <c r="K11" i="7"/>
  <c r="G9" i="1"/>
  <c r="G9" i="9" s="1"/>
  <c r="G11" i="7"/>
  <c r="G5" i="1"/>
  <c r="G5" i="9" s="1"/>
  <c r="G7" i="7"/>
  <c r="E5" i="7"/>
  <c r="I5" i="7"/>
  <c r="V3" i="10" l="1"/>
  <c r="X3" i="10" s="1"/>
  <c r="S7" i="10"/>
  <c r="T23" i="10"/>
  <c r="S17" i="10"/>
  <c r="T17" i="10"/>
  <c r="V13" i="10"/>
  <c r="W13" i="10" s="1"/>
  <c r="U27" i="10"/>
  <c r="W3" i="10"/>
  <c r="U7" i="10"/>
  <c r="T7" i="10"/>
  <c r="U17" i="10"/>
  <c r="V33" i="10"/>
  <c r="X33" i="10" s="1"/>
  <c r="U37" i="10"/>
  <c r="S37" i="10"/>
  <c r="T37" i="10"/>
  <c r="T27" i="10"/>
  <c r="S27" i="10"/>
  <c r="U23" i="10"/>
  <c r="U4" i="9"/>
  <c r="Q4" i="1"/>
  <c r="AA4" i="1" s="1"/>
  <c r="Q28" i="1"/>
  <c r="AA28" i="1" s="1"/>
  <c r="U6" i="9"/>
  <c r="W7" i="6"/>
  <c r="S18" i="9"/>
  <c r="T14" i="9"/>
  <c r="S26" i="9"/>
  <c r="T20" i="9"/>
  <c r="S16" i="9"/>
  <c r="S27" i="9"/>
  <c r="T27" i="9"/>
  <c r="U27" i="9"/>
  <c r="V27" i="9"/>
  <c r="U35" i="9"/>
  <c r="V35" i="9"/>
  <c r="S6" i="9"/>
  <c r="T6" i="9"/>
  <c r="T10" i="9"/>
  <c r="S10" i="9"/>
  <c r="T15" i="9"/>
  <c r="S15" i="9"/>
  <c r="T19" i="9"/>
  <c r="S19" i="9"/>
  <c r="V20" i="9"/>
  <c r="U20" i="9"/>
  <c r="U18" i="9"/>
  <c r="V18" i="9"/>
  <c r="V14" i="9"/>
  <c r="U14" i="9"/>
  <c r="V40" i="9"/>
  <c r="U40" i="9"/>
  <c r="Q34" i="1"/>
  <c r="AA34" i="1" s="1"/>
  <c r="K34" i="9"/>
  <c r="S34" i="9"/>
  <c r="T34" i="9"/>
  <c r="S6" i="6"/>
  <c r="T35" i="9"/>
  <c r="S35" i="9"/>
  <c r="T37" i="9"/>
  <c r="S37" i="9"/>
  <c r="Q30" i="1"/>
  <c r="AA30" i="1" s="1"/>
  <c r="L30" i="9"/>
  <c r="U38" i="9"/>
  <c r="V38" i="9"/>
  <c r="S20" i="9"/>
  <c r="S30" i="9"/>
  <c r="V28" i="9"/>
  <c r="T16" i="9"/>
  <c r="V4" i="9"/>
  <c r="T26" i="9"/>
  <c r="V6" i="9"/>
  <c r="T18" i="9"/>
  <c r="S14" i="9"/>
  <c r="Q26" i="1"/>
  <c r="AA26" i="1" s="1"/>
  <c r="L26" i="9"/>
  <c r="S7" i="9"/>
  <c r="T7" i="9"/>
  <c r="U7" i="9"/>
  <c r="V7" i="9"/>
  <c r="T5" i="9"/>
  <c r="S5" i="9"/>
  <c r="S9" i="9"/>
  <c r="T9" i="9"/>
  <c r="U9" i="9"/>
  <c r="V9" i="9"/>
  <c r="V5" i="9"/>
  <c r="U5" i="9"/>
  <c r="T25" i="9"/>
  <c r="S25" i="9"/>
  <c r="S29" i="9"/>
  <c r="T29" i="9"/>
  <c r="U29" i="9"/>
  <c r="V29" i="9"/>
  <c r="V25" i="9"/>
  <c r="U25" i="9"/>
  <c r="T4" i="9"/>
  <c r="S4" i="9"/>
  <c r="S8" i="9"/>
  <c r="T8" i="9"/>
  <c r="Q8" i="1"/>
  <c r="AA8" i="1" s="1"/>
  <c r="L8" i="9"/>
  <c r="T17" i="9"/>
  <c r="S17" i="9"/>
  <c r="U19" i="9"/>
  <c r="V19" i="9"/>
  <c r="V17" i="9"/>
  <c r="U17" i="9"/>
  <c r="V16" i="9"/>
  <c r="U16" i="9"/>
  <c r="S24" i="9"/>
  <c r="T24" i="9"/>
  <c r="V24" i="9"/>
  <c r="U24" i="9"/>
  <c r="T38" i="9"/>
  <c r="S38" i="9"/>
  <c r="T28" i="9"/>
  <c r="S28" i="9"/>
  <c r="Q36" i="1"/>
  <c r="AA36" i="1" s="1"/>
  <c r="K36" i="9"/>
  <c r="U10" i="9"/>
  <c r="V10" i="9"/>
  <c r="T40" i="9"/>
  <c r="S40" i="9"/>
  <c r="V37" i="9"/>
  <c r="U37" i="9"/>
  <c r="U15" i="9"/>
  <c r="V15" i="9"/>
  <c r="AB13" i="2"/>
  <c r="AC13" i="2" s="1"/>
  <c r="Q39" i="7"/>
  <c r="Q37" i="1"/>
  <c r="AA37" i="1" s="1"/>
  <c r="P39" i="7"/>
  <c r="Q15" i="1"/>
  <c r="Z15" i="1" s="1"/>
  <c r="AB9" i="2"/>
  <c r="AC9" i="2" s="1"/>
  <c r="W18" i="6"/>
  <c r="AE24" i="2"/>
  <c r="AF24" i="2" s="1"/>
  <c r="AB24" i="2"/>
  <c r="AC24" i="2" s="1"/>
  <c r="Q6" i="1"/>
  <c r="AA6" i="1" s="1"/>
  <c r="AB10" i="2"/>
  <c r="AC10" i="2" s="1"/>
  <c r="AB21" i="2"/>
  <c r="AC21" i="2" s="1"/>
  <c r="AB8" i="2"/>
  <c r="AC8" i="2" s="1"/>
  <c r="AE22" i="2"/>
  <c r="AF22" i="2" s="1"/>
  <c r="AB12" i="2"/>
  <c r="AC12" i="2" s="1"/>
  <c r="AE21" i="2"/>
  <c r="AF21" i="2" s="1"/>
  <c r="AB14" i="2"/>
  <c r="AC14" i="2" s="1"/>
  <c r="W25" i="6"/>
  <c r="Q35" i="1"/>
  <c r="AA35" i="1" s="1"/>
  <c r="AB19" i="2"/>
  <c r="AC19" i="2" s="1"/>
  <c r="Q38" i="1"/>
  <c r="AA38" i="1" s="1"/>
  <c r="R38" i="7"/>
  <c r="R36" i="7"/>
  <c r="R41" i="7"/>
  <c r="Q17" i="7"/>
  <c r="Q26" i="7"/>
  <c r="P29" i="7"/>
  <c r="Q29" i="7"/>
  <c r="P37" i="7"/>
  <c r="Q37" i="7"/>
  <c r="P22" i="7"/>
  <c r="Q22" i="7"/>
  <c r="P20" i="7"/>
  <c r="Q20" i="7"/>
  <c r="P16" i="7"/>
  <c r="Q16" i="7"/>
  <c r="P42" i="7"/>
  <c r="Q42" i="7"/>
  <c r="P40" i="7"/>
  <c r="Q40" i="7"/>
  <c r="P32" i="7"/>
  <c r="Q32" i="7"/>
  <c r="P30" i="7"/>
  <c r="P17" i="7"/>
  <c r="P31" i="7"/>
  <c r="Q31" i="7"/>
  <c r="P27" i="7"/>
  <c r="Q27" i="7"/>
  <c r="P21" i="7"/>
  <c r="Q21" i="7"/>
  <c r="P19" i="7"/>
  <c r="Q19" i="7"/>
  <c r="P18" i="7"/>
  <c r="Q18" i="7"/>
  <c r="P28" i="7"/>
  <c r="Q28" i="7"/>
  <c r="P6" i="7"/>
  <c r="P8" i="7"/>
  <c r="Q30" i="7"/>
  <c r="P12" i="7"/>
  <c r="P26" i="7"/>
  <c r="Q9" i="7"/>
  <c r="P9" i="7"/>
  <c r="Q10" i="7"/>
  <c r="P10" i="7"/>
  <c r="Q12" i="7"/>
  <c r="P11" i="7"/>
  <c r="Q11" i="7"/>
  <c r="Q7" i="7"/>
  <c r="P7" i="7"/>
  <c r="Q6" i="7"/>
  <c r="Q8" i="7"/>
  <c r="Q10" i="1"/>
  <c r="AA10" i="1" s="1"/>
  <c r="Q9" i="1"/>
  <c r="Y9" i="1" s="1"/>
  <c r="Q5" i="1"/>
  <c r="Y5" i="1" s="1"/>
  <c r="Q29" i="1"/>
  <c r="AA29" i="1" s="1"/>
  <c r="Q25" i="1"/>
  <c r="AA25" i="1" s="1"/>
  <c r="Q19" i="1"/>
  <c r="AB19" i="1" s="1"/>
  <c r="Q17" i="1"/>
  <c r="AB17" i="1" s="1"/>
  <c r="Q16" i="1"/>
  <c r="Y16" i="1" s="1"/>
  <c r="Q24" i="1"/>
  <c r="AA24" i="1" s="1"/>
  <c r="AB39" i="1"/>
  <c r="Y39" i="1"/>
  <c r="Q7" i="1"/>
  <c r="AA7" i="1" s="1"/>
  <c r="Q27" i="1"/>
  <c r="Y27" i="1" s="1"/>
  <c r="Q20" i="1"/>
  <c r="Y20" i="1" s="1"/>
  <c r="Q18" i="1"/>
  <c r="Y18" i="1" s="1"/>
  <c r="Q14" i="1"/>
  <c r="Q40" i="1"/>
  <c r="Z40" i="1" s="1"/>
  <c r="Z39" i="1"/>
  <c r="H11" i="2"/>
  <c r="X13" i="10" l="1"/>
  <c r="AA20" i="10" s="1"/>
  <c r="W33" i="10"/>
  <c r="AA33" i="10" s="1"/>
  <c r="AA13" i="10"/>
  <c r="AA15" i="10"/>
  <c r="AA19" i="10"/>
  <c r="AA16" i="10"/>
  <c r="V23" i="10"/>
  <c r="X23" i="10" s="1"/>
  <c r="V37" i="10"/>
  <c r="W37" i="10" s="1"/>
  <c r="V17" i="10"/>
  <c r="X17" i="10" s="1"/>
  <c r="V7" i="10"/>
  <c r="X7" i="10" s="1"/>
  <c r="AA3" i="10"/>
  <c r="AA10" i="10"/>
  <c r="AA8" i="10"/>
  <c r="AA5" i="10"/>
  <c r="AA4" i="10"/>
  <c r="AA6" i="10"/>
  <c r="AA7" i="10"/>
  <c r="AA9" i="10"/>
  <c r="V27" i="10"/>
  <c r="X27" i="10" s="1"/>
  <c r="Z28" i="1"/>
  <c r="Y28" i="1"/>
  <c r="Z8" i="1"/>
  <c r="Z37" i="1"/>
  <c r="R39" i="7"/>
  <c r="AB28" i="1"/>
  <c r="Y26" i="1"/>
  <c r="AB26" i="1"/>
  <c r="Y15" i="1"/>
  <c r="AA15" i="1"/>
  <c r="Y8" i="1"/>
  <c r="AB34" i="1"/>
  <c r="Y30" i="1"/>
  <c r="Y37" i="1"/>
  <c r="Z36" i="1"/>
  <c r="AB8" i="1"/>
  <c r="Z26" i="1"/>
  <c r="AB36" i="1"/>
  <c r="Y36" i="1"/>
  <c r="R8" i="7"/>
  <c r="Z34" i="1"/>
  <c r="Y34" i="1"/>
  <c r="Z30" i="1"/>
  <c r="AB30" i="1"/>
  <c r="V30" i="9"/>
  <c r="U30" i="9"/>
  <c r="V34" i="9"/>
  <c r="U34" i="9"/>
  <c r="V36" i="9"/>
  <c r="U36" i="9"/>
  <c r="V8" i="9"/>
  <c r="U8" i="9"/>
  <c r="U26" i="9"/>
  <c r="V26" i="9"/>
  <c r="AB15" i="1"/>
  <c r="AB37" i="1"/>
  <c r="AB6" i="1"/>
  <c r="Y6" i="1"/>
  <c r="Z6" i="1"/>
  <c r="Z35" i="1"/>
  <c r="Y35" i="1"/>
  <c r="AB35" i="1"/>
  <c r="Y38" i="1"/>
  <c r="R17" i="7"/>
  <c r="Y10" i="1"/>
  <c r="AB38" i="1"/>
  <c r="Z38" i="1"/>
  <c r="Z10" i="1"/>
  <c r="R40" i="7"/>
  <c r="R26" i="7"/>
  <c r="R29" i="7"/>
  <c r="R7" i="7"/>
  <c r="R28" i="7"/>
  <c r="R12" i="7"/>
  <c r="AB10" i="1"/>
  <c r="R18" i="7"/>
  <c r="R19" i="7"/>
  <c r="R21" i="7"/>
  <c r="R27" i="7"/>
  <c r="R31" i="7"/>
  <c r="R30" i="7"/>
  <c r="R10" i="7"/>
  <c r="R9" i="7"/>
  <c r="R32" i="7"/>
  <c r="R42" i="7"/>
  <c r="R16" i="7"/>
  <c r="R20" i="7"/>
  <c r="R22" i="7"/>
  <c r="R37" i="7"/>
  <c r="Y25" i="1"/>
  <c r="R6" i="7"/>
  <c r="R11" i="7"/>
  <c r="AA17" i="1"/>
  <c r="Z5" i="1"/>
  <c r="Z25" i="1"/>
  <c r="AA5" i="1"/>
  <c r="AB25" i="1"/>
  <c r="Z17" i="1"/>
  <c r="AA9" i="1"/>
  <c r="AB24" i="1"/>
  <c r="AA19" i="1"/>
  <c r="Y19" i="1"/>
  <c r="Z9" i="1"/>
  <c r="Z19" i="1"/>
  <c r="AA16" i="1"/>
  <c r="Z16" i="1"/>
  <c r="AB9" i="1"/>
  <c r="AB29" i="1"/>
  <c r="Y24" i="1"/>
  <c r="Y17" i="1"/>
  <c r="Z24" i="1"/>
  <c r="AB5" i="1"/>
  <c r="Z29" i="1"/>
  <c r="Y29" i="1"/>
  <c r="AB16" i="1"/>
  <c r="Y4" i="1"/>
  <c r="AB4" i="1"/>
  <c r="Z4" i="1"/>
  <c r="Z7" i="1"/>
  <c r="Y14" i="1"/>
  <c r="AA14" i="1"/>
  <c r="Z20" i="1"/>
  <c r="Y7" i="1"/>
  <c r="AA20" i="1"/>
  <c r="AB7" i="1"/>
  <c r="Z14" i="1"/>
  <c r="Z18" i="1"/>
  <c r="AG39" i="1"/>
  <c r="Y40" i="1"/>
  <c r="AA40" i="1"/>
  <c r="AA27" i="1"/>
  <c r="AB27" i="1"/>
  <c r="AB14" i="1"/>
  <c r="AB18" i="1"/>
  <c r="AA18" i="1"/>
  <c r="AB40" i="1"/>
  <c r="AB20" i="1"/>
  <c r="Z27" i="1"/>
  <c r="B2" i="2"/>
  <c r="B1" i="2"/>
  <c r="P10" i="1"/>
  <c r="N10" i="9" s="1"/>
  <c r="AE10" i="9" s="1"/>
  <c r="P9" i="1"/>
  <c r="N9" i="9" s="1"/>
  <c r="AE9" i="9" s="1"/>
  <c r="P8" i="1"/>
  <c r="N8" i="9" s="1"/>
  <c r="AE8" i="9" s="1"/>
  <c r="P7" i="1"/>
  <c r="N7" i="9" s="1"/>
  <c r="AE7" i="9" s="1"/>
  <c r="P6" i="1"/>
  <c r="N6" i="9" s="1"/>
  <c r="AE6" i="9" s="1"/>
  <c r="P5" i="1"/>
  <c r="N5" i="9" s="1"/>
  <c r="AE5" i="9" s="1"/>
  <c r="P4" i="1"/>
  <c r="N4" i="9" s="1"/>
  <c r="AE4" i="9" s="1"/>
  <c r="AA17" i="10" l="1"/>
  <c r="B17" i="1" s="1"/>
  <c r="B17" i="9" s="1"/>
  <c r="AA14" i="10"/>
  <c r="AA18" i="10"/>
  <c r="B18" i="1" s="1"/>
  <c r="B18" i="9" s="1"/>
  <c r="W27" i="10"/>
  <c r="AI23" i="10" s="1"/>
  <c r="J23" i="1" s="1"/>
  <c r="X37" i="10"/>
  <c r="AA39" i="10"/>
  <c r="W17" i="10"/>
  <c r="AI13" i="10" s="1"/>
  <c r="J13" i="1" s="1"/>
  <c r="AA38" i="10"/>
  <c r="B40" i="7" s="1"/>
  <c r="AA37" i="10"/>
  <c r="B39" i="7" s="1"/>
  <c r="AA40" i="10"/>
  <c r="B40" i="1" s="1"/>
  <c r="AA36" i="10"/>
  <c r="B38" i="7" s="1"/>
  <c r="AA34" i="10"/>
  <c r="B36" i="7" s="1"/>
  <c r="AA35" i="10"/>
  <c r="B37" i="7" s="1"/>
  <c r="AI33" i="10"/>
  <c r="J33" i="1" s="1"/>
  <c r="AB36" i="10"/>
  <c r="C36" i="1" s="1"/>
  <c r="AB37" i="10"/>
  <c r="C37" i="1" s="1"/>
  <c r="AB35" i="10"/>
  <c r="C35" i="1" s="1"/>
  <c r="AB39" i="10"/>
  <c r="C39" i="1" s="1"/>
  <c r="AB40" i="10"/>
  <c r="C40" i="1" s="1"/>
  <c r="AD33" i="10"/>
  <c r="E33" i="1" s="1"/>
  <c r="AG33" i="10"/>
  <c r="H33" i="1" s="1"/>
  <c r="AC33" i="10"/>
  <c r="D33" i="1" s="1"/>
  <c r="AE33" i="10"/>
  <c r="F33" i="1" s="1"/>
  <c r="AF33" i="10"/>
  <c r="G33" i="1" s="1"/>
  <c r="AB38" i="10"/>
  <c r="C38" i="1" s="1"/>
  <c r="AB33" i="10"/>
  <c r="AH33" i="10"/>
  <c r="I33" i="1" s="1"/>
  <c r="AB34" i="10"/>
  <c r="C34" i="1" s="1"/>
  <c r="B7" i="1"/>
  <c r="B7" i="9" s="1"/>
  <c r="B9" i="7"/>
  <c r="B4" i="1"/>
  <c r="B4" i="9" s="1"/>
  <c r="B6" i="7"/>
  <c r="B8" i="1"/>
  <c r="B8" i="9" s="1"/>
  <c r="B10" i="7"/>
  <c r="B3" i="1"/>
  <c r="B3" i="9" s="1"/>
  <c r="B5" i="7"/>
  <c r="AH13" i="10"/>
  <c r="I13" i="1" s="1"/>
  <c r="B36" i="1"/>
  <c r="B33" i="1"/>
  <c r="B35" i="7"/>
  <c r="B19" i="7"/>
  <c r="B14" i="1"/>
  <c r="B14" i="9" s="1"/>
  <c r="B16" i="7"/>
  <c r="B20" i="7"/>
  <c r="B20" i="1"/>
  <c r="B20" i="9" s="1"/>
  <c r="B22" i="7"/>
  <c r="B9" i="1"/>
  <c r="B9" i="9" s="1"/>
  <c r="B11" i="7"/>
  <c r="B6" i="1"/>
  <c r="B6" i="9" s="1"/>
  <c r="B8" i="7"/>
  <c r="B5" i="1"/>
  <c r="B5" i="9" s="1"/>
  <c r="B7" i="7"/>
  <c r="B10" i="1"/>
  <c r="B10" i="9" s="1"/>
  <c r="B12" i="7"/>
  <c r="W7" i="10"/>
  <c r="B39" i="1"/>
  <c r="B41" i="7"/>
  <c r="B37" i="1"/>
  <c r="B42" i="7"/>
  <c r="W23" i="10"/>
  <c r="B16" i="1"/>
  <c r="B16" i="9" s="1"/>
  <c r="B18" i="7"/>
  <c r="B21" i="7"/>
  <c r="B19" i="1"/>
  <c r="B19" i="9" s="1"/>
  <c r="B15" i="1"/>
  <c r="B15" i="9" s="1"/>
  <c r="B17" i="7"/>
  <c r="B13" i="1"/>
  <c r="B15" i="7"/>
  <c r="AG28" i="1"/>
  <c r="AH8" i="1"/>
  <c r="AG15" i="1"/>
  <c r="AG8" i="1"/>
  <c r="AG26" i="1"/>
  <c r="AG37" i="1"/>
  <c r="AG30" i="1"/>
  <c r="AG34" i="1"/>
  <c r="AG36" i="1"/>
  <c r="AH6" i="1"/>
  <c r="AG6" i="1"/>
  <c r="AG35" i="1"/>
  <c r="AH10" i="1"/>
  <c r="AG38" i="1"/>
  <c r="AG10" i="1"/>
  <c r="AH9" i="1"/>
  <c r="AG17" i="1"/>
  <c r="AG25" i="1"/>
  <c r="AG5" i="1"/>
  <c r="AG16" i="1"/>
  <c r="AG19" i="1"/>
  <c r="AG9" i="1"/>
  <c r="AH5" i="1"/>
  <c r="AG4" i="1"/>
  <c r="AG29" i="1"/>
  <c r="AG24" i="1"/>
  <c r="AH4" i="1"/>
  <c r="AG27" i="1"/>
  <c r="AG20" i="1"/>
  <c r="AG40" i="1"/>
  <c r="AG7" i="1"/>
  <c r="AH7" i="1"/>
  <c r="AG18" i="1"/>
  <c r="AG14" i="1"/>
  <c r="AB14" i="10" l="1"/>
  <c r="C14" i="1" s="1"/>
  <c r="B34" i="1"/>
  <c r="AB16" i="10"/>
  <c r="C16" i="1" s="1"/>
  <c r="AO32" i="10"/>
  <c r="B38" i="1"/>
  <c r="AC13" i="10"/>
  <c r="D13" i="1" s="1"/>
  <c r="AB13" i="10"/>
  <c r="C13" i="1" s="1"/>
  <c r="AB30" i="10"/>
  <c r="C30" i="1" s="1"/>
  <c r="AC23" i="10"/>
  <c r="D23" i="1" s="1"/>
  <c r="D23" i="9" s="1"/>
  <c r="AB20" i="10"/>
  <c r="C20" i="1" s="1"/>
  <c r="C20" i="9" s="1"/>
  <c r="AB17" i="10"/>
  <c r="C17" i="1" s="1"/>
  <c r="C17" i="9" s="1"/>
  <c r="AF23" i="10"/>
  <c r="G23" i="1" s="1"/>
  <c r="AB25" i="10"/>
  <c r="C25" i="1" s="1"/>
  <c r="C25" i="9" s="1"/>
  <c r="AB29" i="10"/>
  <c r="C29" i="1" s="1"/>
  <c r="AB23" i="10"/>
  <c r="C23" i="1" s="1"/>
  <c r="C23" i="9" s="1"/>
  <c r="AB26" i="10"/>
  <c r="C26" i="1" s="1"/>
  <c r="AB27" i="10"/>
  <c r="C27" i="1" s="1"/>
  <c r="C27" i="9" s="1"/>
  <c r="AB28" i="10"/>
  <c r="C28" i="1" s="1"/>
  <c r="C28" i="9" s="1"/>
  <c r="AG23" i="10"/>
  <c r="H23" i="1" s="1"/>
  <c r="AB24" i="10"/>
  <c r="C24" i="1" s="1"/>
  <c r="C24" i="9" s="1"/>
  <c r="AE23" i="10"/>
  <c r="F23" i="1" s="1"/>
  <c r="F23" i="9" s="1"/>
  <c r="AH23" i="10"/>
  <c r="I23" i="1" s="1"/>
  <c r="I23" i="9" s="1"/>
  <c r="AD23" i="10"/>
  <c r="E23" i="1" s="1"/>
  <c r="E23" i="9" s="1"/>
  <c r="AE13" i="10"/>
  <c r="F13" i="1" s="1"/>
  <c r="AG13" i="10"/>
  <c r="H13" i="1" s="1"/>
  <c r="H13" i="9" s="1"/>
  <c r="AB15" i="10"/>
  <c r="C15" i="1" s="1"/>
  <c r="AD13" i="10"/>
  <c r="E13" i="1" s="1"/>
  <c r="E13" i="9" s="1"/>
  <c r="AF13" i="10"/>
  <c r="G13" i="1" s="1"/>
  <c r="AB18" i="10"/>
  <c r="C18" i="1" s="1"/>
  <c r="C18" i="9" s="1"/>
  <c r="AB19" i="10"/>
  <c r="C19" i="1" s="1"/>
  <c r="B35" i="1"/>
  <c r="U3" i="2" s="1"/>
  <c r="B13" i="9"/>
  <c r="Q13" i="1"/>
  <c r="AI3" i="10"/>
  <c r="J3" i="1" s="1"/>
  <c r="J3" i="9" s="1"/>
  <c r="AB6" i="10"/>
  <c r="C6" i="1" s="1"/>
  <c r="C6" i="9" s="1"/>
  <c r="AB9" i="10"/>
  <c r="C9" i="1" s="1"/>
  <c r="C9" i="9" s="1"/>
  <c r="AB5" i="10"/>
  <c r="C5" i="1" s="1"/>
  <c r="C5" i="9" s="1"/>
  <c r="AC3" i="10"/>
  <c r="D3" i="1" s="1"/>
  <c r="D3" i="9" s="1"/>
  <c r="AG3" i="10"/>
  <c r="H3" i="1" s="1"/>
  <c r="H3" i="9" s="1"/>
  <c r="AD3" i="10"/>
  <c r="E3" i="1" s="1"/>
  <c r="E3" i="9" s="1"/>
  <c r="AF3" i="10"/>
  <c r="G3" i="1" s="1"/>
  <c r="G3" i="9" s="1"/>
  <c r="AH3" i="10"/>
  <c r="I3" i="1" s="1"/>
  <c r="I3" i="9" s="1"/>
  <c r="AB7" i="10"/>
  <c r="C7" i="1" s="1"/>
  <c r="C7" i="9" s="1"/>
  <c r="AB3" i="10"/>
  <c r="C3" i="1" s="1"/>
  <c r="C3" i="9" s="1"/>
  <c r="AE3" i="10"/>
  <c r="F3" i="1" s="1"/>
  <c r="F3" i="9" s="1"/>
  <c r="AB8" i="10"/>
  <c r="C8" i="1" s="1"/>
  <c r="C8" i="9" s="1"/>
  <c r="AB10" i="10"/>
  <c r="C10" i="1" s="1"/>
  <c r="C10" i="9" s="1"/>
  <c r="AB4" i="10"/>
  <c r="C4" i="1" s="1"/>
  <c r="C4" i="9" s="1"/>
  <c r="U41" i="7"/>
  <c r="U37" i="7"/>
  <c r="U40" i="7"/>
  <c r="U39" i="7"/>
  <c r="U38" i="7"/>
  <c r="Q35" i="7"/>
  <c r="U42" i="7"/>
  <c r="P35" i="7"/>
  <c r="U36" i="7"/>
  <c r="F13" i="9"/>
  <c r="C15" i="9"/>
  <c r="G13" i="9"/>
  <c r="C19" i="9"/>
  <c r="J13" i="9"/>
  <c r="Q7" i="9"/>
  <c r="Q8" i="9"/>
  <c r="C29" i="9"/>
  <c r="C30" i="9"/>
  <c r="G23" i="9"/>
  <c r="C26" i="9"/>
  <c r="I33" i="9"/>
  <c r="C38" i="9"/>
  <c r="F33" i="9"/>
  <c r="H33" i="9"/>
  <c r="C40" i="9"/>
  <c r="C35" i="9"/>
  <c r="C36" i="9"/>
  <c r="U17" i="7"/>
  <c r="U21" i="7"/>
  <c r="U18" i="7"/>
  <c r="U22" i="7"/>
  <c r="Q15" i="7"/>
  <c r="U19" i="7"/>
  <c r="U16" i="7"/>
  <c r="U20" i="7"/>
  <c r="P15" i="7"/>
  <c r="R15" i="7" s="1"/>
  <c r="AA23" i="10"/>
  <c r="AA30" i="10"/>
  <c r="AA25" i="10"/>
  <c r="AA28" i="10"/>
  <c r="AA24" i="10"/>
  <c r="AA27" i="10"/>
  <c r="AA29" i="10"/>
  <c r="AA26" i="10"/>
  <c r="H3" i="8"/>
  <c r="B40" i="9"/>
  <c r="F3" i="8"/>
  <c r="B38" i="9"/>
  <c r="E3" i="8"/>
  <c r="B37" i="9"/>
  <c r="G3" i="8"/>
  <c r="B39" i="9"/>
  <c r="AB3" i="2"/>
  <c r="AC3" i="2" s="1"/>
  <c r="AP32" i="10"/>
  <c r="A3" i="8"/>
  <c r="B33" i="9"/>
  <c r="B3" i="8"/>
  <c r="B34" i="9"/>
  <c r="D3" i="8"/>
  <c r="B36" i="9"/>
  <c r="D13" i="9"/>
  <c r="I13" i="9"/>
  <c r="C14" i="9"/>
  <c r="C13" i="9"/>
  <c r="C16" i="9"/>
  <c r="P5" i="7"/>
  <c r="U8" i="7"/>
  <c r="U10" i="7"/>
  <c r="U6" i="7"/>
  <c r="U7" i="7"/>
  <c r="U12" i="7"/>
  <c r="Q5" i="7"/>
  <c r="U9" i="7"/>
  <c r="U11" i="7"/>
  <c r="H23" i="9"/>
  <c r="J23" i="9"/>
  <c r="C34" i="9"/>
  <c r="AO35" i="10"/>
  <c r="C33" i="1"/>
  <c r="G33" i="9"/>
  <c r="D33" i="9"/>
  <c r="E33" i="9"/>
  <c r="C39" i="9"/>
  <c r="C37" i="9"/>
  <c r="J33" i="9"/>
  <c r="B6" i="2"/>
  <c r="B7" i="2"/>
  <c r="B8" i="2"/>
  <c r="B9" i="2"/>
  <c r="U20" i="1" l="1"/>
  <c r="R5" i="7"/>
  <c r="X6" i="7" s="1"/>
  <c r="G13" i="2" s="1"/>
  <c r="W13" i="1"/>
  <c r="R35" i="7"/>
  <c r="X36" i="7" s="1"/>
  <c r="G16" i="2" s="1"/>
  <c r="Y13" i="1"/>
  <c r="X13" i="1"/>
  <c r="V13" i="1"/>
  <c r="AB13" i="1"/>
  <c r="U19" i="1"/>
  <c r="U18" i="1"/>
  <c r="U15" i="1"/>
  <c r="Z13" i="1"/>
  <c r="U16" i="1"/>
  <c r="U17" i="1"/>
  <c r="U13" i="1"/>
  <c r="U14" i="1"/>
  <c r="AA13" i="1"/>
  <c r="C3" i="8"/>
  <c r="B35" i="9"/>
  <c r="Q37" i="9" s="1"/>
  <c r="Q33" i="1"/>
  <c r="U37" i="1" s="1"/>
  <c r="L6" i="8" s="1"/>
  <c r="C33" i="9"/>
  <c r="X10" i="7"/>
  <c r="P3" i="2" s="1"/>
  <c r="X12" i="7"/>
  <c r="P17" i="2" s="1"/>
  <c r="X9" i="7"/>
  <c r="G34" i="2" s="1"/>
  <c r="X8" i="7"/>
  <c r="G27" i="2" s="1"/>
  <c r="X11" i="7"/>
  <c r="P10" i="2" s="1"/>
  <c r="X7" i="7"/>
  <c r="G20" i="2" s="1"/>
  <c r="Q15" i="9"/>
  <c r="Q14" i="9"/>
  <c r="Q38" i="9"/>
  <c r="B29" i="1"/>
  <c r="B29" i="9" s="1"/>
  <c r="B31" i="7"/>
  <c r="B24" i="1"/>
  <c r="B24" i="9" s="1"/>
  <c r="B26" i="7"/>
  <c r="B25" i="1"/>
  <c r="B25" i="9" s="1"/>
  <c r="B27" i="7"/>
  <c r="B23" i="1"/>
  <c r="B25" i="7"/>
  <c r="U40" i="1"/>
  <c r="O6" i="8" s="1"/>
  <c r="X14" i="1"/>
  <c r="V16" i="1"/>
  <c r="X19" i="1"/>
  <c r="V20" i="1"/>
  <c r="W16" i="1"/>
  <c r="V15" i="1"/>
  <c r="W14" i="1"/>
  <c r="W19" i="1"/>
  <c r="X17" i="1"/>
  <c r="V17" i="1"/>
  <c r="V18" i="1"/>
  <c r="X20" i="1"/>
  <c r="W17" i="1"/>
  <c r="V19" i="1"/>
  <c r="W15" i="1"/>
  <c r="W18" i="1"/>
  <c r="X18" i="1"/>
  <c r="W20" i="1"/>
  <c r="X15" i="1"/>
  <c r="X16" i="1"/>
  <c r="V14" i="1"/>
  <c r="AB4" i="2"/>
  <c r="AC4" i="2" s="1"/>
  <c r="AP35" i="10"/>
  <c r="V35" i="1"/>
  <c r="B26" i="1"/>
  <c r="B26" i="9" s="1"/>
  <c r="B28" i="7"/>
  <c r="B27" i="1"/>
  <c r="B27" i="9" s="1"/>
  <c r="B29" i="7"/>
  <c r="B28" i="1"/>
  <c r="B28" i="9" s="1"/>
  <c r="B30" i="7"/>
  <c r="B30" i="1"/>
  <c r="B30" i="9" s="1"/>
  <c r="B32" i="7"/>
  <c r="X21" i="7"/>
  <c r="P11" i="2" s="1"/>
  <c r="X20" i="7"/>
  <c r="P4" i="2" s="1"/>
  <c r="X18" i="7"/>
  <c r="G28" i="2" s="1"/>
  <c r="X17" i="7"/>
  <c r="G21" i="2" s="1"/>
  <c r="X16" i="7"/>
  <c r="G14" i="2" s="1"/>
  <c r="X19" i="7"/>
  <c r="G35" i="2" s="1"/>
  <c r="X22" i="7"/>
  <c r="P18" i="2" s="1"/>
  <c r="Q24" i="9"/>
  <c r="Q25" i="9"/>
  <c r="X38" i="7"/>
  <c r="G30" i="2" s="1"/>
  <c r="X37" i="7"/>
  <c r="G23" i="2" s="1"/>
  <c r="Q5" i="9"/>
  <c r="Q4" i="9"/>
  <c r="Q17" i="9"/>
  <c r="Q18" i="9"/>
  <c r="W34" i="1" l="1"/>
  <c r="X41" i="7"/>
  <c r="P13" i="2" s="1"/>
  <c r="W37" i="1"/>
  <c r="X39" i="7"/>
  <c r="G37" i="2" s="1"/>
  <c r="X40" i="7"/>
  <c r="P6" i="2" s="1"/>
  <c r="X38" i="1"/>
  <c r="X42" i="7"/>
  <c r="P20" i="2" s="1"/>
  <c r="X34" i="1"/>
  <c r="V34" i="1"/>
  <c r="AG13" i="1"/>
  <c r="AM13" i="1" s="1"/>
  <c r="V37" i="1"/>
  <c r="W36" i="1"/>
  <c r="X40" i="1"/>
  <c r="W40" i="1"/>
  <c r="W39" i="1"/>
  <c r="X33" i="1"/>
  <c r="D6" i="8" s="1"/>
  <c r="U36" i="1"/>
  <c r="K6" i="8" s="1"/>
  <c r="W33" i="1"/>
  <c r="C6" i="8" s="1"/>
  <c r="U33" i="1"/>
  <c r="A6" i="8" s="1"/>
  <c r="U34" i="1"/>
  <c r="I6" i="8" s="1"/>
  <c r="AA33" i="1"/>
  <c r="G6" i="8" s="1"/>
  <c r="V33" i="1"/>
  <c r="V38" i="1"/>
  <c r="V36" i="1"/>
  <c r="X39" i="1"/>
  <c r="X36" i="1"/>
  <c r="X35" i="1"/>
  <c r="T3" i="2"/>
  <c r="X3" i="2" s="1"/>
  <c r="W35" i="1"/>
  <c r="V39" i="1"/>
  <c r="V40" i="1"/>
  <c r="X37" i="1"/>
  <c r="W38" i="1"/>
  <c r="U38" i="1"/>
  <c r="Z33" i="1"/>
  <c r="F6" i="8" s="1"/>
  <c r="U35" i="1"/>
  <c r="J6" i="8" s="1"/>
  <c r="Y33" i="1"/>
  <c r="E6" i="8" s="1"/>
  <c r="U39" i="1"/>
  <c r="N6" i="8" s="1"/>
  <c r="AB33" i="1"/>
  <c r="H6" i="8" s="1"/>
  <c r="X5" i="9"/>
  <c r="X4" i="9"/>
  <c r="X6" i="9"/>
  <c r="AA4" i="9"/>
  <c r="AA7" i="9"/>
  <c r="Z10" i="9"/>
  <c r="X10" i="9"/>
  <c r="Z4" i="9"/>
  <c r="AB4" i="9" s="1"/>
  <c r="AC4" i="9" s="1"/>
  <c r="X7" i="9"/>
  <c r="AA10" i="9"/>
  <c r="AA6" i="9"/>
  <c r="X9" i="9"/>
  <c r="Z7" i="9"/>
  <c r="AB7" i="9" s="1"/>
  <c r="AC7" i="9" s="1"/>
  <c r="AA9" i="9"/>
  <c r="AA5" i="9"/>
  <c r="Z5" i="9"/>
  <c r="Z6" i="9"/>
  <c r="Z9" i="9"/>
  <c r="AB9" i="9" s="1"/>
  <c r="AC9" i="9" s="1"/>
  <c r="X8" i="9"/>
  <c r="AA8" i="9"/>
  <c r="Z8" i="9"/>
  <c r="AM18" i="1"/>
  <c r="AO19" i="1"/>
  <c r="B23" i="9"/>
  <c r="Q23" i="1"/>
  <c r="V23" i="1" s="1"/>
  <c r="Z20" i="9"/>
  <c r="AA18" i="9"/>
  <c r="AA17" i="9"/>
  <c r="Z15" i="9"/>
  <c r="X14" i="9"/>
  <c r="X17" i="9"/>
  <c r="AA20" i="9"/>
  <c r="Z17" i="9"/>
  <c r="X15" i="9"/>
  <c r="Z14" i="9"/>
  <c r="Z18" i="9"/>
  <c r="Z19" i="9"/>
  <c r="AA16" i="9"/>
  <c r="X16" i="9"/>
  <c r="X20" i="9"/>
  <c r="X19" i="9"/>
  <c r="AA19" i="9"/>
  <c r="AA14" i="9"/>
  <c r="AA15" i="9"/>
  <c r="Z16" i="9"/>
  <c r="X18" i="9"/>
  <c r="W9" i="9"/>
  <c r="W4" i="9"/>
  <c r="W10" i="9"/>
  <c r="W7" i="9"/>
  <c r="W8" i="9"/>
  <c r="W6" i="9"/>
  <c r="W5" i="9"/>
  <c r="AL17" i="1"/>
  <c r="AL18" i="1"/>
  <c r="AR18" i="1"/>
  <c r="AP16" i="1"/>
  <c r="AR15" i="1"/>
  <c r="AS14" i="1"/>
  <c r="AS19" i="1"/>
  <c r="AR19" i="1"/>
  <c r="AP15" i="1"/>
  <c r="AL13" i="1"/>
  <c r="AL15" i="1"/>
  <c r="AS20" i="1"/>
  <c r="AQ14" i="1"/>
  <c r="AL19" i="1"/>
  <c r="AL14" i="1"/>
  <c r="AQ13" i="1"/>
  <c r="AP20" i="1"/>
  <c r="AP19" i="1"/>
  <c r="AP18" i="1"/>
  <c r="AR16" i="1"/>
  <c r="AS13" i="1"/>
  <c r="AO16" i="1"/>
  <c r="AN18" i="1"/>
  <c r="AO20" i="1"/>
  <c r="AN19" i="1"/>
  <c r="AM20" i="1"/>
  <c r="M6" i="8"/>
  <c r="U28" i="7"/>
  <c r="U32" i="7"/>
  <c r="U29" i="7"/>
  <c r="U26" i="7"/>
  <c r="Q25" i="7"/>
  <c r="U30" i="7"/>
  <c r="U27" i="7"/>
  <c r="U31" i="7"/>
  <c r="P25" i="7"/>
  <c r="W15" i="9"/>
  <c r="W16" i="9"/>
  <c r="W14" i="9"/>
  <c r="W20" i="9"/>
  <c r="W18" i="9"/>
  <c r="W19" i="9"/>
  <c r="W17" i="9"/>
  <c r="Y17" i="9" s="1"/>
  <c r="Q35" i="9"/>
  <c r="Q34" i="9"/>
  <c r="W38" i="9" s="1"/>
  <c r="R25" i="7" l="1"/>
  <c r="AN14" i="1"/>
  <c r="AN15" i="1"/>
  <c r="AO15" i="1"/>
  <c r="AB6" i="9"/>
  <c r="AC6" i="9" s="1"/>
  <c r="AB20" i="9"/>
  <c r="AC20" i="9" s="1"/>
  <c r="Y19" i="9"/>
  <c r="Y16" i="9"/>
  <c r="AM16" i="1"/>
  <c r="AM15" i="1"/>
  <c r="AY15" i="1" s="1"/>
  <c r="AM17" i="1"/>
  <c r="AM19" i="1"/>
  <c r="AY19" i="1" s="1"/>
  <c r="AN20" i="1"/>
  <c r="AS18" i="1"/>
  <c r="AS15" i="1"/>
  <c r="AQ16" i="1"/>
  <c r="AQ15" i="1"/>
  <c r="AL16" i="1"/>
  <c r="AR17" i="1"/>
  <c r="AQ20" i="1"/>
  <c r="AR20" i="1"/>
  <c r="AP13" i="1"/>
  <c r="AR13" i="1"/>
  <c r="AS17" i="1"/>
  <c r="AL20" i="1"/>
  <c r="AO13" i="1"/>
  <c r="AQ19" i="1"/>
  <c r="BE17" i="1" s="1"/>
  <c r="AP17" i="1"/>
  <c r="AN13" i="1"/>
  <c r="AQ18" i="1"/>
  <c r="BC17" i="1" s="1"/>
  <c r="AQ17" i="1"/>
  <c r="AS16" i="1"/>
  <c r="AR14" i="1"/>
  <c r="AP14" i="1"/>
  <c r="AO14" i="1"/>
  <c r="AN16" i="1"/>
  <c r="AO17" i="1"/>
  <c r="AN17" i="1"/>
  <c r="AO18" i="1"/>
  <c r="AY18" i="1" s="1"/>
  <c r="AM14" i="1"/>
  <c r="Y6" i="9"/>
  <c r="AD6" i="9" s="1"/>
  <c r="AB18" i="9"/>
  <c r="AC18" i="9" s="1"/>
  <c r="AB5" i="9"/>
  <c r="AC5" i="9" s="1"/>
  <c r="Y9" i="9"/>
  <c r="AD9" i="9" s="1"/>
  <c r="Y18" i="9"/>
  <c r="AB16" i="9"/>
  <c r="AC16" i="9" s="1"/>
  <c r="AB17" i="9"/>
  <c r="AC17" i="9" s="1"/>
  <c r="AD17" i="9" s="1"/>
  <c r="AG33" i="1"/>
  <c r="AM37" i="1" s="1"/>
  <c r="B6" i="8"/>
  <c r="AM33" i="1"/>
  <c r="AL35" i="1"/>
  <c r="AL33" i="1"/>
  <c r="X37" i="9"/>
  <c r="AA39" i="9"/>
  <c r="Z40" i="9"/>
  <c r="Z37" i="9"/>
  <c r="AA34" i="9"/>
  <c r="AA37" i="9"/>
  <c r="X39" i="9"/>
  <c r="AA40" i="9"/>
  <c r="Z38" i="9"/>
  <c r="AA36" i="9"/>
  <c r="Z35" i="9"/>
  <c r="Z34" i="9"/>
  <c r="X35" i="9"/>
  <c r="X38" i="9"/>
  <c r="Y38" i="9" s="1"/>
  <c r="X36" i="9"/>
  <c r="Z39" i="9"/>
  <c r="AA35" i="9"/>
  <c r="X40" i="9"/>
  <c r="X34" i="9"/>
  <c r="Z36" i="9"/>
  <c r="Y20" i="9"/>
  <c r="AD20" i="9" s="1"/>
  <c r="Y7" i="9"/>
  <c r="AD7" i="9" s="1"/>
  <c r="Y4" i="9"/>
  <c r="AD4" i="9" s="1"/>
  <c r="AB19" i="9"/>
  <c r="AC19" i="9" s="1"/>
  <c r="AB14" i="9"/>
  <c r="AC14" i="9" s="1"/>
  <c r="AB15" i="9"/>
  <c r="AC15" i="9" s="1"/>
  <c r="AA38" i="9"/>
  <c r="Q27" i="9"/>
  <c r="Q28" i="9"/>
  <c r="AN39" i="1"/>
  <c r="AB10" i="9"/>
  <c r="AC10" i="9" s="1"/>
  <c r="W40" i="9"/>
  <c r="W34" i="9"/>
  <c r="W35" i="9"/>
  <c r="W36" i="9"/>
  <c r="W39" i="9"/>
  <c r="W37" i="9"/>
  <c r="Y14" i="9"/>
  <c r="Y15" i="9"/>
  <c r="X28" i="7"/>
  <c r="G29" i="2" s="1"/>
  <c r="X32" i="7"/>
  <c r="P19" i="2" s="1"/>
  <c r="X29" i="7"/>
  <c r="G36" i="2" s="1"/>
  <c r="X27" i="7"/>
  <c r="G22" i="2" s="1"/>
  <c r="X31" i="7"/>
  <c r="P12" i="2" s="1"/>
  <c r="X26" i="7"/>
  <c r="G15" i="2" s="1"/>
  <c r="X30" i="7"/>
  <c r="P5" i="2" s="1"/>
  <c r="AY20" i="1"/>
  <c r="BA14" i="1"/>
  <c r="BB14" i="1"/>
  <c r="BE14" i="1"/>
  <c r="Y5" i="9"/>
  <c r="Y8" i="9"/>
  <c r="Y10" i="9"/>
  <c r="AR35" i="1"/>
  <c r="AS37" i="1"/>
  <c r="AP35" i="1"/>
  <c r="AR36" i="1"/>
  <c r="AS38" i="1"/>
  <c r="AP39" i="1"/>
  <c r="AP33" i="1"/>
  <c r="AR33" i="1"/>
  <c r="AQ34" i="1"/>
  <c r="V24" i="1"/>
  <c r="X27" i="1"/>
  <c r="W28" i="1"/>
  <c r="W30" i="1"/>
  <c r="X29" i="1"/>
  <c r="W25" i="1"/>
  <c r="X30" i="1"/>
  <c r="V28" i="1"/>
  <c r="X26" i="1"/>
  <c r="X28" i="1"/>
  <c r="V30" i="1"/>
  <c r="W24" i="1"/>
  <c r="X25" i="1"/>
  <c r="V27" i="1"/>
  <c r="X24" i="1"/>
  <c r="V26" i="1"/>
  <c r="V29" i="1"/>
  <c r="W26" i="1"/>
  <c r="W27" i="1"/>
  <c r="V25" i="1"/>
  <c r="W29" i="1"/>
  <c r="U25" i="1"/>
  <c r="U29" i="1"/>
  <c r="U30" i="1"/>
  <c r="U23" i="1"/>
  <c r="Y23" i="1"/>
  <c r="U26" i="1"/>
  <c r="U27" i="1"/>
  <c r="U28" i="1"/>
  <c r="Z23" i="1"/>
  <c r="U24" i="1"/>
  <c r="X23" i="1"/>
  <c r="AA23" i="1"/>
  <c r="W23" i="1"/>
  <c r="AB23" i="1"/>
  <c r="AO33" i="1"/>
  <c r="AN37" i="1"/>
  <c r="AB8" i="9"/>
  <c r="AC8" i="9" s="1"/>
  <c r="P14" i="1"/>
  <c r="N14" i="9" s="1"/>
  <c r="AE14" i="9" s="1"/>
  <c r="P15" i="1"/>
  <c r="N15" i="9" s="1"/>
  <c r="AE15" i="9" s="1"/>
  <c r="P16" i="1"/>
  <c r="N16" i="9" s="1"/>
  <c r="AE16" i="9" s="1"/>
  <c r="P17" i="1"/>
  <c r="N17" i="9" s="1"/>
  <c r="AE17" i="9" s="1"/>
  <c r="P18" i="1"/>
  <c r="N18" i="9" s="1"/>
  <c r="AE18" i="9" s="1"/>
  <c r="P19" i="1"/>
  <c r="N19" i="9" s="1"/>
  <c r="AE19" i="9" s="1"/>
  <c r="P20" i="1"/>
  <c r="N20" i="9" s="1"/>
  <c r="AE20" i="9" s="1"/>
  <c r="P13" i="1"/>
  <c r="P23" i="1" s="1"/>
  <c r="P33" i="1" s="1"/>
  <c r="BV9" i="1"/>
  <c r="AF10" i="1"/>
  <c r="BG6" i="1" s="1"/>
  <c r="AF9" i="1"/>
  <c r="BE6" i="1" s="1"/>
  <c r="AF8" i="1"/>
  <c r="BC6" i="1" s="1"/>
  <c r="AF7" i="1"/>
  <c r="BA6" i="1" s="1"/>
  <c r="BZ2" i="1" s="1"/>
  <c r="A32" i="2" s="1"/>
  <c r="AF6" i="1"/>
  <c r="BG3" i="1" s="1"/>
  <c r="AF5" i="1"/>
  <c r="BE3" i="1" s="1"/>
  <c r="AF4" i="1"/>
  <c r="BC3" i="1" s="1"/>
  <c r="AB35" i="9" l="1"/>
  <c r="AC35" i="9" s="1"/>
  <c r="AD19" i="9"/>
  <c r="AB36" i="9"/>
  <c r="AC36" i="9" s="1"/>
  <c r="AB39" i="9"/>
  <c r="AC39" i="9" s="1"/>
  <c r="BF14" i="1"/>
  <c r="AO34" i="1"/>
  <c r="AM34" i="1"/>
  <c r="AS39" i="1"/>
  <c r="AP37" i="1"/>
  <c r="AQ37" i="1"/>
  <c r="AQ40" i="1"/>
  <c r="AL39" i="1"/>
  <c r="AR37" i="1"/>
  <c r="AP38" i="1"/>
  <c r="AR38" i="1"/>
  <c r="AR40" i="1"/>
  <c r="AO40" i="1"/>
  <c r="AO35" i="1"/>
  <c r="AM36" i="1"/>
  <c r="AN34" i="1"/>
  <c r="AO38" i="1"/>
  <c r="AM35" i="1"/>
  <c r="AL36" i="1"/>
  <c r="AS40" i="1"/>
  <c r="AP36" i="1"/>
  <c r="AL37" i="1"/>
  <c r="AQ35" i="1"/>
  <c r="T4" i="2"/>
  <c r="X4" i="2" s="1"/>
  <c r="AN33" i="1"/>
  <c r="AQ36" i="1"/>
  <c r="AL34" i="1"/>
  <c r="BA34" i="1" s="1"/>
  <c r="AP34" i="1"/>
  <c r="AP40" i="1"/>
  <c r="AS36" i="1"/>
  <c r="AR39" i="1"/>
  <c r="AR34" i="1"/>
  <c r="AQ38" i="1"/>
  <c r="AS33" i="1"/>
  <c r="AS34" i="1"/>
  <c r="AS35" i="1"/>
  <c r="AQ39" i="1"/>
  <c r="AL40" i="1"/>
  <c r="AN36" i="1"/>
  <c r="AN40" i="1"/>
  <c r="AM38" i="1"/>
  <c r="AO36" i="1"/>
  <c r="AN38" i="1"/>
  <c r="AN35" i="1"/>
  <c r="BF17" i="1"/>
  <c r="AY14" i="1"/>
  <c r="AY16" i="1"/>
  <c r="BC14" i="1"/>
  <c r="BB17" i="1"/>
  <c r="BH17" i="1"/>
  <c r="BH14" i="1"/>
  <c r="BG14" i="1"/>
  <c r="BD17" i="1"/>
  <c r="AD16" i="9"/>
  <c r="AD18" i="9"/>
  <c r="BD14" i="1"/>
  <c r="BA17" i="1"/>
  <c r="BG17" i="1"/>
  <c r="AY17" i="1"/>
  <c r="AD14" i="9"/>
  <c r="AD15" i="9"/>
  <c r="AD8" i="9"/>
  <c r="AD10" i="9"/>
  <c r="AD5" i="9"/>
  <c r="AO39" i="1"/>
  <c r="AM39" i="1"/>
  <c r="AL38" i="1"/>
  <c r="AM40" i="1"/>
  <c r="AQ33" i="1"/>
  <c r="AO37" i="1"/>
  <c r="AY37" i="1" s="1"/>
  <c r="Y35" i="9"/>
  <c r="AD35" i="9" s="1"/>
  <c r="AB34" i="9"/>
  <c r="AC34" i="9" s="1"/>
  <c r="Y37" i="9"/>
  <c r="Y36" i="9"/>
  <c r="AD36" i="9" s="1"/>
  <c r="Y34" i="9"/>
  <c r="W29" i="9"/>
  <c r="W28" i="9"/>
  <c r="W26" i="9"/>
  <c r="W25" i="9"/>
  <c r="W24" i="9"/>
  <c r="W27" i="9"/>
  <c r="W30" i="9"/>
  <c r="BB34" i="1"/>
  <c r="AB38" i="9"/>
  <c r="AC38" i="9" s="1"/>
  <c r="AD38" i="9" s="1"/>
  <c r="AB40" i="9"/>
  <c r="AC40" i="9" s="1"/>
  <c r="AG23" i="1"/>
  <c r="AM23" i="1" s="1"/>
  <c r="Y39" i="9"/>
  <c r="AD39" i="9" s="1"/>
  <c r="Y40" i="9"/>
  <c r="X29" i="9"/>
  <c r="Z25" i="9"/>
  <c r="AA25" i="9"/>
  <c r="AA27" i="9"/>
  <c r="Z27" i="9"/>
  <c r="AA29" i="9"/>
  <c r="Z29" i="9"/>
  <c r="X30" i="9"/>
  <c r="AA30" i="9"/>
  <c r="Z26" i="9"/>
  <c r="X25" i="9"/>
  <c r="X28" i="9"/>
  <c r="X24" i="9"/>
  <c r="X27" i="9"/>
  <c r="AA24" i="9"/>
  <c r="AA28" i="9"/>
  <c r="Z24" i="9"/>
  <c r="Z28" i="9"/>
  <c r="Z30" i="9"/>
  <c r="X26" i="9"/>
  <c r="AA26" i="9"/>
  <c r="AB37" i="9"/>
  <c r="AC37" i="9" s="1"/>
  <c r="CC2" i="1"/>
  <c r="J15" i="2" s="1"/>
  <c r="P30" i="1"/>
  <c r="N30" i="9" s="1"/>
  <c r="AE30" i="9" s="1"/>
  <c r="AF20" i="1"/>
  <c r="BG16" i="1" s="1"/>
  <c r="P28" i="1"/>
  <c r="N28" i="9" s="1"/>
  <c r="AE28" i="9" s="1"/>
  <c r="AF18" i="1"/>
  <c r="BC16" i="1" s="1"/>
  <c r="P26" i="1"/>
  <c r="N26" i="9" s="1"/>
  <c r="AE26" i="9" s="1"/>
  <c r="AF16" i="1"/>
  <c r="BG13" i="1" s="1"/>
  <c r="P24" i="1"/>
  <c r="N24" i="9" s="1"/>
  <c r="AE24" i="9" s="1"/>
  <c r="AF14" i="1"/>
  <c r="BC13" i="1" s="1"/>
  <c r="AF19" i="1"/>
  <c r="BE16" i="1" s="1"/>
  <c r="P29" i="1"/>
  <c r="N29" i="9" s="1"/>
  <c r="AE29" i="9" s="1"/>
  <c r="AF17" i="1"/>
  <c r="BA16" i="1" s="1"/>
  <c r="P27" i="1"/>
  <c r="N27" i="9" s="1"/>
  <c r="AE27" i="9" s="1"/>
  <c r="AF15" i="1"/>
  <c r="BE13" i="1" s="1"/>
  <c r="P25" i="1"/>
  <c r="N25" i="9" s="1"/>
  <c r="AE25" i="9" s="1"/>
  <c r="BY2" i="1"/>
  <c r="A25" i="2" s="1"/>
  <c r="BW2" i="1"/>
  <c r="A11" i="2" s="1"/>
  <c r="CA2" i="1"/>
  <c r="J1" i="2" s="1"/>
  <c r="BX2" i="1"/>
  <c r="A18" i="2" s="1"/>
  <c r="CB2" i="1"/>
  <c r="J8" i="2" s="1"/>
  <c r="Q3" i="1"/>
  <c r="AD34" i="9" l="1"/>
  <c r="BF37" i="1"/>
  <c r="BH37" i="1"/>
  <c r="AB24" i="9"/>
  <c r="AC24" i="9" s="1"/>
  <c r="BH34" i="1"/>
  <c r="BE34" i="1"/>
  <c r="BX6" i="1" s="1"/>
  <c r="B23" i="2" s="1"/>
  <c r="BA37" i="1"/>
  <c r="AD37" i="9"/>
  <c r="AD40" i="9"/>
  <c r="AY40" i="1"/>
  <c r="T19" i="2" s="1"/>
  <c r="X19" i="2" s="1"/>
  <c r="BF34" i="1"/>
  <c r="BG37" i="1"/>
  <c r="AY34" i="1"/>
  <c r="T13" i="2" s="1"/>
  <c r="X13" i="2" s="1"/>
  <c r="BC37" i="1"/>
  <c r="BB37" i="1"/>
  <c r="BE37" i="1"/>
  <c r="BD34" i="1"/>
  <c r="BG34" i="1"/>
  <c r="BC34" i="1"/>
  <c r="BD37" i="1"/>
  <c r="AY35" i="1"/>
  <c r="AY36" i="1"/>
  <c r="AY38" i="1"/>
  <c r="AM30" i="1"/>
  <c r="AB28" i="9"/>
  <c r="AC28" i="9" s="1"/>
  <c r="AM24" i="1"/>
  <c r="AN27" i="1"/>
  <c r="A15" i="8"/>
  <c r="T16" i="2"/>
  <c r="X16" i="2" s="1"/>
  <c r="AO29" i="1"/>
  <c r="AO24" i="1"/>
  <c r="AL29" i="1"/>
  <c r="AY39" i="1"/>
  <c r="AN28" i="1"/>
  <c r="AO30" i="1"/>
  <c r="AO25" i="1"/>
  <c r="AM29" i="1"/>
  <c r="AN29" i="1"/>
  <c r="AL23" i="1"/>
  <c r="AL26" i="1"/>
  <c r="AB26" i="9"/>
  <c r="AC26" i="9" s="1"/>
  <c r="AL24" i="1"/>
  <c r="Y26" i="9"/>
  <c r="AB29" i="9"/>
  <c r="AC29" i="9" s="1"/>
  <c r="AB27" i="9"/>
  <c r="AC27" i="9" s="1"/>
  <c r="AB30" i="9"/>
  <c r="AC30" i="9" s="1"/>
  <c r="AB25" i="9"/>
  <c r="AC25" i="9" s="1"/>
  <c r="AO26" i="1"/>
  <c r="AR26" i="1"/>
  <c r="AR24" i="1"/>
  <c r="AP28" i="1"/>
  <c r="AQ24" i="1"/>
  <c r="AQ26" i="1"/>
  <c r="AP29" i="1"/>
  <c r="AP27" i="1"/>
  <c r="AS29" i="1"/>
  <c r="AQ29" i="1"/>
  <c r="AS25" i="1"/>
  <c r="AQ25" i="1"/>
  <c r="AS24" i="1"/>
  <c r="AP25" i="1"/>
  <c r="AR30" i="1"/>
  <c r="AQ30" i="1"/>
  <c r="AQ27" i="1"/>
  <c r="AR28" i="1"/>
  <c r="AQ28" i="1"/>
  <c r="AS28" i="1"/>
  <c r="AP24" i="1"/>
  <c r="AP26" i="1"/>
  <c r="AS26" i="1"/>
  <c r="AR25" i="1"/>
  <c r="AS27" i="1"/>
  <c r="AS30" i="1"/>
  <c r="AP30" i="1"/>
  <c r="AR27" i="1"/>
  <c r="AR29" i="1"/>
  <c r="AL28" i="1"/>
  <c r="AS23" i="1"/>
  <c r="Y30" i="9"/>
  <c r="AD30" i="9" s="1"/>
  <c r="Y24" i="9"/>
  <c r="AD24" i="9" s="1"/>
  <c r="Y29" i="9"/>
  <c r="AD29" i="9" s="1"/>
  <c r="C23" i="2"/>
  <c r="F23" i="2"/>
  <c r="AN30" i="1"/>
  <c r="AM28" i="1"/>
  <c r="AN24" i="1"/>
  <c r="AM26" i="1"/>
  <c r="AM25" i="1"/>
  <c r="AL30" i="1"/>
  <c r="AL27" i="1"/>
  <c r="AO23" i="1"/>
  <c r="AR23" i="1"/>
  <c r="Y27" i="9"/>
  <c r="Y25" i="9"/>
  <c r="AD25" i="9" s="1"/>
  <c r="Y28" i="9"/>
  <c r="AD28" i="9" s="1"/>
  <c r="AO27" i="1"/>
  <c r="AN25" i="1"/>
  <c r="AO28" i="1"/>
  <c r="AM27" i="1"/>
  <c r="AN26" i="1"/>
  <c r="AL25" i="1"/>
  <c r="AP23" i="1"/>
  <c r="AQ23" i="1"/>
  <c r="AN23" i="1"/>
  <c r="U10" i="1"/>
  <c r="U8" i="1"/>
  <c r="U6" i="1"/>
  <c r="U4" i="1"/>
  <c r="X5" i="1"/>
  <c r="X7" i="1"/>
  <c r="W10" i="1"/>
  <c r="V9" i="1"/>
  <c r="X9" i="1"/>
  <c r="V7" i="1"/>
  <c r="W6" i="1"/>
  <c r="W8" i="1"/>
  <c r="W4" i="1"/>
  <c r="V5" i="1"/>
  <c r="W3" i="1"/>
  <c r="V10" i="1"/>
  <c r="U3" i="1"/>
  <c r="AB3" i="1"/>
  <c r="X4" i="1"/>
  <c r="W7" i="1"/>
  <c r="Y3" i="1"/>
  <c r="U5" i="1"/>
  <c r="V3" i="1"/>
  <c r="W9" i="1"/>
  <c r="X6" i="1"/>
  <c r="AA3" i="1"/>
  <c r="V4" i="1"/>
  <c r="U7" i="1"/>
  <c r="X3" i="1"/>
  <c r="X8" i="1"/>
  <c r="V6" i="1"/>
  <c r="U9" i="1"/>
  <c r="Z3" i="1"/>
  <c r="X10" i="1"/>
  <c r="V8" i="1"/>
  <c r="W5" i="1"/>
  <c r="CC9" i="1"/>
  <c r="P35" i="1"/>
  <c r="AF25" i="1"/>
  <c r="BE23" i="1" s="1"/>
  <c r="P37" i="1"/>
  <c r="AF27" i="1"/>
  <c r="BA26" i="1" s="1"/>
  <c r="P39" i="1"/>
  <c r="AF29" i="1"/>
  <c r="BE26" i="1" s="1"/>
  <c r="P34" i="1"/>
  <c r="N34" i="9" s="1"/>
  <c r="AE34" i="9" s="1"/>
  <c r="AF24" i="1"/>
  <c r="BC23" i="1" s="1"/>
  <c r="P36" i="1"/>
  <c r="AF26" i="1"/>
  <c r="BG23" i="1" s="1"/>
  <c r="P38" i="1"/>
  <c r="AF28" i="1"/>
  <c r="BC26" i="1" s="1"/>
  <c r="P40" i="1"/>
  <c r="AF30" i="1"/>
  <c r="BG26" i="1" s="1"/>
  <c r="AH19" i="1"/>
  <c r="AH17" i="1"/>
  <c r="AH14" i="1"/>
  <c r="AH13" i="1"/>
  <c r="AH20" i="1"/>
  <c r="AH18" i="1"/>
  <c r="AH16" i="1"/>
  <c r="AH15" i="1"/>
  <c r="AH39" i="1"/>
  <c r="AH35" i="1"/>
  <c r="AH37" i="1"/>
  <c r="AH34" i="1"/>
  <c r="AH33" i="1"/>
  <c r="U4" i="2" s="1"/>
  <c r="AH40" i="1"/>
  <c r="AH38" i="1"/>
  <c r="AH36" i="1"/>
  <c r="AH27" i="1"/>
  <c r="AH24" i="1"/>
  <c r="AH23" i="1"/>
  <c r="AH30" i="1"/>
  <c r="AH28" i="1"/>
  <c r="AH26" i="1"/>
  <c r="AH29" i="1"/>
  <c r="AH25" i="1"/>
  <c r="AF34" i="1"/>
  <c r="BC33" i="1" s="1"/>
  <c r="BX9" i="1"/>
  <c r="CB9" i="1"/>
  <c r="BW9" i="1"/>
  <c r="BY9" i="1"/>
  <c r="CA9" i="1"/>
  <c r="BZ9" i="1"/>
  <c r="D23" i="2" l="1"/>
  <c r="AD27" i="9"/>
  <c r="A18" i="8"/>
  <c r="AY41" i="1"/>
  <c r="A12" i="8"/>
  <c r="A14" i="8"/>
  <c r="T15" i="2"/>
  <c r="X15" i="2" s="1"/>
  <c r="A13" i="8"/>
  <c r="T14" i="2"/>
  <c r="X14" i="2" s="1"/>
  <c r="A16" i="8"/>
  <c r="T17" i="2"/>
  <c r="X17" i="2" s="1"/>
  <c r="AY24" i="1"/>
  <c r="AY30" i="1"/>
  <c r="AY27" i="1"/>
  <c r="AY29" i="1"/>
  <c r="T18" i="2"/>
  <c r="X18" i="2" s="1"/>
  <c r="A17" i="8"/>
  <c r="BB24" i="1"/>
  <c r="AD26" i="9"/>
  <c r="BA24" i="1"/>
  <c r="AY25" i="1"/>
  <c r="AY26" i="1"/>
  <c r="AY28" i="1"/>
  <c r="BH27" i="1"/>
  <c r="BG27" i="1"/>
  <c r="BC24" i="1"/>
  <c r="BD24" i="1"/>
  <c r="BF27" i="1"/>
  <c r="BE27" i="1"/>
  <c r="BH24" i="1"/>
  <c r="BG24" i="1"/>
  <c r="BE24" i="1"/>
  <c r="BF24" i="1"/>
  <c r="BA27" i="1"/>
  <c r="BB27" i="1"/>
  <c r="BD27" i="1"/>
  <c r="BC27" i="1"/>
  <c r="AF40" i="1"/>
  <c r="BG36" i="1" s="1"/>
  <c r="N40" i="9"/>
  <c r="AE40" i="9" s="1"/>
  <c r="AF38" i="1"/>
  <c r="BC36" i="1" s="1"/>
  <c r="N38" i="9"/>
  <c r="AE38" i="9" s="1"/>
  <c r="AF36" i="1"/>
  <c r="BG33" i="1" s="1"/>
  <c r="N36" i="9"/>
  <c r="AE36" i="9" s="1"/>
  <c r="AF39" i="1"/>
  <c r="BE36" i="1" s="1"/>
  <c r="N39" i="9"/>
  <c r="AE39" i="9" s="1"/>
  <c r="AF37" i="1"/>
  <c r="BA36" i="1" s="1"/>
  <c r="N37" i="9"/>
  <c r="AE37" i="9" s="1"/>
  <c r="AF35" i="1"/>
  <c r="BE33" i="1" s="1"/>
  <c r="N35" i="9"/>
  <c r="AE35" i="9" s="1"/>
  <c r="AH3" i="1"/>
  <c r="AZ20" i="1"/>
  <c r="AG3" i="1"/>
  <c r="T8" i="2" l="1"/>
  <c r="X8" i="2" s="1"/>
  <c r="AY42" i="1"/>
  <c r="T9" i="2" s="1"/>
  <c r="X9" i="2" s="1"/>
  <c r="AR8" i="1"/>
  <c r="AR4" i="1"/>
  <c r="AR6" i="1"/>
  <c r="AP8" i="1"/>
  <c r="AQ6" i="1"/>
  <c r="AS4" i="1"/>
  <c r="AS8" i="1"/>
  <c r="AP6" i="1"/>
  <c r="AQ8" i="1"/>
  <c r="AS6" i="1"/>
  <c r="AP4" i="1"/>
  <c r="AQ4" i="1"/>
  <c r="AN10" i="1"/>
  <c r="AO6" i="1"/>
  <c r="AO7" i="1"/>
  <c r="AM10" i="1"/>
  <c r="AO8" i="1"/>
  <c r="AO10" i="1"/>
  <c r="AL8" i="1"/>
  <c r="AM7" i="1"/>
  <c r="AL5" i="1"/>
  <c r="AL9" i="1"/>
  <c r="AN5" i="1"/>
  <c r="AL10" i="1"/>
  <c r="AN6" i="1"/>
  <c r="AM8" i="1"/>
  <c r="AP5" i="1"/>
  <c r="AR5" i="1"/>
  <c r="AP7" i="1"/>
  <c r="AR7" i="1"/>
  <c r="AP9" i="1"/>
  <c r="AR9" i="1"/>
  <c r="AP10" i="1"/>
  <c r="AR10" i="1"/>
  <c r="AM5" i="1"/>
  <c r="AO5" i="1"/>
  <c r="AN8" i="1"/>
  <c r="AM9" i="1"/>
  <c r="AO9" i="1"/>
  <c r="AN4" i="1"/>
  <c r="AM4" i="1"/>
  <c r="AQ5" i="1"/>
  <c r="AS5" i="1"/>
  <c r="AQ7" i="1"/>
  <c r="AS7" i="1"/>
  <c r="AQ9" i="1"/>
  <c r="AS9" i="1"/>
  <c r="AQ10" i="1"/>
  <c r="AS10" i="1"/>
  <c r="AM6" i="1"/>
  <c r="AN7" i="1"/>
  <c r="AN9" i="1"/>
  <c r="AO4" i="1"/>
  <c r="AL4" i="1"/>
  <c r="AL6" i="1"/>
  <c r="AL7" i="1"/>
  <c r="AN3" i="1"/>
  <c r="AL3" i="1"/>
  <c r="AO3" i="1"/>
  <c r="AP3" i="1"/>
  <c r="AQ3" i="1"/>
  <c r="AR3" i="1"/>
  <c r="AS3" i="1"/>
  <c r="AM3" i="1"/>
  <c r="AZ34" i="1"/>
  <c r="U13" i="2" s="1"/>
  <c r="BW11" i="1"/>
  <c r="CB13" i="1"/>
  <c r="AZ26" i="1"/>
  <c r="AZ19" i="1"/>
  <c r="CC13" i="1"/>
  <c r="BY6" i="1"/>
  <c r="B30" i="2" s="1"/>
  <c r="BW6" i="1"/>
  <c r="B16" i="2" s="1"/>
  <c r="AZ36" i="1"/>
  <c r="U15" i="2" s="1"/>
  <c r="AZ39" i="1"/>
  <c r="U18" i="2" s="1"/>
  <c r="CB6" i="1"/>
  <c r="K13" i="2" s="1"/>
  <c r="BW13" i="1"/>
  <c r="CC6" i="1"/>
  <c r="K20" i="2" s="1"/>
  <c r="AZ14" i="1"/>
  <c r="AZ15" i="1"/>
  <c r="BZ6" i="1"/>
  <c r="B37" i="2" s="1"/>
  <c r="AZ38" i="1"/>
  <c r="U17" i="2" s="1"/>
  <c r="CA13" i="1"/>
  <c r="AZ37" i="1"/>
  <c r="U16" i="2" s="1"/>
  <c r="BX13" i="1"/>
  <c r="CA6" i="1"/>
  <c r="K6" i="2" s="1"/>
  <c r="BZ13" i="1"/>
  <c r="CC5" i="1"/>
  <c r="K19" i="2" s="1"/>
  <c r="BW12" i="1"/>
  <c r="AZ28" i="1"/>
  <c r="AZ30" i="1"/>
  <c r="AZ24" i="1"/>
  <c r="AZ16" i="1"/>
  <c r="BV13" i="1"/>
  <c r="CC11" i="1"/>
  <c r="AZ18" i="1"/>
  <c r="AZ17" i="1"/>
  <c r="AZ40" i="1"/>
  <c r="U19" i="2" s="1"/>
  <c r="AZ35" i="1"/>
  <c r="U14" i="2" s="1"/>
  <c r="AZ27" i="1"/>
  <c r="CC12" i="1"/>
  <c r="AZ25" i="1"/>
  <c r="AZ29" i="1"/>
  <c r="BY13" i="1"/>
  <c r="T5" i="2" l="1"/>
  <c r="A9" i="8"/>
  <c r="BW20" i="1"/>
  <c r="BV20" i="1"/>
  <c r="O19" i="2"/>
  <c r="O6" i="2"/>
  <c r="O20" i="2"/>
  <c r="O13" i="2"/>
  <c r="F37" i="2"/>
  <c r="F16" i="2"/>
  <c r="F30" i="2"/>
  <c r="L19" i="2"/>
  <c r="L13" i="2"/>
  <c r="L20" i="2"/>
  <c r="C30" i="2"/>
  <c r="C37" i="2"/>
  <c r="C16" i="2"/>
  <c r="AY6" i="1"/>
  <c r="AY10" i="1"/>
  <c r="BH4" i="1"/>
  <c r="BY10" i="1" s="1"/>
  <c r="BG4" i="1"/>
  <c r="BY3" i="1" s="1"/>
  <c r="B27" i="2" s="1"/>
  <c r="BD7" i="1"/>
  <c r="CA10" i="1" s="1"/>
  <c r="BC7" i="1"/>
  <c r="AY7" i="1"/>
  <c r="AY8" i="1"/>
  <c r="BD4" i="1"/>
  <c r="BW10" i="1" s="1"/>
  <c r="BC4" i="1"/>
  <c r="AY9" i="1"/>
  <c r="AY4" i="1"/>
  <c r="AY5" i="1"/>
  <c r="BH7" i="1"/>
  <c r="CC10" i="1" s="1"/>
  <c r="BG7" i="1"/>
  <c r="BF7" i="1"/>
  <c r="CB10" i="1" s="1"/>
  <c r="BE7" i="1"/>
  <c r="BB7" i="1"/>
  <c r="BZ10" i="1" s="1"/>
  <c r="BA7" i="1"/>
  <c r="BF4" i="1"/>
  <c r="BX10" i="1" s="1"/>
  <c r="BE4" i="1"/>
  <c r="CC4" i="1"/>
  <c r="K18" i="2" s="1"/>
  <c r="AZ5" i="1"/>
  <c r="AZ8" i="1"/>
  <c r="AZ7" i="1"/>
  <c r="AZ6" i="1"/>
  <c r="AZ9" i="1"/>
  <c r="AZ4" i="1"/>
  <c r="AZ10" i="1"/>
  <c r="BA4" i="1"/>
  <c r="BB4" i="1"/>
  <c r="BV10" i="1" s="1"/>
  <c r="BZ12" i="1"/>
  <c r="BW5" i="1"/>
  <c r="B15" i="2" s="1"/>
  <c r="BV11" i="1"/>
  <c r="BW4" i="1"/>
  <c r="B14" i="2" s="1"/>
  <c r="BZ5" i="1"/>
  <c r="B36" i="2" s="1"/>
  <c r="BX5" i="1"/>
  <c r="B22" i="2" s="1"/>
  <c r="CB5" i="1"/>
  <c r="K12" i="2" s="1"/>
  <c r="BX11" i="1"/>
  <c r="BV12" i="1"/>
  <c r="CB11" i="1"/>
  <c r="CB4" i="1"/>
  <c r="K11" i="2" s="1"/>
  <c r="CB12" i="1"/>
  <c r="BY11" i="1"/>
  <c r="BY4" i="1"/>
  <c r="B28" i="2" s="1"/>
  <c r="BX4" i="1"/>
  <c r="B21" i="2" s="1"/>
  <c r="BX12" i="1"/>
  <c r="CA12" i="1"/>
  <c r="CA5" i="1"/>
  <c r="K5" i="2" s="1"/>
  <c r="BZ11" i="1"/>
  <c r="BZ4" i="1"/>
  <c r="B35" i="2" s="1"/>
  <c r="CA11" i="1"/>
  <c r="CA4" i="1"/>
  <c r="K4" i="2" s="1"/>
  <c r="BY12" i="1"/>
  <c r="BY5" i="1"/>
  <c r="B29" i="2" s="1"/>
  <c r="E16" i="2" l="1"/>
  <c r="E30" i="2"/>
  <c r="N13" i="2"/>
  <c r="N20" i="2"/>
  <c r="M19" i="2"/>
  <c r="BW17" i="1"/>
  <c r="BV17" i="1"/>
  <c r="X5" i="2"/>
  <c r="E23" i="2"/>
  <c r="BW19" i="1"/>
  <c r="BV19" i="1"/>
  <c r="N19" i="2" s="1"/>
  <c r="BW18" i="1"/>
  <c r="BV18" i="1"/>
  <c r="E37" i="2"/>
  <c r="M20" i="2"/>
  <c r="O4" i="2"/>
  <c r="O5" i="2"/>
  <c r="M13" i="2"/>
  <c r="O11" i="2"/>
  <c r="O12" i="2"/>
  <c r="O18" i="2"/>
  <c r="D30" i="2"/>
  <c r="F21" i="2"/>
  <c r="F36" i="2"/>
  <c r="F27" i="2"/>
  <c r="D37" i="2"/>
  <c r="F29" i="2"/>
  <c r="F35" i="2"/>
  <c r="F28" i="2"/>
  <c r="F22" i="2"/>
  <c r="F14" i="2"/>
  <c r="F15" i="2"/>
  <c r="D16" i="2"/>
  <c r="L11" i="2"/>
  <c r="L12" i="2"/>
  <c r="N12" i="2" s="1"/>
  <c r="L18" i="2"/>
  <c r="C29" i="2"/>
  <c r="E29" i="2" s="1"/>
  <c r="C35" i="2"/>
  <c r="C28" i="2"/>
  <c r="C22" i="2"/>
  <c r="C14" i="2"/>
  <c r="E14" i="2" s="1"/>
  <c r="C15" i="2"/>
  <c r="C21" i="2"/>
  <c r="C36" i="2"/>
  <c r="C27" i="2"/>
  <c r="CA3" i="1"/>
  <c r="K3" i="2" s="1"/>
  <c r="BW3" i="1"/>
  <c r="B13" i="2" s="1"/>
  <c r="F13" i="2" s="1"/>
  <c r="CC3" i="1"/>
  <c r="K17" i="2" s="1"/>
  <c r="CB3" i="1"/>
  <c r="K10" i="2" s="1"/>
  <c r="BZ3" i="1"/>
  <c r="B34" i="2" s="1"/>
  <c r="BX3" i="1"/>
  <c r="B20" i="2" s="1"/>
  <c r="E15" i="2" l="1"/>
  <c r="N18" i="2"/>
  <c r="N11" i="2"/>
  <c r="E36" i="2"/>
  <c r="E22" i="2"/>
  <c r="O17" i="2"/>
  <c r="O3" i="2"/>
  <c r="D35" i="2"/>
  <c r="E35" i="2"/>
  <c r="O10" i="2"/>
  <c r="D27" i="2"/>
  <c r="E27" i="2"/>
  <c r="D21" i="2"/>
  <c r="E21" i="2"/>
  <c r="D28" i="2"/>
  <c r="E28" i="2"/>
  <c r="M18" i="2"/>
  <c r="M12" i="2"/>
  <c r="M11" i="2"/>
  <c r="D29" i="2"/>
  <c r="F34" i="2"/>
  <c r="D22" i="2"/>
  <c r="D36" i="2"/>
  <c r="F20" i="2"/>
  <c r="D14" i="2"/>
  <c r="D15" i="2"/>
  <c r="L17" i="2"/>
  <c r="N17" i="2" s="1"/>
  <c r="L10" i="2"/>
  <c r="N10" i="2" s="1"/>
  <c r="C34" i="2"/>
  <c r="E34" i="2" s="1"/>
  <c r="C20" i="2"/>
  <c r="C13" i="2"/>
  <c r="E13" i="2" s="1"/>
  <c r="M17" i="2" l="1"/>
  <c r="D20" i="2"/>
  <c r="E20" i="2"/>
  <c r="M10" i="2"/>
  <c r="D34" i="2"/>
  <c r="D13" i="2"/>
  <c r="L6" i="2"/>
  <c r="L5" i="2"/>
  <c r="L4" i="2"/>
  <c r="L3" i="2"/>
  <c r="N4" i="2" l="1"/>
  <c r="M4" i="2"/>
  <c r="N6" i="2"/>
  <c r="M6" i="2"/>
  <c r="N3" i="2"/>
  <c r="M3" i="2"/>
  <c r="N5" i="2"/>
  <c r="M5" i="2"/>
</calcChain>
</file>

<file path=xl/sharedStrings.xml><?xml version="1.0" encoding="utf-8"?>
<sst xmlns="http://schemas.openxmlformats.org/spreadsheetml/2006/main" count="1011" uniqueCount="258">
  <si>
    <t>A</t>
  </si>
  <si>
    <t>B</t>
  </si>
  <si>
    <t>C</t>
  </si>
  <si>
    <t>D</t>
  </si>
  <si>
    <t>E</t>
  </si>
  <si>
    <t>F</t>
  </si>
  <si>
    <t>G</t>
  </si>
  <si>
    <t>H</t>
  </si>
  <si>
    <t>5 min</t>
  </si>
  <si>
    <t>NC</t>
  </si>
  <si>
    <t>20 min</t>
  </si>
  <si>
    <t>35 min</t>
  </si>
  <si>
    <t>50 min</t>
  </si>
  <si>
    <t>SD</t>
  </si>
  <si>
    <t>Mean Blank</t>
  </si>
  <si>
    <t>Mean PC</t>
  </si>
  <si>
    <t>PC SD</t>
  </si>
  <si>
    <t>Time</t>
  </si>
  <si>
    <t>Blank Subtracted</t>
  </si>
  <si>
    <t>Compound</t>
  </si>
  <si>
    <t>Mean</t>
  </si>
  <si>
    <t>Positive Control</t>
  </si>
  <si>
    <t>Mean % Depletion</t>
  </si>
  <si>
    <t>Mean SD</t>
  </si>
  <si>
    <t>-</t>
  </si>
  <si>
    <t>Conc (mM)</t>
  </si>
  <si>
    <t>Study Date:</t>
  </si>
  <si>
    <t>Study Name:</t>
  </si>
  <si>
    <t>Time (min)</t>
  </si>
  <si>
    <t>Date:</t>
  </si>
  <si>
    <t>Reviewer:</t>
  </si>
  <si>
    <t>Percent SD of the NC</t>
  </si>
  <si>
    <t>NC and PC Blank - (Column 1)</t>
  </si>
  <si>
    <t>% Depletion (calculated from blank subtracted data)</t>
  </si>
  <si>
    <t>Mean Corrected Data Analysis</t>
  </si>
  <si>
    <t>Analyst:</t>
  </si>
  <si>
    <t>Blanks</t>
  </si>
  <si>
    <t>The mean data for the PC, NC and TCs are calculated in this section</t>
  </si>
  <si>
    <t>Reporting Data</t>
  </si>
  <si>
    <t>Example of the plate design and coloration.</t>
  </si>
  <si>
    <t>Study Name / Number:</t>
  </si>
  <si>
    <t>Analytical Wavelength:</t>
  </si>
  <si>
    <t>Compounds</t>
  </si>
  <si>
    <t>Name</t>
  </si>
  <si>
    <t>Study Notes:</t>
  </si>
  <si>
    <t>After entering the compounds name, they should populate the rest of the spreadsheet automatically.</t>
  </si>
  <si>
    <t>The average for the NC / PC blank and TC blanks are calculated in column Q.</t>
  </si>
  <si>
    <t>In this section, the data is blank subtracted (or corrected).</t>
  </si>
  <si>
    <t>This section depicts the data in table and graphs.  The graphs represent the PC over time and the compounds relative depletion over time.</t>
  </si>
  <si>
    <t xml:space="preserve">The tables represents the mean percent depletion and standard deviations over time. </t>
  </si>
  <si>
    <t>Data from the blanks are replaced by a "-" in this section and subsequent sections.</t>
  </si>
  <si>
    <t>Concentration Tested (mg/mL, mM, etc.)</t>
  </si>
  <si>
    <t>TC Replicates (min n=3)</t>
  </si>
  <si>
    <t>TC Blanks (min n=2)</t>
  </si>
  <si>
    <t>n =</t>
  </si>
  <si>
    <t>n</t>
  </si>
  <si>
    <t>Pass/Fail</t>
  </si>
  <si>
    <t>QC Report</t>
  </si>
  <si>
    <t>NC/PC Blank</t>
  </si>
  <si>
    <t>Negative Control</t>
  </si>
  <si>
    <t>680 nm Outlier Test</t>
  </si>
  <si>
    <t>Blank</t>
  </si>
  <si>
    <t>Minimum (n)</t>
  </si>
  <si>
    <t>Pass Fail</t>
  </si>
  <si>
    <t>TC Replicates (min = 3)</t>
  </si>
  <si>
    <t>TC Blank (min = 2)</t>
  </si>
  <si>
    <t>Data taken from the 50 minute data set</t>
  </si>
  <si>
    <t>Reading</t>
  </si>
  <si>
    <t>Study Data with 680 nm Outliers removed</t>
  </si>
  <si>
    <t>680 nm (Bubble) outlier test - remove all data highlighted in red.  The same wells will be automatically removed throughout the workbook.</t>
  </si>
  <si>
    <t>Midpoint:</t>
  </si>
  <si>
    <t>5xSD</t>
  </si>
  <si>
    <t>Raw data with 680 nm outliers removed</t>
  </si>
  <si>
    <t>NC/PC Blanks (n)</t>
  </si>
  <si>
    <t>p-value</t>
  </si>
  <si>
    <t>NC/PC Blank - 1SD or TC Blanks + 1SD</t>
  </si>
  <si>
    <t>Below NC/PC Blank Check</t>
  </si>
  <si>
    <t>T-Test</t>
  </si>
  <si>
    <t>Example:</t>
  </si>
  <si>
    <t>p-limit (0.05/n)</t>
  </si>
  <si>
    <t>TCs Tested (n)</t>
  </si>
  <si>
    <t>Percent Depletion</t>
  </si>
  <si>
    <t>Midpoint</t>
  </si>
  <si>
    <t>Calculation</t>
  </si>
  <si>
    <t>Upper Limit</t>
  </si>
  <si>
    <t>Lower Limit</t>
  </si>
  <si>
    <t>Concentration:</t>
  </si>
  <si>
    <t>Physical Outlier removal</t>
  </si>
  <si>
    <t>No Interference Detected</t>
  </si>
  <si>
    <t>Interference Detected</t>
  </si>
  <si>
    <t>Potential Interference Detected, reading below NC/PC Blank</t>
  </si>
  <si>
    <t>This section populates calculates automatically.  Data from this section is use in the QC charts.</t>
  </si>
  <si>
    <t>NBT Report tab</t>
  </si>
  <si>
    <t>Study name and data should populate automatically</t>
  </si>
  <si>
    <t>The interference tab will populate automatically.  This tab will let you know if the compounds interfered with the test wavelength.</t>
  </si>
  <si>
    <t>The % depletion is calculated from each corrected data point divided by the mean of the corrected NC.</t>
  </si>
  <si>
    <t>Minimum Acceptable wells for passing</t>
  </si>
  <si>
    <t>Minimum n = 2</t>
  </si>
  <si>
    <t>Minimum n = 3</t>
  </si>
  <si>
    <t xml:space="preserve">Blank:  </t>
  </si>
  <si>
    <t xml:space="preserve">Negative Control (NC):  </t>
  </si>
  <si>
    <t xml:space="preserve">Positive Control (PC):  </t>
  </si>
  <si>
    <t xml:space="preserve">Test Compounds Replicates:  </t>
  </si>
  <si>
    <t xml:space="preserve">Test Compound Blanks (TC Blanks):  </t>
  </si>
  <si>
    <t>Make sure the compounds are all labeled properly and all notes taken are also copied.</t>
  </si>
  <si>
    <t>a</t>
  </si>
  <si>
    <t>b</t>
  </si>
  <si>
    <t>c</t>
  </si>
  <si>
    <t>d</t>
  </si>
  <si>
    <t>e</t>
  </si>
  <si>
    <t>f</t>
  </si>
  <si>
    <t>View of QC Report on Report tab</t>
  </si>
  <si>
    <t>The section of data copied from the EASA QC QC Chart, "QC Report Copy Data" tab.</t>
  </si>
  <si>
    <t>Forecast IC50:</t>
  </si>
  <si>
    <t>Forecast IC50 (mM)</t>
  </si>
  <si>
    <t>Copy data from the EASA QC Chart under tab "QC Report Copy Data" into the report tab (Cell P2)</t>
  </si>
  <si>
    <t>Section highlighted in red is used for the QC Charts</t>
  </si>
  <si>
    <t>QC Chart Data</t>
  </si>
  <si>
    <t>If the compounds are labeled in the Raw Data sheet, as in the example above in column O3 - O9, the compound names will populate automatically.</t>
  </si>
  <si>
    <t>Next a t-test is used (Columns T - V) to assess interference, based on the mean NC/PC blank and TC blanks, using the Excel formula {=T.Test(x,x,x)}. If the p-value (Col U) is less than the p-limit (Col V) OR the adjusted TC blank is less than the adjusted NC/PC blank, “Interference Detected” is shown in Col W, as a yellow highlight, otherwise “No Interference Detected” is shown in Col W, as a green highlight</t>
  </si>
  <si>
    <t xml:space="preserve">Copy and paste raw data from the Excel file produced by the plate reader into the Raw data tab in cell 1A.  </t>
  </si>
  <si>
    <r>
      <rPr>
        <b/>
        <u/>
        <sz val="11"/>
        <color theme="1"/>
        <rFont val="Calibri"/>
        <family val="2"/>
        <scheme val="minor"/>
      </rPr>
      <t>Note:</t>
    </r>
    <r>
      <rPr>
        <sz val="11"/>
        <color theme="1"/>
        <rFont val="Calibri"/>
        <family val="2"/>
        <scheme val="minor"/>
      </rPr>
      <t xml:space="preserve"> This may indicate a colored compound absorbing at 680 nm and may have no affect on the rest of the assay.</t>
    </r>
  </si>
  <si>
    <t>The physical outlier test may remove some wells from the final calculation.  If too many are removed, the plate fails and must be repeated.</t>
  </si>
  <si>
    <t>Laboratory:</t>
  </si>
  <si>
    <t>n/a</t>
  </si>
  <si>
    <r>
      <rPr>
        <sz val="11"/>
        <color theme="1"/>
        <rFont val="Calibri"/>
        <family val="2"/>
      </rPr>
      <t>●</t>
    </r>
    <r>
      <rPr>
        <sz val="8.8000000000000007"/>
        <color theme="1"/>
        <rFont val="Calibri"/>
        <family val="2"/>
      </rPr>
      <t xml:space="preserve"> </t>
    </r>
    <r>
      <rPr>
        <sz val="11"/>
        <color theme="1"/>
        <rFont val="Calibri"/>
        <family val="2"/>
        <scheme val="minor"/>
      </rPr>
      <t>Interference data is for regulatory purposes only, and has no baring on the positive or negative outcome of the assay.</t>
    </r>
  </si>
  <si>
    <t>● Interference data is for regulatory purposes only, and has no bearing on the positive or negative outcome of the assay.</t>
  </si>
  <si>
    <t>TC Mean</t>
  </si>
  <si>
    <t>TC SD</t>
  </si>
  <si>
    <t>TC Blank Mean</t>
  </si>
  <si>
    <t>TC Blank SD</t>
  </si>
  <si>
    <r>
      <rPr>
        <b/>
        <sz val="11"/>
        <color theme="1"/>
        <rFont val="Calibri"/>
        <family val="2"/>
        <scheme val="minor"/>
      </rPr>
      <t>Depletion</t>
    </r>
    <r>
      <rPr>
        <sz val="11"/>
        <color theme="1"/>
        <rFont val="Calibri"/>
        <family val="2"/>
        <scheme val="minor"/>
      </rPr>
      <t>: a positive result means there was depletion.                         (NC mean - NC/PC Blank) - (TC Mean - TC Blank Mean)</t>
    </r>
  </si>
  <si>
    <r>
      <rPr>
        <b/>
        <sz val="11"/>
        <color theme="1"/>
        <rFont val="Calibri"/>
        <family val="2"/>
        <scheme val="minor"/>
      </rPr>
      <t>T</t>
    </r>
    <r>
      <rPr>
        <sz val="11"/>
        <color theme="1"/>
        <rFont val="Calibri"/>
        <family val="2"/>
        <scheme val="minor"/>
      </rPr>
      <t xml:space="preserve"> = Depletion / Cumulative SE</t>
    </r>
  </si>
  <si>
    <t>Positive / Negative Result</t>
  </si>
  <si>
    <t>NC Mean</t>
  </si>
  <si>
    <t>NC SD</t>
  </si>
  <si>
    <t>NC/PC Blank Mean</t>
  </si>
  <si>
    <t>NC/PC Blank SD</t>
  </si>
  <si>
    <t>Blank (min n=6)</t>
  </si>
  <si>
    <t>NC (min n=12)</t>
  </si>
  <si>
    <t>NC - Negative Control</t>
  </si>
  <si>
    <t>S - NC/PC Blank</t>
  </si>
  <si>
    <t>TC - Test Compound</t>
  </si>
  <si>
    <t>sd - Standard Deviation</t>
  </si>
  <si>
    <r>
      <t>TC</t>
    </r>
    <r>
      <rPr>
        <sz val="6"/>
        <color theme="1"/>
        <rFont val="Calibri"/>
        <family val="2"/>
        <scheme val="minor"/>
      </rPr>
      <t>B</t>
    </r>
    <r>
      <rPr>
        <sz val="11"/>
        <color theme="1"/>
        <rFont val="Calibri"/>
        <family val="2"/>
        <scheme val="minor"/>
      </rPr>
      <t xml:space="preserve"> - Test Compound Blank</t>
    </r>
  </si>
  <si>
    <t xml:space="preserve">  </t>
  </si>
  <si>
    <t>A positive or negative call in the EASA assay is determined by 2 calculations:</t>
  </si>
  <si>
    <t>T-test Tab (continued)</t>
  </si>
  <si>
    <t>Positive and Negative Determination:</t>
  </si>
  <si>
    <t>Interference</t>
  </si>
  <si>
    <t>680 nm (Bubble) Outlier</t>
  </si>
  <si>
    <t>Study Information</t>
  </si>
  <si>
    <t>Raw Data</t>
  </si>
  <si>
    <t>This test is performed to determine if there is a physical reason to eliminate the data such as a bubble or precipitate in the well.  If a well turns red in the calculator, the data may be deleted from the study.</t>
  </si>
  <si>
    <t>Minimum n = 6</t>
  </si>
  <si>
    <t>Minimum n = 12</t>
  </si>
  <si>
    <t>If the Depletion is less than or equal to 0, the TC is negative in the EASA assay.</t>
  </si>
  <si>
    <t>If the T score for the TC is greater than the Critical Value, the TC is considered significantly different from the NC and a positive compound in the EASA assay.  Conversely, if the T score for the TC is less than the Critical Value, the TC is not significantly different than the NC and Negative in the EASA assay.</t>
  </si>
  <si>
    <t>Aggregate Uncertainty</t>
  </si>
  <si>
    <t>t-test Call</t>
  </si>
  <si>
    <t>NBT Depletion</t>
  </si>
  <si>
    <t>The blank for the NC and PC is in column 1 of the plate (column V of the NBT Depletion tab)</t>
  </si>
  <si>
    <t xml:space="preserve">The blank for the TCs are in columns 10 - 12 of the plate (Columns AE - AG of the NBT Depletion tab).  </t>
  </si>
  <si>
    <t>Benzyl bromide (PC) (min n=2)</t>
  </si>
  <si>
    <t>Benzyl bromide - Positive Control</t>
  </si>
  <si>
    <t>% Depletion</t>
  </si>
  <si>
    <t>R</t>
  </si>
  <si>
    <t>Critical Value 99.5% (0.005)</t>
  </si>
  <si>
    <t>PFP</t>
  </si>
  <si>
    <t>PFN</t>
  </si>
  <si>
    <t>2xSD</t>
  </si>
  <si>
    <t>PHI</t>
  </si>
  <si>
    <r>
      <t xml:space="preserve">Potential False Positive: </t>
    </r>
    <r>
      <rPr>
        <sz val="11"/>
        <color theme="1"/>
        <rFont val="Calibri"/>
        <family val="2"/>
        <scheme val="minor"/>
      </rPr>
      <t>Depletion &lt; 10% and a "Positive" t-test call</t>
    </r>
  </si>
  <si>
    <r>
      <t xml:space="preserve">Potential False Negative: </t>
    </r>
    <r>
      <rPr>
        <sz val="11"/>
        <color theme="1"/>
        <rFont val="Calibri"/>
        <family val="2"/>
        <scheme val="minor"/>
      </rPr>
      <t>Depletion &gt; 3% and a "Negative" t-test call</t>
    </r>
  </si>
  <si>
    <t>"-" repeats are not necessary</t>
  </si>
  <si>
    <t xml:space="preserve">PFP - </t>
  </si>
  <si>
    <t xml:space="preserve">PFN - </t>
  </si>
  <si>
    <t xml:space="preserve">PHI - </t>
  </si>
  <si>
    <t>Int - Interference Detected</t>
  </si>
  <si>
    <t>P-Int - Potential Interference, reading below NC/PC Blank</t>
  </si>
  <si>
    <t>No-Int - No Interference Detected</t>
  </si>
  <si>
    <t>or if there is a "Negative" t-test designation and the TC + 1SD &gt; 2SD of the NC</t>
  </si>
  <si>
    <t>The data in this tab are linked from the NBT Depletion tab.  Simply copy and paste this data into the EASA QC Chart in the appropriate tab.</t>
  </si>
  <si>
    <t>NBT EASA - Study Information</t>
  </si>
  <si>
    <t>NC/PC Blank (absorbance)</t>
  </si>
  <si>
    <t>Negative Control (absorbance)</t>
  </si>
  <si>
    <r>
      <t xml:space="preserve">Potential High Interference: </t>
    </r>
    <r>
      <rPr>
        <sz val="11"/>
        <color theme="1"/>
        <rFont val="Calibri"/>
        <family val="2"/>
        <scheme val="minor"/>
      </rPr>
      <t>Depletion &gt; 110% or &lt; -10%</t>
    </r>
  </si>
  <si>
    <t>Test Compounds:</t>
  </si>
  <si>
    <t>Reading:</t>
  </si>
  <si>
    <t>Test Compound:</t>
  </si>
  <si>
    <t>Test Compound</t>
  </si>
  <si>
    <t>First, potential interference that could lower the reading is tested for using 1 standard deviation cut off.  1 SD is subtracted form the NC/PC Blank and 1 SD is added to the TC Blank.  If the TC Blank is still lower than the NC/PC Blank, then it would be considered "Potential Interference, reading below NC/PC Blank" and highlighted in yellow</t>
  </si>
  <si>
    <t xml:space="preserve"> - Compound did not interfere at 412 nm</t>
  </si>
  <si>
    <t xml:space="preserve"> - Compound did interfere at 412 nm</t>
  </si>
  <si>
    <t xml:space="preserve"> - Compound did interfere at 412 nm, but the interference decreased the absorbance below that of the NC/PC Blank</t>
  </si>
  <si>
    <t>A t-test is conducted to determine positive and negative results.  Uncertainty in the NC, NC/PC Blank, TC, and TC Blank are taken into account.</t>
  </si>
  <si>
    <t>1.  If the Depletion is less than or equate to 0, the TC is negative in the EASA assay.</t>
  </si>
  <si>
    <r>
      <t xml:space="preserve">Welsh-Satterthwaite formula df </t>
    </r>
    <r>
      <rPr>
        <b/>
        <sz val="11"/>
        <color theme="1"/>
        <rFont val="Calibri"/>
        <family val="2"/>
        <scheme val="minor"/>
      </rPr>
      <t>numerator</t>
    </r>
  </si>
  <si>
    <r>
      <t xml:space="preserve">Welsh-Satterthwaite formula df </t>
    </r>
    <r>
      <rPr>
        <b/>
        <sz val="11"/>
        <color theme="1"/>
        <rFont val="Calibri"/>
        <family val="2"/>
        <scheme val="minor"/>
      </rPr>
      <t>denominator</t>
    </r>
  </si>
  <si>
    <r>
      <rPr>
        <sz val="11"/>
        <color theme="1"/>
        <rFont val="Calibri"/>
        <family val="2"/>
        <scheme val="minor"/>
      </rPr>
      <t xml:space="preserve">Welsh-Satterthwaite    </t>
    </r>
    <r>
      <rPr>
        <b/>
        <sz val="11"/>
        <color theme="1"/>
        <rFont val="Calibri"/>
        <family val="2"/>
        <scheme val="minor"/>
      </rPr>
      <t>df</t>
    </r>
  </si>
  <si>
    <r>
      <t xml:space="preserve">- </t>
    </r>
    <r>
      <rPr>
        <b/>
        <u/>
        <sz val="11"/>
        <color theme="1"/>
        <rFont val="Calibri"/>
        <family val="2"/>
        <scheme val="minor"/>
      </rPr>
      <t>For Regulatory Use</t>
    </r>
    <r>
      <rPr>
        <sz val="11"/>
        <color theme="1"/>
        <rFont val="Calibri"/>
        <family val="2"/>
        <scheme val="minor"/>
      </rPr>
      <t>: Recommend repeating 2 additional times (see protocol).  This value could be due to high interference or variability (uncertainty) in the test compound, test compounds  blanks, Negative controls, and/or negative control blanks.  Check the Depletion and T-test tabs data sets.</t>
    </r>
  </si>
  <si>
    <t>SD of NC % Depletion</t>
  </si>
  <si>
    <t>Interference Determination (5 min.)</t>
  </si>
  <si>
    <t>Interference Determination (20 min.)</t>
  </si>
  <si>
    <t>Interference Determination (35 min.)</t>
  </si>
  <si>
    <t>Interference Determination (50 min.)</t>
  </si>
  <si>
    <r>
      <t xml:space="preserve">= </t>
    </r>
    <r>
      <rPr>
        <b/>
        <sz val="11"/>
        <color theme="1"/>
        <rFont val="Symbol"/>
        <family val="1"/>
        <charset val="2"/>
      </rPr>
      <t>a</t>
    </r>
  </si>
  <si>
    <t>Enter study information (i.e. study name, date, compounds, concentration) in the "Study Information" tab.  Enter compound concentrations with "mM" or "mg/ml" designation.  Leave all compound concentration boxes with no compound completely blank.</t>
  </si>
  <si>
    <t xml:space="preserve">If a compounds readings are all higher than the limit of 0.08, the compounds data will not be eliminated from further calculations automatically.  </t>
  </si>
  <si>
    <t>All eliminations are automated.  Eliminated data will appear as a dark red boxes below the 680 nm data and throughout the workbook.</t>
  </si>
  <si>
    <t>Any elimination of data will remove the data throughout the rest of the workbook allowing for calculation to be made without error.</t>
  </si>
  <si>
    <t xml:space="preserve">In columns Q - W, the minimum number of wells for an acceptable assay is assessed.  </t>
  </si>
  <si>
    <t>n - number of replicates (or wells)</t>
  </si>
  <si>
    <t>The critical value is taken from the standard student t-test table calculated by Excel (T.INV.2T(0.01,df)).  If there is depletion and the T-Value is greater than the critical value at a 0.05 probability, then the compound is considered positive in the EASA assay.</t>
  </si>
  <si>
    <t>Q1</t>
  </si>
  <si>
    <t>Median (Q2)</t>
  </si>
  <si>
    <t>Q3</t>
  </si>
  <si>
    <t>IQR</t>
  </si>
  <si>
    <t>2B</t>
  </si>
  <si>
    <t>2C</t>
  </si>
  <si>
    <t>2D</t>
  </si>
  <si>
    <t>2E</t>
  </si>
  <si>
    <t>2F</t>
  </si>
  <si>
    <t>2G</t>
  </si>
  <si>
    <t>2H</t>
  </si>
  <si>
    <t>*** Note: A 680 nm (Bubble) test reading of above 0.085 indicates a high probability of an air bubble or precipitate forming in the well.  These data may need to be removed before calculation.  However if all of the data wells for a compound are higher than 0.085 (highlighted in red), this may be due to compound color and not a bubble or precipitate.  In these instances, the data should not be removed.</t>
  </si>
  <si>
    <t>Quartiles Outlier Blank-NC</t>
  </si>
  <si>
    <t xml:space="preserve">The NC/PC Blank and NC will be checked for outliers prior to placing data in the QC Charts.  The study will use the Excel function “Quartiles” to make any outlier determination.  </t>
  </si>
  <si>
    <t xml:space="preserve"> The data will be calculated using the Excel function “=QUARTILE.EXC(range,q)”. </t>
  </si>
  <si>
    <t>Upper Limit: Q3 + 1.5 x IQR</t>
  </si>
  <si>
    <t>Lower Limit: Q1 + 1.5 x IQR</t>
  </si>
  <si>
    <t>NC COV</t>
  </si>
  <si>
    <r>
      <t xml:space="preserve">* </t>
    </r>
    <r>
      <rPr>
        <b/>
        <u/>
        <sz val="11"/>
        <color theme="1"/>
        <rFont val="Calibri"/>
        <family val="2"/>
        <scheme val="minor"/>
      </rPr>
      <t>Note</t>
    </r>
    <r>
      <rPr>
        <b/>
        <sz val="11"/>
        <color theme="1"/>
        <rFont val="Calibri"/>
        <family val="2"/>
        <scheme val="minor"/>
      </rPr>
      <t>:</t>
    </r>
    <r>
      <rPr>
        <sz val="11"/>
        <color theme="1"/>
        <rFont val="Calibri"/>
        <family val="2"/>
        <scheme val="minor"/>
      </rPr>
      <t xml:space="preserve">  All QC Report parameters except Midpoint and Benzyl Bromide - Positive Control must pass.  Any "Fail" results in the: NC/PC Blank, NC, NC COV, or Frrecast IC50 and the plate fails QC requirement and must be repeated.</t>
    </r>
  </si>
  <si>
    <r>
      <rPr>
        <b/>
        <u/>
        <sz val="11"/>
        <color theme="1"/>
        <rFont val="Calibri"/>
        <family val="2"/>
        <scheme val="minor"/>
      </rPr>
      <t>Note</t>
    </r>
    <r>
      <rPr>
        <sz val="11"/>
        <color theme="1"/>
        <rFont val="Calibri"/>
        <family val="2"/>
        <scheme val="minor"/>
      </rPr>
      <t>:  If the Blank, Negative Control or any of the Positive Control parameters fail, then the plate fails and must be repeated.  If any of the compounds fail, that individual compounds fails and should be repeated.  However, if a compound fails, that failure only pertains to that compound.</t>
    </r>
  </si>
  <si>
    <t>If a reading is above 0.085 in the 680 nm data, that data point will be eliminated from further calculations in the workbook.</t>
  </si>
  <si>
    <t>2.  If the T score for the TC is greater than the Critical Value, the TC is considered significantly different from the NC and a positive compound in the EASA assay.  Conversely, if the T score for the TC is less than the Critical Value, the TC is not significantly different than the NC and negative in the EASA assay.</t>
  </si>
  <si>
    <r>
      <t xml:space="preserve">Solvent                 </t>
    </r>
    <r>
      <rPr>
        <b/>
        <sz val="8"/>
        <color theme="1"/>
        <rFont val="Calibri"/>
        <family val="2"/>
        <scheme val="minor"/>
      </rPr>
      <t>(ACN, SS, or PB)</t>
    </r>
  </si>
  <si>
    <t>Abs</t>
  </si>
  <si>
    <t>412 nm</t>
  </si>
  <si>
    <t>Probe - Abs or Fluor:</t>
  </si>
  <si>
    <t xml:space="preserve"> It is important to make sure any eliminations make sense scientifically, any colored compound (in particular red) will result in a higher reading and a red designation.  You may not want to eliminate these data.</t>
  </si>
  <si>
    <t>Bubble</t>
  </si>
  <si>
    <t>Bubble:680</t>
  </si>
  <si>
    <t>Tri-n-octylphospine oxide</t>
  </si>
  <si>
    <t>Dicyclohexylcarbodiimide</t>
  </si>
  <si>
    <t>Triethanolamine</t>
  </si>
  <si>
    <t>Pentaerythritol triacrylate</t>
  </si>
  <si>
    <t>Clarithromycin</t>
  </si>
  <si>
    <t>o-Benzyl-p-chlorophenol</t>
  </si>
  <si>
    <t>5-Amino-o-cresol</t>
  </si>
  <si>
    <t>read:412 Read#1</t>
  </si>
  <si>
    <t>read:412 Read#2</t>
  </si>
  <si>
    <t>read:412 Read#3</t>
  </si>
  <si>
    <t>read:412 Read#4</t>
  </si>
  <si>
    <t>Example 1</t>
  </si>
  <si>
    <t>Date</t>
  </si>
  <si>
    <t>10 mM</t>
  </si>
  <si>
    <t>ACN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</si>
</sst>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
    <numFmt numFmtId="166" formatCode="0.0"/>
    <numFmt numFmtId="167" formatCode="0.0000"/>
  </numFmts>
  <fonts count="26" x14ac:knownFonts="1">
    <font>
      <sz val="11"/>
      <color theme="1"/>
      <name val="Calibri"/>
      <family val="2"/>
      <scheme val="minor"/>
    </font>
    <font>
      <sz val="10"/>
      <color rgb="FF27413E"/>
      <name val="Arial"/>
      <family val="2"/>
    </font>
    <font>
      <sz val="10"/>
      <color rgb="FF000000"/>
      <name val="Arial"/>
      <family val="2"/>
    </font>
    <font>
      <sz val="7"/>
      <color rgb="FF000000"/>
      <name val="Arial"/>
      <family val="2"/>
    </font>
    <font>
      <sz val="11"/>
      <color theme="1"/>
      <name val="Calibri"/>
      <family val="2"/>
      <scheme val="minor"/>
    </font>
    <font>
      <b/>
      <sz val="11"/>
      <color theme="1"/>
      <name val="Calibri"/>
      <family val="2"/>
      <scheme val="minor"/>
    </font>
    <font>
      <sz val="11"/>
      <color rgb="FF000000"/>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9C6500"/>
      <name val="Calibri"/>
      <family val="2"/>
      <scheme val="minor"/>
    </font>
    <font>
      <b/>
      <sz val="18"/>
      <color theme="1"/>
      <name val="Calibri"/>
      <family val="2"/>
      <scheme val="minor"/>
    </font>
    <font>
      <sz val="6"/>
      <color theme="1"/>
      <name val="Calibri"/>
      <family val="2"/>
      <scheme val="minor"/>
    </font>
    <font>
      <b/>
      <sz val="9"/>
      <color theme="1"/>
      <name val="Calibri"/>
      <family val="2"/>
      <scheme val="minor"/>
    </font>
    <font>
      <b/>
      <sz val="10"/>
      <color theme="1"/>
      <name val="Calibri"/>
      <family val="2"/>
      <scheme val="minor"/>
    </font>
    <font>
      <sz val="10"/>
      <name val="Calibri"/>
      <family val="2"/>
      <scheme val="minor"/>
    </font>
    <font>
      <b/>
      <u/>
      <sz val="11"/>
      <color theme="1"/>
      <name val="Calibri"/>
      <family val="2"/>
      <scheme val="minor"/>
    </font>
    <font>
      <b/>
      <sz val="14"/>
      <color theme="1"/>
      <name val="Calibri"/>
      <family val="2"/>
      <scheme val="minor"/>
    </font>
    <font>
      <sz val="10"/>
      <color theme="1"/>
      <name val="Calibri"/>
      <family val="2"/>
      <scheme val="minor"/>
    </font>
    <font>
      <sz val="11"/>
      <color theme="1"/>
      <name val="Calibri"/>
      <family val="2"/>
    </font>
    <font>
      <sz val="8.8000000000000007"/>
      <color theme="1"/>
      <name val="Calibri"/>
      <family val="2"/>
    </font>
    <font>
      <b/>
      <sz val="16"/>
      <color theme="1"/>
      <name val="Calibri"/>
      <family val="2"/>
      <scheme val="minor"/>
    </font>
    <font>
      <b/>
      <sz val="11"/>
      <color rgb="FFFF0000"/>
      <name val="Calibri"/>
      <family val="2"/>
      <scheme val="minor"/>
    </font>
    <font>
      <u/>
      <sz val="11"/>
      <color theme="1"/>
      <name val="Calibri"/>
      <family val="2"/>
      <scheme val="minor"/>
    </font>
    <font>
      <b/>
      <sz val="11"/>
      <color theme="1"/>
      <name val="Symbol"/>
      <family val="1"/>
      <charset val="2"/>
    </font>
    <font>
      <b/>
      <sz val="8"/>
      <color theme="1"/>
      <name val="Calibri"/>
      <family val="2"/>
      <scheme val="minor"/>
    </font>
  </fonts>
  <fills count="46">
    <fill>
      <patternFill patternType="none"/>
    </fill>
    <fill>
      <patternFill patternType="gray125"/>
    </fill>
    <fill>
      <patternFill patternType="solid">
        <fgColor rgb="FF99CCFF"/>
        <bgColor indexed="64"/>
      </patternFill>
    </fill>
    <fill>
      <patternFill patternType="solid">
        <fgColor rgb="FFE8F3FF"/>
        <bgColor indexed="64"/>
      </patternFill>
    </fill>
    <fill>
      <patternFill patternType="solid">
        <fgColor rgb="FFFFFF00"/>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4" tint="0.39997558519241921"/>
        <bgColor indexed="64"/>
      </patternFill>
    </fill>
    <fill>
      <patternFill patternType="solid">
        <fgColor rgb="FFFF99FF"/>
        <bgColor indexed="64"/>
      </patternFill>
    </fill>
    <fill>
      <patternFill patternType="solid">
        <fgColor theme="9" tint="0.79998168889431442"/>
        <bgColor indexed="64"/>
      </patternFill>
    </fill>
    <fill>
      <patternFill patternType="solid">
        <fgColor theme="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0.34998626667073579"/>
        <bgColor indexed="64"/>
      </patternFill>
    </fill>
    <fill>
      <patternFill patternType="solid">
        <fgColor rgb="FFFF66FF"/>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6" tint="0.79998168889431442"/>
        <bgColor indexed="64"/>
      </patternFill>
    </fill>
    <fill>
      <patternFill patternType="solid">
        <fgColor rgb="FFFFFF99"/>
        <bgColor indexed="64"/>
      </patternFill>
    </fill>
    <fill>
      <patternFill patternType="solid">
        <fgColor theme="9" tint="0.59999389629810485"/>
        <bgColor indexed="64"/>
      </patternFill>
    </fill>
    <fill>
      <patternFill patternType="solid">
        <fgColor theme="2"/>
        <bgColor indexed="64"/>
      </patternFill>
    </fill>
    <fill>
      <patternFill patternType="solid">
        <fgColor rgb="FFC9E0F4"/>
        <bgColor indexed="64"/>
      </patternFill>
    </fill>
    <fill>
      <patternFill patternType="solid">
        <fgColor rgb="FFD8E9F9"/>
        <bgColor indexed="64"/>
      </patternFill>
    </fill>
    <fill>
      <patternFill patternType="solid">
        <fgColor rgb="FFABCEEA"/>
        <bgColor indexed="64"/>
      </patternFill>
    </fill>
    <fill>
      <patternFill patternType="solid">
        <fgColor rgb="FF8DBCE0"/>
        <bgColor indexed="64"/>
      </patternFill>
    </fill>
    <fill>
      <patternFill patternType="solid">
        <fgColor rgb="FFBAD7EF"/>
        <bgColor indexed="64"/>
      </patternFill>
    </fill>
    <fill>
      <patternFill patternType="solid">
        <fgColor rgb="FF9CC5E5"/>
        <bgColor indexed="64"/>
      </patternFill>
    </fill>
    <fill>
      <patternFill patternType="solid">
        <fgColor rgb="FF247CBD"/>
        <bgColor indexed="64"/>
      </patternFill>
    </fill>
    <fill>
      <patternFill patternType="solid">
        <fgColor rgb="FF7EB2DB"/>
        <bgColor indexed="64"/>
      </patternFill>
    </fill>
    <fill>
      <patternFill patternType="solid">
        <fgColor rgb="FF428EC7"/>
        <bgColor indexed="64"/>
      </patternFill>
    </fill>
    <fill>
      <patternFill patternType="solid">
        <fgColor rgb="FF6FA9D6"/>
        <bgColor indexed="64"/>
      </patternFill>
    </fill>
    <fill>
      <patternFill patternType="solid">
        <fgColor rgb="FF60A0D1"/>
        <bgColor indexed="64"/>
      </patternFill>
    </fill>
    <fill>
      <patternFill patternType="solid">
        <fgColor rgb="FF5197CC"/>
        <bgColor indexed="64"/>
      </patternFill>
    </fill>
    <fill>
      <patternFill patternType="solid">
        <fgColor rgb="FF3385C2"/>
        <bgColor indexed="64"/>
      </patternFill>
    </fill>
  </fills>
  <borders count="8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ck">
        <color rgb="FFFF0000"/>
      </left>
      <right style="thick">
        <color rgb="FFFF0000"/>
      </right>
      <top style="thin">
        <color rgb="FF000000"/>
      </top>
      <bottom style="thin">
        <color rgb="FF000000"/>
      </bottom>
      <diagonal/>
    </border>
    <border>
      <left style="thick">
        <color rgb="FFFF0000"/>
      </left>
      <right style="thick">
        <color rgb="FFFF0000"/>
      </right>
      <top style="thin">
        <color rgb="FF000000"/>
      </top>
      <bottom style="thick">
        <color rgb="FFFF0000"/>
      </bottom>
      <diagonal/>
    </border>
    <border>
      <left style="thin">
        <color rgb="FF000000"/>
      </left>
      <right style="thick">
        <color rgb="FFFF0000"/>
      </right>
      <top style="thick">
        <color rgb="FFFF0000"/>
      </top>
      <bottom style="thick">
        <color rgb="FFFF0000"/>
      </bottom>
      <diagonal/>
    </border>
    <border>
      <left style="thin">
        <color rgb="FF000000"/>
      </left>
      <right style="thin">
        <color rgb="FF000000"/>
      </right>
      <top style="thick">
        <color rgb="FFFF0000"/>
      </top>
      <bottom style="thick">
        <color rgb="FFFF0000"/>
      </bottom>
      <diagonal/>
    </border>
    <border>
      <left style="thick">
        <color rgb="FFFF0000"/>
      </left>
      <right style="thin">
        <color rgb="FF000000"/>
      </right>
      <top style="thick">
        <color rgb="FFFF0000"/>
      </top>
      <bottom style="thin">
        <color rgb="FF000000"/>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bottom style="thin">
        <color indexed="64"/>
      </bottom>
      <diagonal/>
    </border>
    <border>
      <left style="thick">
        <color rgb="FFFF0000"/>
      </left>
      <right style="thick">
        <color rgb="FFFF0000"/>
      </right>
      <top/>
      <bottom style="thick">
        <color rgb="FFFF0000"/>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right style="thin">
        <color indexed="64"/>
      </right>
      <top/>
      <bottom/>
      <diagonal/>
    </border>
    <border>
      <left style="thick">
        <color rgb="FFFF0000"/>
      </left>
      <right style="thick">
        <color rgb="FFFF0000"/>
      </right>
      <top style="thick">
        <color rgb="FFFF0000"/>
      </top>
      <bottom style="thin">
        <color theme="1"/>
      </bottom>
      <diagonal/>
    </border>
    <border>
      <left style="thick">
        <color rgb="FFFF0000"/>
      </left>
      <right style="thick">
        <color rgb="FFFF0000"/>
      </right>
      <top style="thin">
        <color theme="1"/>
      </top>
      <bottom style="thin">
        <color theme="1"/>
      </bottom>
      <diagonal/>
    </border>
    <border>
      <left style="thick">
        <color rgb="FFFF0000"/>
      </left>
      <right style="thick">
        <color rgb="FFFF0000"/>
      </right>
      <top style="thin">
        <color theme="1"/>
      </top>
      <bottom style="thick">
        <color rgb="FFFF0000"/>
      </bottom>
      <diagonal/>
    </border>
  </borders>
  <cellStyleXfs count="5">
    <xf numFmtId="0" fontId="0" fillId="0" borderId="0"/>
    <xf numFmtId="9" fontId="4" fillId="0" borderId="0" applyFont="0" applyFill="0" applyBorder="0" applyAlignment="0" applyProtection="0"/>
    <xf numFmtId="0" fontId="7" fillId="17" borderId="0" applyNumberFormat="0" applyBorder="0" applyAlignment="0" applyProtection="0"/>
    <xf numFmtId="0" fontId="8" fillId="18" borderId="0" applyNumberFormat="0" applyBorder="0" applyAlignment="0" applyProtection="0"/>
    <xf numFmtId="0" fontId="9" fillId="19" borderId="0" applyNumberFormat="0" applyBorder="0" applyAlignment="0" applyProtection="0"/>
  </cellStyleXfs>
  <cellXfs count="706">
    <xf numFmtId="0" fontId="0" fillId="0" borderId="0" xfId="0"/>
    <xf numFmtId="0" fontId="0" fillId="0" borderId="0" xfId="0" applyAlignment="1">
      <alignment horizontal="center"/>
    </xf>
    <xf numFmtId="0" fontId="5" fillId="0" borderId="0" xfId="0" applyFont="1"/>
    <xf numFmtId="0" fontId="0" fillId="0" borderId="36" xfId="0" applyBorder="1"/>
    <xf numFmtId="0" fontId="0" fillId="0" borderId="0" xfId="0" applyAlignment="1">
      <alignment horizontal="right"/>
    </xf>
    <xf numFmtId="0" fontId="5" fillId="0" borderId="0" xfId="0" applyFont="1" applyAlignment="1">
      <alignment horizontal="left"/>
    </xf>
    <xf numFmtId="0" fontId="5" fillId="0" borderId="0" xfId="0" applyFont="1" applyAlignment="1">
      <alignment horizontal="center"/>
    </xf>
    <xf numFmtId="0" fontId="5" fillId="0" borderId="0" xfId="0" applyFont="1" applyAlignment="1">
      <alignment horizontal="center"/>
    </xf>
    <xf numFmtId="0" fontId="11" fillId="0" borderId="0" xfId="0" applyFont="1"/>
    <xf numFmtId="0" fontId="5" fillId="0" borderId="36" xfId="0" applyFont="1" applyBorder="1"/>
    <xf numFmtId="0" fontId="11" fillId="0" borderId="0" xfId="0" applyFont="1" applyAlignment="1">
      <alignment horizontal="left"/>
    </xf>
    <xf numFmtId="0" fontId="5" fillId="0" borderId="7" xfId="0" applyFont="1" applyBorder="1" applyAlignment="1">
      <alignment horizontal="center" vertical="center"/>
    </xf>
    <xf numFmtId="0" fontId="5" fillId="0" borderId="7" xfId="0" applyFont="1" applyBorder="1" applyAlignment="1">
      <alignment horizontal="center" vertical="center" wrapText="1"/>
    </xf>
    <xf numFmtId="0" fontId="0" fillId="0" borderId="7" xfId="0" applyBorder="1" applyAlignment="1">
      <alignment horizontal="center"/>
    </xf>
    <xf numFmtId="0" fontId="0" fillId="0" borderId="7" xfId="0" applyBorder="1"/>
    <xf numFmtId="0" fontId="0" fillId="0" borderId="0" xfId="0" applyAlignment="1">
      <alignment horizontal="left"/>
    </xf>
    <xf numFmtId="0" fontId="5" fillId="0" borderId="0" xfId="0" applyFont="1" applyAlignment="1">
      <alignment horizontal="center"/>
    </xf>
    <xf numFmtId="0" fontId="0" fillId="16" borderId="0" xfId="0" applyFill="1" applyProtection="1">
      <protection locked="0"/>
    </xf>
    <xf numFmtId="0" fontId="0" fillId="0" borderId="0" xfId="0" applyProtection="1">
      <protection locked="0"/>
    </xf>
    <xf numFmtId="0" fontId="3" fillId="16" borderId="0" xfId="0" applyFont="1" applyFill="1" applyAlignment="1" applyProtection="1">
      <alignment horizontal="left" vertical="center" wrapText="1" indent="1"/>
      <protection locked="0"/>
    </xf>
    <xf numFmtId="0" fontId="3" fillId="16" borderId="41" xfId="0" applyFont="1" applyFill="1" applyBorder="1" applyAlignment="1" applyProtection="1">
      <alignment horizontal="left" vertical="center" wrapText="1" indent="1"/>
      <protection locked="0"/>
    </xf>
    <xf numFmtId="0" fontId="5" fillId="0" borderId="0" xfId="0" applyFont="1" applyProtection="1"/>
    <xf numFmtId="0" fontId="0" fillId="0" borderId="0" xfId="0" applyAlignment="1" applyProtection="1">
      <alignment horizontal="center"/>
    </xf>
    <xf numFmtId="0" fontId="0" fillId="16" borderId="0" xfId="0" applyFill="1" applyAlignment="1" applyProtection="1">
      <alignment horizontal="center"/>
    </xf>
    <xf numFmtId="0" fontId="0" fillId="0" borderId="0" xfId="0" applyProtection="1"/>
    <xf numFmtId="0" fontId="0" fillId="16" borderId="0" xfId="0" applyFill="1" applyProtection="1"/>
    <xf numFmtId="0" fontId="5" fillId="0" borderId="26" xfId="0" applyFont="1" applyBorder="1" applyProtection="1"/>
    <xf numFmtId="0" fontId="5" fillId="0" borderId="28" xfId="0" applyFont="1" applyBorder="1" applyAlignment="1" applyProtection="1">
      <alignment horizontal="center"/>
    </xf>
    <xf numFmtId="0" fontId="5" fillId="16" borderId="0" xfId="0" applyFont="1" applyFill="1" applyAlignment="1" applyProtection="1">
      <alignment horizontal="center"/>
    </xf>
    <xf numFmtId="0" fontId="0" fillId="2" borderId="1" xfId="0" applyFill="1" applyBorder="1" applyAlignment="1" applyProtection="1">
      <alignment horizontal="left" vertical="center" wrapText="1" indent="1"/>
    </xf>
    <xf numFmtId="0" fontId="1" fillId="2" borderId="1" xfId="0" applyFont="1" applyFill="1" applyBorder="1" applyAlignment="1" applyProtection="1">
      <alignment horizontal="center" vertical="center" wrapText="1"/>
    </xf>
    <xf numFmtId="0" fontId="1" fillId="2" borderId="5" xfId="0" applyFont="1" applyFill="1" applyBorder="1" applyAlignment="1" applyProtection="1">
      <alignment horizontal="center" vertical="center" wrapText="1"/>
    </xf>
    <xf numFmtId="0" fontId="5" fillId="0" borderId="27" xfId="0" applyFont="1" applyBorder="1" applyAlignment="1" applyProtection="1">
      <alignment horizontal="center"/>
    </xf>
    <xf numFmtId="0" fontId="1" fillId="16" borderId="0" xfId="0" applyFont="1" applyFill="1" applyBorder="1" applyAlignment="1" applyProtection="1">
      <alignment horizontal="center" vertical="center" wrapText="1"/>
    </xf>
    <xf numFmtId="0" fontId="5" fillId="0" borderId="0" xfId="0" applyFont="1" applyAlignment="1" applyProtection="1">
      <alignment horizontal="center"/>
    </xf>
    <xf numFmtId="0" fontId="5" fillId="0" borderId="12" xfId="0" applyFont="1" applyBorder="1" applyAlignment="1" applyProtection="1">
      <alignment horizontal="center"/>
    </xf>
    <xf numFmtId="0" fontId="0" fillId="4" borderId="13" xfId="0" applyFill="1" applyBorder="1" applyAlignment="1" applyProtection="1">
      <alignment horizontal="center"/>
    </xf>
    <xf numFmtId="0" fontId="0" fillId="6" borderId="13" xfId="0" applyFill="1" applyBorder="1" applyAlignment="1" applyProtection="1">
      <alignment horizontal="left"/>
    </xf>
    <xf numFmtId="0" fontId="0" fillId="5" borderId="13" xfId="0" applyFill="1" applyBorder="1" applyAlignment="1" applyProtection="1">
      <alignment horizontal="left"/>
    </xf>
    <xf numFmtId="0" fontId="0" fillId="8" borderId="13" xfId="0" applyFill="1" applyBorder="1" applyAlignment="1" applyProtection="1">
      <alignment horizontal="left"/>
    </xf>
    <xf numFmtId="0" fontId="0" fillId="10" borderId="13" xfId="0" applyFill="1" applyBorder="1" applyAlignment="1" applyProtection="1">
      <alignment horizontal="left"/>
    </xf>
    <xf numFmtId="0" fontId="0" fillId="11" borderId="13" xfId="0" applyFill="1" applyBorder="1" applyAlignment="1" applyProtection="1">
      <alignment horizontal="left"/>
    </xf>
    <xf numFmtId="0" fontId="0" fillId="12" borderId="13" xfId="0" applyFill="1" applyBorder="1" applyAlignment="1" applyProtection="1">
      <alignment horizontal="left"/>
    </xf>
    <xf numFmtId="0" fontId="0" fillId="7" borderId="14" xfId="0" applyFill="1" applyBorder="1" applyAlignment="1" applyProtection="1">
      <alignment horizontal="left"/>
    </xf>
    <xf numFmtId="0" fontId="6" fillId="0" borderId="21" xfId="0" applyFont="1" applyBorder="1" applyAlignment="1" applyProtection="1">
      <alignment horizontal="left" vertical="center" wrapText="1" indent="1"/>
    </xf>
    <xf numFmtId="164" fontId="0" fillId="16" borderId="0" xfId="0" applyNumberFormat="1" applyFill="1" applyAlignment="1" applyProtection="1">
      <alignment horizontal="center"/>
    </xf>
    <xf numFmtId="0" fontId="2" fillId="3" borderId="1" xfId="0" applyFont="1" applyFill="1" applyBorder="1" applyAlignment="1" applyProtection="1">
      <alignment horizontal="center" vertical="center" wrapText="1"/>
    </xf>
    <xf numFmtId="0" fontId="0" fillId="0" borderId="21" xfId="0" applyBorder="1" applyProtection="1"/>
    <xf numFmtId="164" fontId="2" fillId="16" borderId="0" xfId="0" applyNumberFormat="1" applyFont="1" applyFill="1" applyBorder="1" applyAlignment="1" applyProtection="1">
      <alignment horizontal="center" vertical="center" wrapText="1"/>
    </xf>
    <xf numFmtId="165" fontId="2" fillId="4" borderId="1" xfId="1" applyNumberFormat="1" applyFont="1" applyFill="1" applyBorder="1" applyAlignment="1" applyProtection="1">
      <alignment horizontal="center" vertical="center" wrapText="1"/>
    </xf>
    <xf numFmtId="165" fontId="2" fillId="4" borderId="6" xfId="1" applyNumberFormat="1" applyFont="1" applyFill="1" applyBorder="1" applyAlignment="1" applyProtection="1">
      <alignment horizontal="center" vertical="center" wrapText="1"/>
    </xf>
    <xf numFmtId="165" fontId="2" fillId="15" borderId="1" xfId="1" applyNumberFormat="1" applyFont="1" applyFill="1" applyBorder="1" applyAlignment="1" applyProtection="1">
      <alignment horizontal="center" vertical="center" wrapText="1"/>
    </xf>
    <xf numFmtId="165" fontId="2" fillId="15" borderId="5" xfId="1" applyNumberFormat="1" applyFont="1" applyFill="1" applyBorder="1" applyAlignment="1" applyProtection="1">
      <alignment horizontal="center" vertical="center" wrapText="1"/>
    </xf>
    <xf numFmtId="165" fontId="2" fillId="16" borderId="0" xfId="1" applyNumberFormat="1" applyFont="1" applyFill="1" applyBorder="1" applyAlignment="1" applyProtection="1">
      <alignment horizontal="center" vertical="center" wrapText="1"/>
    </xf>
    <xf numFmtId="0" fontId="5" fillId="14" borderId="29" xfId="0" applyFont="1" applyFill="1" applyBorder="1" applyAlignment="1" applyProtection="1">
      <alignment horizontal="center"/>
    </xf>
    <xf numFmtId="0" fontId="5" fillId="14" borderId="30" xfId="0" applyFont="1" applyFill="1" applyBorder="1" applyAlignment="1" applyProtection="1">
      <alignment horizontal="center"/>
    </xf>
    <xf numFmtId="0" fontId="5" fillId="14" borderId="31" xfId="0" applyFont="1" applyFill="1" applyBorder="1" applyAlignment="1" applyProtection="1">
      <alignment horizontal="center"/>
    </xf>
    <xf numFmtId="0" fontId="0" fillId="4" borderId="42" xfId="0" applyFill="1" applyBorder="1" applyAlignment="1" applyProtection="1">
      <alignment horizontal="center"/>
    </xf>
    <xf numFmtId="0" fontId="0" fillId="4" borderId="43" xfId="0" applyFill="1" applyBorder="1" applyAlignment="1" applyProtection="1">
      <alignment horizontal="center"/>
    </xf>
    <xf numFmtId="0" fontId="0" fillId="6" borderId="43" xfId="0" applyFill="1" applyBorder="1" applyAlignment="1" applyProtection="1">
      <alignment horizontal="center"/>
    </xf>
    <xf numFmtId="0" fontId="0" fillId="5" borderId="43" xfId="0" applyFill="1" applyBorder="1" applyAlignment="1" applyProtection="1">
      <alignment horizontal="center"/>
    </xf>
    <xf numFmtId="0" fontId="0" fillId="13" borderId="43" xfId="0" applyFill="1" applyBorder="1" applyAlignment="1" applyProtection="1">
      <alignment horizontal="center"/>
    </xf>
    <xf numFmtId="0" fontId="5" fillId="0" borderId="15" xfId="0" applyFont="1" applyBorder="1" applyAlignment="1" applyProtection="1">
      <alignment horizontal="center"/>
    </xf>
    <xf numFmtId="164" fontId="0" fillId="0" borderId="16" xfId="0" applyNumberFormat="1" applyBorder="1" applyAlignment="1" applyProtection="1">
      <alignment horizontal="center"/>
    </xf>
    <xf numFmtId="165" fontId="0" fillId="0" borderId="16" xfId="0" applyNumberFormat="1" applyBorder="1" applyAlignment="1" applyProtection="1">
      <alignment horizontal="center"/>
    </xf>
    <xf numFmtId="165" fontId="0" fillId="0" borderId="17" xfId="0" applyNumberFormat="1" applyBorder="1" applyAlignment="1" applyProtection="1">
      <alignment horizontal="center"/>
    </xf>
    <xf numFmtId="0" fontId="6" fillId="0" borderId="10" xfId="0" applyFont="1" applyBorder="1" applyAlignment="1" applyProtection="1">
      <alignment horizontal="left" vertical="center" wrapText="1" indent="1"/>
    </xf>
    <xf numFmtId="166" fontId="0" fillId="0" borderId="11" xfId="0" applyNumberFormat="1" applyBorder="1" applyAlignment="1" applyProtection="1">
      <alignment horizontal="center"/>
    </xf>
    <xf numFmtId="0" fontId="0" fillId="0" borderId="10" xfId="0" applyBorder="1" applyProtection="1"/>
    <xf numFmtId="166" fontId="0" fillId="0" borderId="7" xfId="0" applyNumberFormat="1" applyBorder="1" applyAlignment="1" applyProtection="1">
      <alignment horizontal="center"/>
    </xf>
    <xf numFmtId="165" fontId="2" fillId="4" borderId="5" xfId="1" applyNumberFormat="1" applyFont="1" applyFill="1" applyBorder="1" applyAlignment="1" applyProtection="1">
      <alignment horizontal="center" vertical="center" wrapText="1"/>
    </xf>
    <xf numFmtId="164" fontId="2" fillId="6" borderId="8" xfId="0" applyNumberFormat="1" applyFont="1" applyFill="1" applyBorder="1" applyAlignment="1" applyProtection="1">
      <alignment horizontal="center" vertical="center" wrapText="1"/>
    </xf>
    <xf numFmtId="164" fontId="2" fillId="6" borderId="7" xfId="0" applyNumberFormat="1" applyFont="1" applyFill="1" applyBorder="1" applyAlignment="1" applyProtection="1">
      <alignment horizontal="center" vertical="center" wrapText="1"/>
    </xf>
    <xf numFmtId="164" fontId="0" fillId="14" borderId="15" xfId="0" applyNumberFormat="1" applyFill="1" applyBorder="1" applyAlignment="1" applyProtection="1">
      <alignment horizontal="center"/>
    </xf>
    <xf numFmtId="165" fontId="0" fillId="14" borderId="16" xfId="0" applyNumberFormat="1" applyFill="1" applyBorder="1" applyAlignment="1" applyProtection="1">
      <alignment horizontal="center"/>
    </xf>
    <xf numFmtId="165" fontId="0" fillId="14" borderId="17" xfId="1" applyNumberFormat="1" applyFont="1" applyFill="1" applyBorder="1" applyAlignment="1" applyProtection="1">
      <alignment horizontal="center"/>
    </xf>
    <xf numFmtId="165" fontId="0" fillId="4" borderId="9" xfId="1" applyNumberFormat="1" applyFont="1" applyFill="1" applyBorder="1" applyAlignment="1" applyProtection="1">
      <alignment horizontal="center"/>
    </xf>
    <xf numFmtId="165" fontId="0" fillId="4" borderId="4" xfId="1" applyNumberFormat="1" applyFont="1" applyFill="1" applyBorder="1" applyAlignment="1" applyProtection="1">
      <alignment horizontal="center"/>
    </xf>
    <xf numFmtId="165" fontId="0" fillId="6" borderId="3" xfId="0" applyNumberFormat="1" applyFill="1" applyBorder="1" applyAlignment="1" applyProtection="1">
      <alignment horizontal="center"/>
    </xf>
    <xf numFmtId="165" fontId="0" fillId="5" borderId="3" xfId="0" applyNumberFormat="1" applyFill="1" applyBorder="1" applyAlignment="1" applyProtection="1">
      <alignment horizontal="center"/>
    </xf>
    <xf numFmtId="165" fontId="0" fillId="5" borderId="4" xfId="1" applyNumberFormat="1" applyFont="1" applyFill="1" applyBorder="1" applyAlignment="1" applyProtection="1">
      <alignment horizontal="center"/>
    </xf>
    <xf numFmtId="165" fontId="0" fillId="13" borderId="3" xfId="0" applyNumberFormat="1" applyFill="1" applyBorder="1" applyAlignment="1" applyProtection="1">
      <alignment horizontal="center"/>
    </xf>
    <xf numFmtId="165" fontId="0" fillId="13" borderId="4" xfId="1" applyNumberFormat="1" applyFont="1" applyFill="1" applyBorder="1" applyAlignment="1" applyProtection="1">
      <alignment horizontal="center"/>
    </xf>
    <xf numFmtId="0" fontId="5" fillId="0" borderId="10" xfId="0" applyFont="1" applyBorder="1" applyAlignment="1" applyProtection="1">
      <alignment horizontal="center"/>
    </xf>
    <xf numFmtId="164" fontId="0" fillId="0" borderId="7" xfId="0" applyNumberFormat="1" applyBorder="1" applyAlignment="1" applyProtection="1">
      <alignment horizontal="center"/>
    </xf>
    <xf numFmtId="165" fontId="0" fillId="0" borderId="7" xfId="0" applyNumberFormat="1" applyBorder="1" applyAlignment="1" applyProtection="1">
      <alignment horizontal="center"/>
    </xf>
    <xf numFmtId="165" fontId="0" fillId="0" borderId="11" xfId="0" applyNumberFormat="1" applyBorder="1" applyAlignment="1" applyProtection="1">
      <alignment horizontal="center"/>
    </xf>
    <xf numFmtId="164" fontId="2" fillId="5" borderId="8" xfId="0" applyNumberFormat="1" applyFont="1" applyFill="1" applyBorder="1" applyAlignment="1" applyProtection="1">
      <alignment horizontal="center" vertical="center" wrapText="1"/>
    </xf>
    <xf numFmtId="164" fontId="2" fillId="5" borderId="7" xfId="0" applyNumberFormat="1" applyFont="1" applyFill="1" applyBorder="1" applyAlignment="1" applyProtection="1">
      <alignment horizontal="center" vertical="center" wrapText="1"/>
    </xf>
    <xf numFmtId="164" fontId="0" fillId="14" borderId="10" xfId="0" applyNumberFormat="1" applyFill="1" applyBorder="1" applyAlignment="1" applyProtection="1">
      <alignment horizontal="center"/>
    </xf>
    <xf numFmtId="165" fontId="0" fillId="14" borderId="11" xfId="1" applyNumberFormat="1" applyFont="1" applyFill="1" applyBorder="1" applyAlignment="1" applyProtection="1">
      <alignment horizontal="center"/>
    </xf>
    <xf numFmtId="164" fontId="0" fillId="0" borderId="0" xfId="0" applyNumberFormat="1" applyAlignment="1" applyProtection="1">
      <alignment horizontal="center"/>
    </xf>
    <xf numFmtId="164" fontId="2" fillId="8" borderId="8" xfId="0" applyNumberFormat="1" applyFont="1" applyFill="1" applyBorder="1" applyAlignment="1" applyProtection="1">
      <alignment horizontal="center" vertical="center" wrapText="1"/>
    </xf>
    <xf numFmtId="164" fontId="2" fillId="8" borderId="7" xfId="0" applyNumberFormat="1" applyFont="1" applyFill="1" applyBorder="1" applyAlignment="1" applyProtection="1">
      <alignment horizontal="center" vertical="center" wrapText="1"/>
    </xf>
    <xf numFmtId="0" fontId="0" fillId="10" borderId="43" xfId="0" applyFill="1" applyBorder="1" applyAlignment="1" applyProtection="1">
      <alignment horizontal="center"/>
    </xf>
    <xf numFmtId="0" fontId="0" fillId="11" borderId="43" xfId="0" applyFill="1" applyBorder="1" applyAlignment="1" applyProtection="1">
      <alignment horizontal="center"/>
    </xf>
    <xf numFmtId="0" fontId="0" fillId="12" borderId="43" xfId="0" applyFill="1" applyBorder="1" applyAlignment="1" applyProtection="1">
      <alignment horizontal="center"/>
    </xf>
    <xf numFmtId="0" fontId="0" fillId="9" borderId="43" xfId="0" applyFill="1" applyBorder="1" applyAlignment="1" applyProtection="1">
      <alignment horizontal="center"/>
    </xf>
    <xf numFmtId="164" fontId="0" fillId="0" borderId="13" xfId="0" applyNumberFormat="1" applyBorder="1" applyAlignment="1" applyProtection="1">
      <alignment horizontal="center"/>
    </xf>
    <xf numFmtId="165" fontId="0" fillId="0" borderId="13" xfId="0" applyNumberFormat="1" applyBorder="1" applyAlignment="1" applyProtection="1">
      <alignment horizontal="center"/>
    </xf>
    <xf numFmtId="165" fontId="0" fillId="0" borderId="14" xfId="0" applyNumberFormat="1" applyBorder="1" applyAlignment="1" applyProtection="1">
      <alignment horizontal="center"/>
    </xf>
    <xf numFmtId="164" fontId="2" fillId="10" borderId="8" xfId="0" applyNumberFormat="1" applyFont="1" applyFill="1" applyBorder="1" applyAlignment="1" applyProtection="1">
      <alignment horizontal="center" vertical="center" wrapText="1"/>
    </xf>
    <xf numFmtId="164" fontId="2" fillId="10" borderId="7" xfId="0" applyNumberFormat="1" applyFont="1" applyFill="1" applyBorder="1" applyAlignment="1" applyProtection="1">
      <alignment horizontal="center" vertical="center" wrapText="1"/>
    </xf>
    <xf numFmtId="165" fontId="0" fillId="10" borderId="3" xfId="0" applyNumberFormat="1" applyFill="1" applyBorder="1" applyAlignment="1" applyProtection="1">
      <alignment horizontal="center"/>
    </xf>
    <xf numFmtId="165" fontId="0" fillId="10" borderId="4" xfId="1" applyNumberFormat="1" applyFont="1" applyFill="1" applyBorder="1" applyAlignment="1" applyProtection="1">
      <alignment horizontal="center"/>
    </xf>
    <xf numFmtId="165" fontId="0" fillId="11" borderId="3" xfId="0" applyNumberFormat="1" applyFill="1" applyBorder="1" applyAlignment="1" applyProtection="1">
      <alignment horizontal="center"/>
    </xf>
    <xf numFmtId="165" fontId="0" fillId="11" borderId="4" xfId="1" applyNumberFormat="1" applyFont="1" applyFill="1" applyBorder="1" applyAlignment="1" applyProtection="1">
      <alignment horizontal="center"/>
    </xf>
    <xf numFmtId="165" fontId="0" fillId="12" borderId="3" xfId="0" applyNumberFormat="1" applyFill="1" applyBorder="1" applyAlignment="1" applyProtection="1">
      <alignment horizontal="center"/>
    </xf>
    <xf numFmtId="165" fontId="0" fillId="12" borderId="4" xfId="1" applyNumberFormat="1" applyFont="1" applyFill="1" applyBorder="1" applyAlignment="1" applyProtection="1">
      <alignment horizontal="center"/>
    </xf>
    <xf numFmtId="165" fontId="0" fillId="9" borderId="3" xfId="0" applyNumberFormat="1" applyFill="1" applyBorder="1" applyAlignment="1" applyProtection="1">
      <alignment horizontal="center"/>
    </xf>
    <xf numFmtId="165" fontId="0" fillId="9" borderId="4" xfId="1" applyNumberFormat="1" applyFont="1" applyFill="1" applyBorder="1" applyAlignment="1" applyProtection="1">
      <alignment horizontal="center"/>
    </xf>
    <xf numFmtId="0" fontId="5" fillId="0" borderId="0" xfId="0" applyFont="1" applyBorder="1" applyAlignment="1" applyProtection="1">
      <alignment horizontal="center"/>
    </xf>
    <xf numFmtId="164" fontId="0" fillId="0" borderId="0" xfId="0" applyNumberFormat="1" applyBorder="1" applyAlignment="1" applyProtection="1">
      <alignment horizontal="center"/>
    </xf>
    <xf numFmtId="165" fontId="0" fillId="0" borderId="0" xfId="0" applyNumberFormat="1" applyBorder="1" applyAlignment="1" applyProtection="1">
      <alignment horizontal="center"/>
    </xf>
    <xf numFmtId="164" fontId="2" fillId="11" borderId="8" xfId="0" applyNumberFormat="1" applyFont="1" applyFill="1" applyBorder="1" applyAlignment="1" applyProtection="1">
      <alignment horizontal="center" vertical="center" wrapText="1"/>
    </xf>
    <xf numFmtId="164" fontId="2" fillId="11" borderId="7" xfId="0" applyNumberFormat="1" applyFont="1" applyFill="1" applyBorder="1" applyAlignment="1" applyProtection="1">
      <alignment horizontal="center" vertical="center" wrapText="1"/>
    </xf>
    <xf numFmtId="164" fontId="2" fillId="12" borderId="8" xfId="0" applyNumberFormat="1" applyFont="1" applyFill="1" applyBorder="1" applyAlignment="1" applyProtection="1">
      <alignment horizontal="center" vertical="center" wrapText="1"/>
    </xf>
    <xf numFmtId="164" fontId="2" fillId="12" borderId="7" xfId="0" applyNumberFormat="1" applyFont="1" applyFill="1" applyBorder="1" applyAlignment="1" applyProtection="1">
      <alignment horizontal="center" vertical="center" wrapText="1"/>
    </xf>
    <xf numFmtId="0" fontId="0" fillId="13" borderId="13" xfId="0" applyFill="1" applyBorder="1" applyAlignment="1" applyProtection="1">
      <alignment horizontal="left"/>
    </xf>
    <xf numFmtId="0" fontId="6" fillId="0" borderId="12" xfId="0" applyFont="1" applyBorder="1" applyAlignment="1" applyProtection="1">
      <alignment horizontal="left" vertical="center" wrapText="1" indent="1"/>
    </xf>
    <xf numFmtId="166" fontId="0" fillId="0" borderId="14" xfId="0" applyNumberFormat="1" applyBorder="1" applyAlignment="1" applyProtection="1">
      <alignment horizontal="center"/>
    </xf>
    <xf numFmtId="0" fontId="0" fillId="0" borderId="12" xfId="0" applyBorder="1" applyProtection="1"/>
    <xf numFmtId="164" fontId="2" fillId="3" borderId="8" xfId="0" applyNumberFormat="1" applyFont="1" applyFill="1" applyBorder="1" applyAlignment="1" applyProtection="1">
      <alignment horizontal="center" vertical="center" wrapText="1"/>
    </xf>
    <xf numFmtId="164" fontId="2" fillId="3" borderId="7" xfId="0" applyNumberFormat="1" applyFont="1" applyFill="1" applyBorder="1" applyAlignment="1" applyProtection="1">
      <alignment horizontal="center" vertical="center" wrapText="1"/>
    </xf>
    <xf numFmtId="164" fontId="0" fillId="14" borderId="12" xfId="0" applyNumberFormat="1" applyFill="1" applyBorder="1" applyAlignment="1" applyProtection="1">
      <alignment horizontal="center"/>
    </xf>
    <xf numFmtId="165" fontId="0" fillId="14" borderId="14" xfId="1" applyNumberFormat="1" applyFont="1" applyFill="1" applyBorder="1" applyAlignment="1" applyProtection="1">
      <alignment horizontal="center"/>
    </xf>
    <xf numFmtId="165" fontId="0" fillId="0" borderId="16" xfId="1" applyNumberFormat="1" applyFont="1" applyBorder="1" applyAlignment="1" applyProtection="1">
      <alignment horizontal="center"/>
    </xf>
    <xf numFmtId="165" fontId="0" fillId="0" borderId="17" xfId="1" applyNumberFormat="1" applyFont="1" applyBorder="1" applyAlignment="1" applyProtection="1">
      <alignment horizontal="center"/>
    </xf>
    <xf numFmtId="0" fontId="0" fillId="0" borderId="0" xfId="0" applyFont="1" applyProtection="1"/>
    <xf numFmtId="165" fontId="0" fillId="0" borderId="7" xfId="1" applyNumberFormat="1" applyFont="1" applyBorder="1" applyAlignment="1" applyProtection="1">
      <alignment horizontal="center"/>
    </xf>
    <xf numFmtId="165" fontId="0" fillId="0" borderId="11" xfId="1" applyNumberFormat="1" applyFont="1" applyBorder="1" applyAlignment="1" applyProtection="1">
      <alignment horizontal="center"/>
    </xf>
    <xf numFmtId="164" fontId="2" fillId="16" borderId="2" xfId="0" applyNumberFormat="1" applyFont="1" applyFill="1" applyBorder="1" applyAlignment="1" applyProtection="1">
      <alignment horizontal="center" vertical="center" wrapText="1"/>
    </xf>
    <xf numFmtId="0" fontId="5" fillId="14" borderId="32" xfId="0" applyFont="1" applyFill="1" applyBorder="1" applyAlignment="1" applyProtection="1">
      <alignment horizontal="center"/>
    </xf>
    <xf numFmtId="0" fontId="5" fillId="14" borderId="33" xfId="0" applyFont="1" applyFill="1" applyBorder="1" applyAlignment="1" applyProtection="1">
      <alignment horizontal="center"/>
    </xf>
    <xf numFmtId="0" fontId="5" fillId="14" borderId="34" xfId="0" applyFont="1" applyFill="1" applyBorder="1" applyAlignment="1" applyProtection="1">
      <alignment horizontal="center"/>
    </xf>
    <xf numFmtId="165" fontId="0" fillId="0" borderId="13" xfId="1" applyNumberFormat="1" applyFont="1" applyBorder="1" applyAlignment="1" applyProtection="1">
      <alignment horizontal="center"/>
    </xf>
    <xf numFmtId="165" fontId="0" fillId="0" borderId="14" xfId="1" applyNumberFormat="1" applyFont="1" applyBorder="1" applyAlignment="1" applyProtection="1">
      <alignment horizontal="center"/>
    </xf>
    <xf numFmtId="165" fontId="2" fillId="14" borderId="7" xfId="1" applyNumberFormat="1" applyFont="1" applyFill="1" applyBorder="1" applyAlignment="1" applyProtection="1">
      <alignment horizontal="center" vertical="center" wrapText="1"/>
    </xf>
    <xf numFmtId="0" fontId="5" fillId="0" borderId="0" xfId="0" applyFont="1" applyFill="1" applyBorder="1" applyAlignment="1" applyProtection="1">
      <alignment horizontal="center"/>
    </xf>
    <xf numFmtId="0" fontId="5" fillId="0" borderId="29" xfId="0" applyFont="1" applyBorder="1" applyAlignment="1" applyProtection="1">
      <alignment horizontal="center"/>
    </xf>
    <xf numFmtId="0" fontId="5" fillId="0" borderId="30" xfId="0" applyFont="1" applyBorder="1" applyAlignment="1" applyProtection="1">
      <alignment horizontal="center"/>
    </xf>
    <xf numFmtId="0" fontId="5" fillId="0" borderId="31" xfId="0" applyFont="1" applyBorder="1" applyAlignment="1" applyProtection="1">
      <alignment horizontal="center"/>
    </xf>
    <xf numFmtId="165" fontId="0" fillId="0" borderId="0" xfId="1" applyNumberFormat="1" applyFont="1" applyBorder="1" applyAlignment="1" applyProtection="1">
      <alignment horizontal="center"/>
    </xf>
    <xf numFmtId="0" fontId="0" fillId="0" borderId="0" xfId="0" applyBorder="1"/>
    <xf numFmtId="0" fontId="0" fillId="8" borderId="7" xfId="0" applyFill="1" applyBorder="1" applyAlignment="1">
      <alignment horizontal="center"/>
    </xf>
    <xf numFmtId="0" fontId="0" fillId="0" borderId="0" xfId="0" applyAlignment="1">
      <alignment shrinkToFit="1"/>
    </xf>
    <xf numFmtId="0" fontId="0" fillId="0" borderId="0" xfId="0" applyAlignment="1"/>
    <xf numFmtId="0" fontId="0" fillId="9" borderId="7" xfId="0" applyFill="1" applyBorder="1" applyAlignment="1">
      <alignment horizontal="center"/>
    </xf>
    <xf numFmtId="0" fontId="0" fillId="4" borderId="7" xfId="0" applyFill="1" applyBorder="1" applyAlignment="1">
      <alignment horizontal="center"/>
    </xf>
    <xf numFmtId="164" fontId="0" fillId="0" borderId="25" xfId="0" applyNumberFormat="1" applyBorder="1" applyAlignment="1">
      <alignment horizontal="right"/>
    </xf>
    <xf numFmtId="0" fontId="0" fillId="0" borderId="8" xfId="0" applyBorder="1" applyAlignment="1">
      <alignment horizontal="left"/>
    </xf>
    <xf numFmtId="0" fontId="0" fillId="14" borderId="7" xfId="0" applyFill="1" applyBorder="1" applyAlignment="1">
      <alignment horizontal="center"/>
    </xf>
    <xf numFmtId="0" fontId="0" fillId="20" borderId="7" xfId="0" applyFill="1" applyBorder="1" applyAlignment="1">
      <alignment horizontal="center"/>
    </xf>
    <xf numFmtId="164" fontId="0" fillId="0" borderId="7" xfId="0" applyNumberFormat="1" applyBorder="1" applyAlignment="1">
      <alignment horizontal="center"/>
    </xf>
    <xf numFmtId="164" fontId="0" fillId="0" borderId="0" xfId="0" applyNumberFormat="1"/>
    <xf numFmtId="0" fontId="0" fillId="5" borderId="7" xfId="0" applyFill="1" applyBorder="1" applyAlignment="1">
      <alignment horizontal="center"/>
    </xf>
    <xf numFmtId="0" fontId="0" fillId="10" borderId="7" xfId="0" applyFill="1" applyBorder="1" applyAlignment="1">
      <alignment horizontal="center"/>
    </xf>
    <xf numFmtId="0" fontId="0" fillId="11" borderId="7" xfId="0" applyFill="1" applyBorder="1" applyAlignment="1">
      <alignment horizontal="center"/>
    </xf>
    <xf numFmtId="0" fontId="0" fillId="12" borderId="7" xfId="0" applyFill="1" applyBorder="1" applyAlignment="1">
      <alignment horizontal="center"/>
    </xf>
    <xf numFmtId="0" fontId="0" fillId="0" borderId="0" xfId="0" applyFill="1" applyBorder="1"/>
    <xf numFmtId="0" fontId="0" fillId="0" borderId="0" xfId="0" applyFill="1" applyBorder="1" applyAlignment="1">
      <alignment horizontal="center"/>
    </xf>
    <xf numFmtId="0" fontId="5" fillId="0" borderId="7" xfId="0" applyFont="1" applyFill="1" applyBorder="1" applyAlignment="1">
      <alignment horizontal="center"/>
    </xf>
    <xf numFmtId="0" fontId="0" fillId="0" borderId="0" xfId="0" applyFill="1" applyBorder="1" applyAlignment="1">
      <alignment vertical="center" wrapText="1"/>
    </xf>
    <xf numFmtId="167" fontId="0" fillId="0" borderId="0" xfId="0" applyNumberFormat="1" applyFill="1" applyBorder="1" applyAlignment="1">
      <alignment horizontal="center"/>
    </xf>
    <xf numFmtId="0" fontId="0" fillId="0" borderId="0" xfId="0" applyFill="1" applyBorder="1" applyAlignment="1">
      <alignment horizontal="center" vertical="top"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left" vertical="center" wrapText="1" indent="1"/>
    </xf>
    <xf numFmtId="0" fontId="0" fillId="2" borderId="1" xfId="0" applyFill="1" applyBorder="1" applyAlignment="1">
      <alignment horizontal="center" vertical="center" wrapText="1"/>
    </xf>
    <xf numFmtId="0" fontId="0" fillId="0" borderId="0" xfId="0" applyFill="1" applyBorder="1" applyAlignment="1">
      <alignment horizontal="center" vertical="center" wrapText="1"/>
    </xf>
    <xf numFmtId="0" fontId="0" fillId="9" borderId="1" xfId="0" applyFill="1" applyBorder="1" applyAlignment="1">
      <alignment horizontal="center" vertical="center" wrapText="1"/>
    </xf>
    <xf numFmtId="0" fontId="0" fillId="4" borderId="1" xfId="0" applyFill="1" applyBorder="1" applyAlignment="1">
      <alignment horizontal="center" vertical="center" wrapText="1"/>
    </xf>
    <xf numFmtId="0" fontId="0" fillId="14" borderId="1" xfId="0" applyFill="1" applyBorder="1" applyAlignment="1">
      <alignment horizontal="center" vertical="center" wrapText="1"/>
    </xf>
    <xf numFmtId="0" fontId="0" fillId="6" borderId="1" xfId="0" applyFill="1" applyBorder="1" applyAlignment="1">
      <alignment horizontal="center" vertical="center" wrapText="1"/>
    </xf>
    <xf numFmtId="0" fontId="0" fillId="5" borderId="1" xfId="0" applyFill="1" applyBorder="1" applyAlignment="1">
      <alignment horizontal="center" vertical="center" wrapText="1"/>
    </xf>
    <xf numFmtId="0" fontId="0" fillId="8" borderId="1" xfId="0" applyFill="1" applyBorder="1" applyAlignment="1">
      <alignment horizontal="center" vertical="center" wrapText="1"/>
    </xf>
    <xf numFmtId="0" fontId="0" fillId="10" borderId="1" xfId="0" applyFill="1" applyBorder="1" applyAlignment="1">
      <alignment horizontal="center" vertical="center" wrapText="1"/>
    </xf>
    <xf numFmtId="0" fontId="0" fillId="11" borderId="1" xfId="0" applyFill="1" applyBorder="1" applyAlignment="1">
      <alignment horizontal="center" vertical="center" wrapText="1"/>
    </xf>
    <xf numFmtId="0" fontId="0" fillId="12" borderId="1" xfId="0" applyFill="1" applyBorder="1" applyAlignment="1">
      <alignment horizontal="center" vertical="center" wrapText="1"/>
    </xf>
    <xf numFmtId="0" fontId="0" fillId="21" borderId="1" xfId="0" applyFill="1" applyBorder="1" applyAlignment="1">
      <alignment horizontal="center" vertical="center" wrapText="1"/>
    </xf>
    <xf numFmtId="14" fontId="0" fillId="0" borderId="44" xfId="0" applyNumberFormat="1" applyBorder="1" applyAlignment="1">
      <alignment horizontal="left"/>
    </xf>
    <xf numFmtId="165" fontId="2" fillId="6" borderId="7" xfId="1" applyNumberFormat="1" applyFont="1" applyFill="1" applyBorder="1" applyAlignment="1" applyProtection="1">
      <alignment horizontal="center" vertical="center" wrapText="1"/>
    </xf>
    <xf numFmtId="165" fontId="2" fillId="21" borderId="7" xfId="1" applyNumberFormat="1" applyFont="1" applyFill="1" applyBorder="1" applyAlignment="1" applyProtection="1">
      <alignment horizontal="center" vertical="center" wrapText="1"/>
    </xf>
    <xf numFmtId="165" fontId="2" fillId="5" borderId="7" xfId="1" applyNumberFormat="1" applyFont="1" applyFill="1" applyBorder="1" applyAlignment="1" applyProtection="1">
      <alignment horizontal="center" vertical="center" wrapText="1"/>
    </xf>
    <xf numFmtId="165" fontId="2" fillId="8" borderId="7" xfId="1" applyNumberFormat="1" applyFont="1" applyFill="1" applyBorder="1" applyAlignment="1" applyProtection="1">
      <alignment horizontal="center" vertical="center" wrapText="1"/>
    </xf>
    <xf numFmtId="165" fontId="2" fillId="10" borderId="7" xfId="1" applyNumberFormat="1" applyFont="1" applyFill="1" applyBorder="1" applyAlignment="1" applyProtection="1">
      <alignment horizontal="center" vertical="center" wrapText="1"/>
    </xf>
    <xf numFmtId="165" fontId="2" fillId="11" borderId="7" xfId="1" applyNumberFormat="1" applyFont="1" applyFill="1" applyBorder="1" applyAlignment="1" applyProtection="1">
      <alignment horizontal="center" vertical="center" wrapText="1"/>
    </xf>
    <xf numFmtId="165" fontId="2" fillId="12" borderId="7" xfId="1" applyNumberFormat="1" applyFont="1" applyFill="1" applyBorder="1" applyAlignment="1" applyProtection="1">
      <alignment horizontal="center" vertical="center" wrapText="1"/>
    </xf>
    <xf numFmtId="165" fontId="0" fillId="0" borderId="7" xfId="1" applyNumberFormat="1" applyFont="1" applyBorder="1" applyAlignment="1">
      <alignment horizontal="center"/>
    </xf>
    <xf numFmtId="0" fontId="3" fillId="0" borderId="0" xfId="0" applyFont="1" applyAlignment="1">
      <alignment horizontal="left" vertical="center" indent="1" shrinkToFit="1"/>
    </xf>
    <xf numFmtId="0" fontId="5" fillId="0" borderId="0" xfId="0" applyFont="1" applyFill="1" applyBorder="1" applyAlignment="1">
      <alignment horizontal="center"/>
    </xf>
    <xf numFmtId="165" fontId="0" fillId="14" borderId="33" xfId="0" applyNumberFormat="1" applyFill="1" applyBorder="1" applyAlignment="1" applyProtection="1">
      <alignment horizontal="center"/>
    </xf>
    <xf numFmtId="9" fontId="15" fillId="0" borderId="0" xfId="1" applyFont="1" applyBorder="1" applyAlignment="1">
      <alignment horizontal="center"/>
    </xf>
    <xf numFmtId="164" fontId="15" fillId="0" borderId="0" xfId="0" applyNumberFormat="1" applyFont="1" applyBorder="1" applyAlignment="1">
      <alignment horizontal="center"/>
    </xf>
    <xf numFmtId="0" fontId="14" fillId="0" borderId="0" xfId="0" applyFont="1" applyAlignment="1">
      <alignment horizontal="right"/>
    </xf>
    <xf numFmtId="0" fontId="0" fillId="0" borderId="0" xfId="0" applyBorder="1" applyAlignment="1">
      <alignment horizontal="center"/>
    </xf>
    <xf numFmtId="165" fontId="0" fillId="0" borderId="34" xfId="1" applyNumberFormat="1" applyFont="1" applyBorder="1" applyAlignment="1" applyProtection="1">
      <alignment horizontal="center"/>
    </xf>
    <xf numFmtId="0" fontId="5" fillId="0" borderId="0" xfId="0" applyFont="1" applyAlignment="1">
      <alignment horizontal="right"/>
    </xf>
    <xf numFmtId="0" fontId="0" fillId="0" borderId="44" xfId="0" applyBorder="1"/>
    <xf numFmtId="167" fontId="0" fillId="0" borderId="0" xfId="0" applyNumberFormat="1" applyFill="1" applyBorder="1" applyAlignment="1" applyProtection="1">
      <alignment horizontal="center"/>
    </xf>
    <xf numFmtId="164" fontId="0" fillId="0" borderId="23" xfId="0" applyNumberFormat="1" applyBorder="1" applyAlignment="1" applyProtection="1">
      <alignment horizontal="center"/>
    </xf>
    <xf numFmtId="164" fontId="0" fillId="0" borderId="11" xfId="0" applyNumberFormat="1" applyBorder="1" applyAlignment="1" applyProtection="1">
      <alignment horizontal="center"/>
    </xf>
    <xf numFmtId="164" fontId="0" fillId="0" borderId="14" xfId="0" applyNumberFormat="1" applyBorder="1" applyAlignment="1" applyProtection="1">
      <alignment horizontal="center"/>
    </xf>
    <xf numFmtId="164" fontId="2" fillId="4" borderId="1" xfId="0" applyNumberFormat="1" applyFont="1" applyFill="1" applyBorder="1" applyAlignment="1" applyProtection="1">
      <alignment horizontal="center" vertical="center" wrapText="1"/>
    </xf>
    <xf numFmtId="164" fontId="2" fillId="4" borderId="6" xfId="0" applyNumberFormat="1" applyFont="1" applyFill="1" applyBorder="1" applyAlignment="1" applyProtection="1">
      <alignment horizontal="center" vertical="center" wrapText="1"/>
    </xf>
    <xf numFmtId="164" fontId="2" fillId="15" borderId="6" xfId="0" applyNumberFormat="1" applyFont="1" applyFill="1" applyBorder="1" applyAlignment="1" applyProtection="1">
      <alignment horizontal="center" vertical="center" wrapText="1"/>
    </xf>
    <xf numFmtId="164" fontId="2" fillId="15" borderId="24" xfId="0" applyNumberFormat="1" applyFont="1" applyFill="1" applyBorder="1" applyAlignment="1" applyProtection="1">
      <alignment horizontal="center" vertical="center" wrapText="1"/>
    </xf>
    <xf numFmtId="164" fontId="2" fillId="14" borderId="1" xfId="0" applyNumberFormat="1" applyFont="1" applyFill="1" applyBorder="1" applyAlignment="1" applyProtection="1">
      <alignment horizontal="center" vertical="center" wrapText="1"/>
    </xf>
    <xf numFmtId="164" fontId="2" fillId="14" borderId="5" xfId="0" applyNumberFormat="1" applyFont="1" applyFill="1" applyBorder="1" applyAlignment="1" applyProtection="1">
      <alignment horizontal="center" vertical="center" wrapText="1"/>
    </xf>
    <xf numFmtId="164" fontId="2" fillId="6" borderId="25" xfId="0" applyNumberFormat="1" applyFont="1" applyFill="1" applyBorder="1" applyAlignment="1" applyProtection="1">
      <alignment horizontal="center" vertical="center" wrapText="1"/>
    </xf>
    <xf numFmtId="164" fontId="2" fillId="5" borderId="25" xfId="0" applyNumberFormat="1" applyFont="1" applyFill="1" applyBorder="1" applyAlignment="1" applyProtection="1">
      <alignment horizontal="center" vertical="center" wrapText="1"/>
    </xf>
    <xf numFmtId="164" fontId="2" fillId="8" borderId="25" xfId="0" applyNumberFormat="1" applyFont="1" applyFill="1" applyBorder="1" applyAlignment="1" applyProtection="1">
      <alignment horizontal="center" vertical="center" wrapText="1"/>
    </xf>
    <xf numFmtId="164" fontId="2" fillId="10" borderId="25" xfId="0" applyNumberFormat="1" applyFont="1" applyFill="1" applyBorder="1" applyAlignment="1" applyProtection="1">
      <alignment horizontal="center" vertical="center" wrapText="1"/>
    </xf>
    <xf numFmtId="164" fontId="2" fillId="11" borderId="25" xfId="0" applyNumberFormat="1" applyFont="1" applyFill="1" applyBorder="1" applyAlignment="1" applyProtection="1">
      <alignment horizontal="center" vertical="center" wrapText="1"/>
    </xf>
    <xf numFmtId="164" fontId="2" fillId="12" borderId="25" xfId="0" applyNumberFormat="1" applyFont="1" applyFill="1" applyBorder="1" applyAlignment="1" applyProtection="1">
      <alignment horizontal="center" vertical="center" wrapText="1"/>
    </xf>
    <xf numFmtId="164" fontId="2" fillId="21" borderId="7" xfId="0" applyNumberFormat="1" applyFont="1" applyFill="1" applyBorder="1" applyAlignment="1" applyProtection="1">
      <alignment horizontal="center" vertical="center" wrapText="1"/>
    </xf>
    <xf numFmtId="164" fontId="2" fillId="3" borderId="25" xfId="0" applyNumberFormat="1" applyFont="1" applyFill="1" applyBorder="1" applyAlignment="1" applyProtection="1">
      <alignment horizontal="center" vertical="center" wrapText="1"/>
    </xf>
    <xf numFmtId="164" fontId="0" fillId="9" borderId="7" xfId="0" applyNumberFormat="1" applyFill="1" applyBorder="1" applyAlignment="1">
      <alignment horizontal="center"/>
    </xf>
    <xf numFmtId="0" fontId="5" fillId="0" borderId="0" xfId="0" applyFont="1" applyFill="1" applyBorder="1" applyAlignment="1">
      <alignment horizontal="center"/>
    </xf>
    <xf numFmtId="164" fontId="0" fillId="0" borderId="22" xfId="0" applyNumberFormat="1" applyBorder="1" applyAlignment="1" applyProtection="1">
      <alignment horizontal="center"/>
    </xf>
    <xf numFmtId="164" fontId="2" fillId="0" borderId="23" xfId="0" applyNumberFormat="1" applyFont="1" applyFill="1" applyBorder="1" applyAlignment="1" applyProtection="1">
      <alignment horizontal="center" vertical="center" wrapText="1"/>
    </xf>
    <xf numFmtId="166" fontId="0" fillId="0" borderId="13" xfId="0" applyNumberFormat="1" applyBorder="1" applyAlignment="1" applyProtection="1">
      <alignment horizontal="center"/>
    </xf>
    <xf numFmtId="167" fontId="0" fillId="0" borderId="7" xfId="0" applyNumberFormat="1" applyFill="1" applyBorder="1" applyAlignment="1">
      <alignment horizontal="center"/>
    </xf>
    <xf numFmtId="167" fontId="0" fillId="0" borderId="7" xfId="0" applyNumberFormat="1" applyBorder="1" applyAlignment="1">
      <alignment horizontal="center"/>
    </xf>
    <xf numFmtId="0" fontId="5" fillId="0" borderId="0" xfId="0" applyFont="1" applyFill="1" applyBorder="1" applyAlignment="1">
      <alignment horizontal="right"/>
    </xf>
    <xf numFmtId="0" fontId="0" fillId="0" borderId="0" xfId="0" applyFont="1"/>
    <xf numFmtId="0" fontId="5" fillId="0" borderId="0" xfId="0" applyFont="1" applyBorder="1"/>
    <xf numFmtId="0" fontId="0" fillId="0" borderId="0" xfId="0" applyAlignment="1">
      <alignment horizontal="center"/>
    </xf>
    <xf numFmtId="0" fontId="0" fillId="0" borderId="7" xfId="0" applyBorder="1" applyAlignment="1">
      <alignment horizontal="center"/>
    </xf>
    <xf numFmtId="0" fontId="0" fillId="8" borderId="53" xfId="0" applyFill="1" applyBorder="1" applyAlignment="1">
      <alignment horizontal="center"/>
    </xf>
    <xf numFmtId="0" fontId="0" fillId="9" borderId="53" xfId="0" applyFill="1" applyBorder="1" applyAlignment="1">
      <alignment horizontal="center"/>
    </xf>
    <xf numFmtId="0" fontId="10" fillId="0" borderId="0" xfId="4" applyFont="1" applyFill="1" applyAlignment="1" applyProtection="1">
      <alignment horizontal="left"/>
    </xf>
    <xf numFmtId="0" fontId="9" fillId="0" borderId="0" xfId="4" applyFill="1" applyAlignment="1" applyProtection="1">
      <alignment horizontal="center"/>
    </xf>
    <xf numFmtId="0" fontId="9" fillId="0" borderId="0" xfId="4" applyFill="1" applyProtection="1"/>
    <xf numFmtId="0" fontId="5" fillId="0" borderId="0" xfId="0" applyFont="1" applyAlignment="1">
      <alignment horizontal="center" vertical="center"/>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2" fillId="3" borderId="5" xfId="0" applyFont="1" applyFill="1" applyBorder="1" applyAlignment="1" applyProtection="1">
      <alignment horizontal="center" vertical="center" wrapText="1"/>
    </xf>
    <xf numFmtId="164" fontId="2" fillId="14" borderId="61" xfId="0" applyNumberFormat="1" applyFont="1" applyFill="1" applyBorder="1" applyAlignment="1" applyProtection="1">
      <alignment horizontal="center" vertical="center" wrapText="1"/>
    </xf>
    <xf numFmtId="164" fontId="2" fillId="15" borderId="62" xfId="0" applyNumberFormat="1" applyFont="1" applyFill="1" applyBorder="1" applyAlignment="1" applyProtection="1">
      <alignment horizontal="center" vertical="center" wrapText="1"/>
    </xf>
    <xf numFmtId="0" fontId="1" fillId="2" borderId="6" xfId="0" applyFont="1" applyFill="1" applyBorder="1" applyAlignment="1" applyProtection="1">
      <alignment horizontal="center" vertical="center" wrapText="1"/>
    </xf>
    <xf numFmtId="164" fontId="2" fillId="14" borderId="63" xfId="0" applyNumberFormat="1" applyFont="1" applyFill="1" applyBorder="1" applyAlignment="1" applyProtection="1">
      <alignment horizontal="center" vertical="center" wrapText="1"/>
    </xf>
    <xf numFmtId="164" fontId="2" fillId="14" borderId="64" xfId="0" applyNumberFormat="1" applyFont="1" applyFill="1" applyBorder="1" applyAlignment="1" applyProtection="1">
      <alignment horizontal="center" vertical="center" wrapText="1"/>
    </xf>
    <xf numFmtId="164" fontId="2" fillId="6" borderId="16" xfId="0" applyNumberFormat="1" applyFont="1" applyFill="1" applyBorder="1" applyAlignment="1" applyProtection="1">
      <alignment horizontal="center" vertical="center" wrapText="1"/>
    </xf>
    <xf numFmtId="167" fontId="0" fillId="14" borderId="52" xfId="0" applyNumberFormat="1" applyFill="1" applyBorder="1" applyAlignment="1" applyProtection="1">
      <alignment horizontal="center"/>
    </xf>
    <xf numFmtId="167" fontId="0" fillId="14" borderId="50" xfId="0" applyNumberFormat="1" applyFill="1" applyBorder="1" applyAlignment="1" applyProtection="1">
      <alignment horizontal="center"/>
    </xf>
    <xf numFmtId="167" fontId="0" fillId="14" borderId="51" xfId="0" applyNumberFormat="1" applyFill="1" applyBorder="1" applyAlignment="1" applyProtection="1">
      <alignment horizontal="center"/>
    </xf>
    <xf numFmtId="165" fontId="0" fillId="14" borderId="65" xfId="1" applyNumberFormat="1" applyFont="1" applyFill="1" applyBorder="1" applyAlignment="1" applyProtection="1">
      <alignment horizontal="center"/>
    </xf>
    <xf numFmtId="165" fontId="0" fillId="14" borderId="66" xfId="1" applyNumberFormat="1" applyFont="1" applyFill="1" applyBorder="1" applyAlignment="1" applyProtection="1">
      <alignment horizontal="center"/>
    </xf>
    <xf numFmtId="165" fontId="0" fillId="14" borderId="67" xfId="1" applyNumberFormat="1" applyFont="1" applyFill="1" applyBorder="1" applyAlignment="1" applyProtection="1">
      <alignment horizontal="center"/>
    </xf>
    <xf numFmtId="0" fontId="5" fillId="14" borderId="58" xfId="0" applyFont="1" applyFill="1" applyBorder="1" applyAlignment="1" applyProtection="1">
      <alignment horizontal="center"/>
    </xf>
    <xf numFmtId="164" fontId="2" fillId="4" borderId="68" xfId="0" applyNumberFormat="1" applyFont="1" applyFill="1" applyBorder="1" applyAlignment="1" applyProtection="1">
      <alignment horizontal="center" vertical="center" wrapText="1"/>
    </xf>
    <xf numFmtId="164" fontId="2" fillId="4" borderId="69" xfId="0" applyNumberFormat="1" applyFont="1" applyFill="1" applyBorder="1" applyAlignment="1" applyProtection="1">
      <alignment horizontal="center" vertical="center" wrapText="1"/>
    </xf>
    <xf numFmtId="164" fontId="2" fillId="4" borderId="71" xfId="0" applyNumberFormat="1" applyFont="1" applyFill="1" applyBorder="1" applyAlignment="1" applyProtection="1">
      <alignment horizontal="center" vertical="center" wrapText="1"/>
    </xf>
    <xf numFmtId="164" fontId="2" fillId="4" borderId="70" xfId="0" applyNumberFormat="1" applyFont="1" applyFill="1" applyBorder="1" applyAlignment="1" applyProtection="1">
      <alignment horizontal="center" vertical="center" wrapText="1"/>
    </xf>
    <xf numFmtId="164" fontId="2" fillId="4" borderId="72" xfId="0" applyNumberFormat="1" applyFont="1" applyFill="1" applyBorder="1" applyAlignment="1" applyProtection="1">
      <alignment horizontal="center" vertical="center" wrapText="1"/>
    </xf>
    <xf numFmtId="165" fontId="0" fillId="14" borderId="73" xfId="0" applyNumberFormat="1" applyFill="1" applyBorder="1" applyAlignment="1" applyProtection="1">
      <alignment horizontal="center"/>
    </xf>
    <xf numFmtId="165" fontId="0" fillId="14" borderId="74" xfId="0" applyNumberFormat="1" applyFill="1" applyBorder="1" applyAlignment="1" applyProtection="1">
      <alignment horizontal="center"/>
    </xf>
    <xf numFmtId="165" fontId="0" fillId="14" borderId="75" xfId="0" applyNumberFormat="1" applyFill="1" applyBorder="1" applyAlignment="1" applyProtection="1">
      <alignment horizontal="center"/>
    </xf>
    <xf numFmtId="0" fontId="5" fillId="9" borderId="18" xfId="0" applyFont="1" applyFill="1" applyBorder="1"/>
    <xf numFmtId="0" fontId="0" fillId="9" borderId="20" xfId="0" applyFill="1" applyBorder="1"/>
    <xf numFmtId="0" fontId="5" fillId="4" borderId="18" xfId="0" applyFont="1" applyFill="1" applyBorder="1"/>
    <xf numFmtId="0" fontId="0" fillId="4" borderId="20" xfId="0" applyFill="1" applyBorder="1"/>
    <xf numFmtId="0" fontId="5" fillId="23" borderId="18" xfId="0" applyFont="1" applyFill="1" applyBorder="1"/>
    <xf numFmtId="0" fontId="0" fillId="23" borderId="20" xfId="0" applyFill="1" applyBorder="1"/>
    <xf numFmtId="165" fontId="0" fillId="0" borderId="16" xfId="1" applyNumberFormat="1" applyFont="1" applyBorder="1" applyAlignment="1">
      <alignment horizontal="center"/>
    </xf>
    <xf numFmtId="0" fontId="0" fillId="0" borderId="0" xfId="0" applyAlignment="1">
      <alignment horizontal="left" vertical="center" wrapText="1"/>
    </xf>
    <xf numFmtId="0" fontId="0" fillId="0" borderId="0" xfId="0" applyAlignment="1">
      <alignment horizontal="right" vertical="center"/>
    </xf>
    <xf numFmtId="0" fontId="5" fillId="0" borderId="0" xfId="0" applyFont="1" applyAlignment="1">
      <alignment horizontal="center"/>
    </xf>
    <xf numFmtId="0" fontId="0" fillId="0" borderId="0" xfId="0" applyAlignment="1" applyProtection="1">
      <alignment horizontal="right"/>
      <protection locked="0"/>
    </xf>
    <xf numFmtId="0" fontId="12" fillId="0" borderId="0" xfId="0" applyFont="1" applyBorder="1" applyAlignment="1" applyProtection="1">
      <alignment horizontal="center" vertical="center" wrapText="1"/>
      <protection locked="0"/>
    </xf>
    <xf numFmtId="0" fontId="0" fillId="0" borderId="0" xfId="0" applyAlignment="1" applyProtection="1">
      <alignment horizontal="center"/>
      <protection locked="0"/>
    </xf>
    <xf numFmtId="0" fontId="0" fillId="0" borderId="0" xfId="0" applyBorder="1" applyAlignment="1" applyProtection="1">
      <protection locked="0"/>
    </xf>
    <xf numFmtId="0" fontId="5" fillId="15" borderId="7" xfId="0" applyFont="1" applyFill="1" applyBorder="1" applyAlignment="1" applyProtection="1">
      <alignment horizontal="center"/>
      <protection locked="0"/>
    </xf>
    <xf numFmtId="0" fontId="5" fillId="0" borderId="0" xfId="0" applyFont="1" applyBorder="1" applyAlignment="1" applyProtection="1">
      <alignment horizontal="center"/>
      <protection locked="0"/>
    </xf>
    <xf numFmtId="0" fontId="13" fillId="0" borderId="0" xfId="0" applyFont="1" applyBorder="1" applyAlignment="1" applyProtection="1">
      <alignment horizontal="center"/>
      <protection locked="0"/>
    </xf>
    <xf numFmtId="0" fontId="0" fillId="15" borderId="0" xfId="0" applyFill="1" applyAlignment="1" applyProtection="1">
      <alignment horizontal="center"/>
      <protection locked="0"/>
    </xf>
    <xf numFmtId="0" fontId="0" fillId="0" borderId="0" xfId="0" applyBorder="1" applyAlignment="1" applyProtection="1">
      <alignment horizontal="center"/>
      <protection locked="0"/>
    </xf>
    <xf numFmtId="165" fontId="0" fillId="0" borderId="0" xfId="1" applyNumberFormat="1" applyFont="1" applyBorder="1" applyAlignment="1" applyProtection="1">
      <alignment horizontal="center"/>
      <protection locked="0"/>
    </xf>
    <xf numFmtId="0" fontId="5" fillId="15" borderId="53" xfId="0" applyFont="1" applyFill="1" applyBorder="1" applyAlignment="1" applyProtection="1">
      <alignment horizontal="center"/>
      <protection locked="0"/>
    </xf>
    <xf numFmtId="165" fontId="0" fillId="15" borderId="7" xfId="1" applyNumberFormat="1" applyFont="1" applyFill="1" applyBorder="1" applyAlignment="1" applyProtection="1">
      <alignment horizontal="center"/>
      <protection locked="0"/>
    </xf>
    <xf numFmtId="164" fontId="0" fillId="15" borderId="7" xfId="0" applyNumberFormat="1" applyFill="1" applyBorder="1" applyAlignment="1" applyProtection="1">
      <alignment horizontal="center"/>
      <protection locked="0"/>
    </xf>
    <xf numFmtId="0" fontId="0" fillId="0" borderId="0" xfId="0" applyAlignment="1" applyProtection="1">
      <protection locked="0"/>
    </xf>
    <xf numFmtId="0" fontId="0" fillId="0" borderId="0" xfId="0" applyBorder="1" applyAlignment="1" applyProtection="1">
      <alignment horizontal="center" vertical="center" wrapText="1"/>
      <protection locked="0"/>
    </xf>
    <xf numFmtId="0" fontId="0" fillId="0" borderId="0" xfId="0" applyBorder="1" applyAlignment="1" applyProtection="1">
      <alignment horizontal="center" vertical="center"/>
      <protection locked="0"/>
    </xf>
    <xf numFmtId="0" fontId="0" fillId="0" borderId="0" xfId="0" applyAlignment="1" applyProtection="1">
      <alignment horizontal="right" vertical="top"/>
      <protection locked="0"/>
    </xf>
    <xf numFmtId="165" fontId="15" fillId="0" borderId="0" xfId="1" applyNumberFormat="1" applyFont="1" applyBorder="1" applyAlignment="1" applyProtection="1">
      <alignment horizontal="center" vertical="top"/>
      <protection locked="0"/>
    </xf>
    <xf numFmtId="0" fontId="0" fillId="0" borderId="36" xfId="0" applyBorder="1" applyProtection="1">
      <protection locked="0"/>
    </xf>
    <xf numFmtId="0" fontId="0" fillId="0" borderId="0" xfId="0" applyFill="1" applyBorder="1" applyAlignment="1" applyProtection="1">
      <alignment wrapText="1"/>
      <protection locked="0"/>
    </xf>
    <xf numFmtId="0" fontId="0" fillId="0" borderId="0" xfId="0" applyBorder="1" applyProtection="1">
      <protection locked="0"/>
    </xf>
    <xf numFmtId="0" fontId="0" fillId="0" borderId="0" xfId="0" applyFill="1" applyBorder="1" applyAlignment="1" applyProtection="1">
      <protection locked="0"/>
    </xf>
    <xf numFmtId="0" fontId="0" fillId="0" borderId="0" xfId="0" applyAlignment="1" applyProtection="1">
      <alignment horizontal="left"/>
    </xf>
    <xf numFmtId="14" fontId="0" fillId="0" borderId="0" xfId="0" applyNumberFormat="1" applyAlignment="1" applyProtection="1">
      <alignment horizontal="left"/>
    </xf>
    <xf numFmtId="0" fontId="17" fillId="0" borderId="0" xfId="0" applyFont="1" applyAlignment="1" applyProtection="1">
      <alignment horizontal="left"/>
    </xf>
    <xf numFmtId="0" fontId="13" fillId="0" borderId="0" xfId="0" applyFont="1" applyBorder="1" applyAlignment="1" applyProtection="1">
      <alignment horizontal="center"/>
    </xf>
    <xf numFmtId="0" fontId="0" fillId="0" borderId="38" xfId="0" applyBorder="1" applyAlignment="1" applyProtection="1">
      <alignment horizontal="center"/>
    </xf>
    <xf numFmtId="0" fontId="0" fillId="0" borderId="39" xfId="0" applyBorder="1" applyAlignment="1" applyProtection="1">
      <alignment horizontal="center"/>
    </xf>
    <xf numFmtId="0" fontId="0" fillId="0" borderId="40" xfId="0" applyBorder="1" applyAlignment="1" applyProtection="1">
      <alignment horizontal="center"/>
    </xf>
    <xf numFmtId="0" fontId="0" fillId="0" borderId="0" xfId="0" applyBorder="1" applyAlignment="1" applyProtection="1">
      <alignment horizontal="center"/>
    </xf>
    <xf numFmtId="0" fontId="0" fillId="0" borderId="0" xfId="0" applyAlignment="1" applyProtection="1">
      <alignment horizontal="right"/>
    </xf>
    <xf numFmtId="0" fontId="12" fillId="0" borderId="0" xfId="0" applyFont="1" applyBorder="1" applyAlignment="1" applyProtection="1">
      <alignment horizontal="center" vertical="center" wrapText="1"/>
    </xf>
    <xf numFmtId="165" fontId="0" fillId="0" borderId="16" xfId="1" applyNumberFormat="1" applyFont="1" applyBorder="1" applyAlignment="1" applyProtection="1">
      <alignment horizontal="center" vertical="center" shrinkToFit="1"/>
    </xf>
    <xf numFmtId="165" fontId="0" fillId="0" borderId="50" xfId="1" applyNumberFormat="1" applyFont="1" applyBorder="1" applyAlignment="1" applyProtection="1">
      <alignment horizontal="center" vertical="center"/>
    </xf>
    <xf numFmtId="165" fontId="0" fillId="0" borderId="51" xfId="1" applyNumberFormat="1" applyFont="1" applyBorder="1" applyAlignment="1" applyProtection="1">
      <alignment horizontal="center" vertical="center"/>
    </xf>
    <xf numFmtId="165" fontId="0" fillId="0" borderId="33" xfId="1" applyNumberFormat="1" applyFont="1" applyBorder="1" applyAlignment="1" applyProtection="1">
      <alignment horizontal="center" vertical="center" shrinkToFit="1"/>
    </xf>
    <xf numFmtId="165" fontId="0" fillId="0" borderId="0" xfId="1" applyNumberFormat="1" applyFont="1" applyBorder="1" applyAlignment="1" applyProtection="1">
      <alignment horizontal="center" vertical="center"/>
    </xf>
    <xf numFmtId="165" fontId="0" fillId="0" borderId="0" xfId="1" applyNumberFormat="1" applyFont="1" applyBorder="1" applyAlignment="1" applyProtection="1">
      <alignment horizontal="center" vertical="center" shrinkToFit="1"/>
    </xf>
    <xf numFmtId="0" fontId="0" fillId="0" borderId="57" xfId="0" applyBorder="1" applyAlignment="1" applyProtection="1">
      <alignment horizontal="center"/>
    </xf>
    <xf numFmtId="165" fontId="0" fillId="0" borderId="22" xfId="1" applyNumberFormat="1" applyFont="1" applyBorder="1" applyAlignment="1" applyProtection="1">
      <alignment horizontal="center" vertical="center" shrinkToFit="1"/>
    </xf>
    <xf numFmtId="165" fontId="0" fillId="0" borderId="21" xfId="1" applyNumberFormat="1" applyFont="1" applyBorder="1" applyAlignment="1" applyProtection="1">
      <alignment horizontal="center" vertical="center"/>
    </xf>
    <xf numFmtId="165" fontId="0" fillId="0" borderId="55" xfId="1" applyNumberFormat="1" applyFont="1" applyBorder="1" applyAlignment="1" applyProtection="1">
      <alignment horizontal="center" vertical="center" shrinkToFit="1"/>
    </xf>
    <xf numFmtId="165" fontId="0" fillId="0" borderId="10" xfId="1" applyNumberFormat="1" applyFont="1" applyBorder="1" applyAlignment="1" applyProtection="1">
      <alignment horizontal="center" vertical="center"/>
    </xf>
    <xf numFmtId="165" fontId="0" fillId="0" borderId="12" xfId="1" applyNumberFormat="1" applyFont="1" applyBorder="1" applyAlignment="1" applyProtection="1">
      <alignment horizontal="center" vertical="center"/>
    </xf>
    <xf numFmtId="165" fontId="0" fillId="0" borderId="56" xfId="1" applyNumberFormat="1" applyFont="1" applyBorder="1" applyAlignment="1" applyProtection="1">
      <alignment horizontal="center" vertical="center" shrinkToFit="1"/>
    </xf>
    <xf numFmtId="0" fontId="11" fillId="0" borderId="0" xfId="0" applyFont="1" applyAlignment="1" applyProtection="1">
      <alignment horizontal="center"/>
    </xf>
    <xf numFmtId="0" fontId="0" fillId="22" borderId="53" xfId="0" applyFill="1" applyBorder="1" applyAlignment="1" applyProtection="1">
      <alignment horizontal="center"/>
    </xf>
    <xf numFmtId="0" fontId="0" fillId="22" borderId="58" xfId="0" applyFill="1" applyBorder="1" applyAlignment="1" applyProtection="1">
      <alignment horizontal="center"/>
    </xf>
    <xf numFmtId="0" fontId="0" fillId="22" borderId="16" xfId="0" applyFill="1" applyBorder="1" applyAlignment="1" applyProtection="1">
      <alignment horizontal="center"/>
    </xf>
    <xf numFmtId="165" fontId="0" fillId="0" borderId="8" xfId="1" quotePrefix="1" applyNumberFormat="1" applyFont="1" applyBorder="1" applyAlignment="1" applyProtection="1">
      <alignment horizontal="center"/>
    </xf>
    <xf numFmtId="0" fontId="0" fillId="0" borderId="7" xfId="0" applyBorder="1" applyAlignment="1" applyProtection="1">
      <alignment horizontal="center"/>
    </xf>
    <xf numFmtId="0" fontId="11" fillId="0" borderId="0" xfId="0" applyFont="1" applyAlignment="1" applyProtection="1">
      <alignment horizontal="left"/>
    </xf>
    <xf numFmtId="0" fontId="5" fillId="0" borderId="36" xfId="0" applyFont="1" applyBorder="1" applyAlignment="1">
      <alignment horizontal="right" vertical="center"/>
    </xf>
    <xf numFmtId="0" fontId="5" fillId="0" borderId="44" xfId="0" applyFont="1" applyBorder="1" applyAlignment="1">
      <alignment horizontal="right"/>
    </xf>
    <xf numFmtId="0" fontId="5" fillId="0" borderId="44" xfId="0" applyFont="1" applyBorder="1" applyAlignment="1">
      <alignment horizontal="right" vertical="center"/>
    </xf>
    <xf numFmtId="0" fontId="0" fillId="0" borderId="36" xfId="0" applyBorder="1" applyAlignment="1" applyProtection="1">
      <alignment horizontal="left"/>
    </xf>
    <xf numFmtId="0" fontId="5" fillId="4" borderId="20" xfId="0" applyFont="1" applyFill="1" applyBorder="1"/>
    <xf numFmtId="0" fontId="5" fillId="0" borderId="0" xfId="0" applyFont="1" applyFill="1" applyBorder="1" applyAlignment="1">
      <alignment horizontal="center"/>
    </xf>
    <xf numFmtId="0" fontId="5" fillId="0" borderId="10" xfId="0" applyFont="1" applyFill="1" applyBorder="1" applyAlignment="1">
      <alignment horizontal="center"/>
    </xf>
    <xf numFmtId="0" fontId="5" fillId="0" borderId="11" xfId="0" applyFont="1" applyFill="1" applyBorder="1"/>
    <xf numFmtId="0" fontId="0" fillId="0" borderId="10" xfId="0" applyFill="1" applyBorder="1" applyAlignment="1">
      <alignment horizontal="center"/>
    </xf>
    <xf numFmtId="164" fontId="0" fillId="0" borderId="11" xfId="0" applyNumberFormat="1" applyFill="1" applyBorder="1" applyAlignment="1">
      <alignment horizontal="center"/>
    </xf>
    <xf numFmtId="164" fontId="0" fillId="0" borderId="10" xfId="0" applyNumberFormat="1" applyBorder="1" applyAlignment="1">
      <alignment horizontal="center"/>
    </xf>
    <xf numFmtId="164" fontId="0" fillId="0" borderId="11" xfId="0" applyNumberFormat="1" applyBorder="1" applyAlignment="1">
      <alignment horizontal="center"/>
    </xf>
    <xf numFmtId="164" fontId="0" fillId="0" borderId="12" xfId="0" applyNumberFormat="1" applyBorder="1" applyAlignment="1">
      <alignment horizontal="center"/>
    </xf>
    <xf numFmtId="167" fontId="0" fillId="0" borderId="13" xfId="0" applyNumberFormat="1" applyBorder="1" applyAlignment="1">
      <alignment horizontal="center"/>
    </xf>
    <xf numFmtId="164" fontId="0" fillId="0" borderId="14" xfId="0" applyNumberFormat="1" applyBorder="1" applyAlignment="1">
      <alignment horizontal="center"/>
    </xf>
    <xf numFmtId="0" fontId="5" fillId="0" borderId="11" xfId="0" applyFont="1" applyFill="1" applyBorder="1" applyAlignment="1">
      <alignment horizontal="center"/>
    </xf>
    <xf numFmtId="167" fontId="0" fillId="0" borderId="11" xfId="0" applyNumberFormat="1" applyBorder="1" applyAlignment="1">
      <alignment horizontal="center"/>
    </xf>
    <xf numFmtId="0" fontId="0" fillId="0" borderId="12" xfId="0" applyFill="1" applyBorder="1" applyAlignment="1">
      <alignment horizontal="center"/>
    </xf>
    <xf numFmtId="164" fontId="0" fillId="0" borderId="13" xfId="0" applyNumberFormat="1" applyBorder="1" applyAlignment="1">
      <alignment horizontal="center"/>
    </xf>
    <xf numFmtId="167" fontId="0" fillId="0" borderId="14" xfId="0" applyNumberFormat="1" applyBorder="1" applyAlignment="1">
      <alignment horizontal="center"/>
    </xf>
    <xf numFmtId="167" fontId="0" fillId="0" borderId="0" xfId="0" applyNumberFormat="1" applyBorder="1" applyAlignment="1">
      <alignment horizontal="center"/>
    </xf>
    <xf numFmtId="0" fontId="5" fillId="0" borderId="57" xfId="0" applyFont="1" applyFill="1" applyBorder="1" applyAlignment="1">
      <alignment horizontal="center"/>
    </xf>
    <xf numFmtId="0" fontId="0" fillId="0" borderId="39" xfId="0" applyBorder="1" applyAlignment="1">
      <alignment horizontal="center"/>
    </xf>
    <xf numFmtId="0" fontId="5" fillId="0" borderId="39" xfId="0" applyFont="1" applyFill="1" applyBorder="1" applyAlignment="1">
      <alignment horizontal="center"/>
    </xf>
    <xf numFmtId="0" fontId="0" fillId="0" borderId="40" xfId="0" applyBorder="1" applyAlignment="1">
      <alignment horizontal="center"/>
    </xf>
    <xf numFmtId="0" fontId="0" fillId="0" borderId="0" xfId="0" applyAlignment="1">
      <alignment horizontal="center"/>
    </xf>
    <xf numFmtId="0" fontId="0" fillId="0" borderId="0" xfId="0" applyAlignment="1">
      <alignment wrapText="1"/>
    </xf>
    <xf numFmtId="0" fontId="0" fillId="0" borderId="7" xfId="0" applyBorder="1" applyAlignment="1">
      <alignment horizontal="center"/>
    </xf>
    <xf numFmtId="0" fontId="0" fillId="0" borderId="0" xfId="0" applyAlignment="1">
      <alignment horizontal="center"/>
    </xf>
    <xf numFmtId="0" fontId="0" fillId="2" borderId="7" xfId="0" applyFill="1" applyBorder="1" applyAlignment="1">
      <alignment horizontal="center"/>
    </xf>
    <xf numFmtId="0" fontId="0" fillId="25" borderId="7" xfId="0" applyFill="1" applyBorder="1" applyAlignment="1">
      <alignment horizontal="center"/>
    </xf>
    <xf numFmtId="0" fontId="0" fillId="26" borderId="7" xfId="0" applyFill="1" applyBorder="1" applyAlignment="1">
      <alignment horizontal="center"/>
    </xf>
    <xf numFmtId="0" fontId="0" fillId="27" borderId="7" xfId="0" applyFill="1" applyBorder="1" applyAlignment="1">
      <alignment horizontal="center"/>
    </xf>
    <xf numFmtId="0" fontId="0" fillId="28" borderId="7" xfId="0" applyFill="1" applyBorder="1" applyAlignment="1">
      <alignment horizontal="center"/>
    </xf>
    <xf numFmtId="0" fontId="0" fillId="24" borderId="7" xfId="0" applyFill="1" applyBorder="1" applyAlignment="1">
      <alignment horizontal="center"/>
    </xf>
    <xf numFmtId="0" fontId="0" fillId="0" borderId="0" xfId="0" applyAlignment="1">
      <alignment horizontal="center" wrapText="1"/>
    </xf>
    <xf numFmtId="0" fontId="0" fillId="0" borderId="7" xfId="0" applyBorder="1" applyAlignment="1">
      <alignment horizontal="center" vertical="center" wrapText="1"/>
    </xf>
    <xf numFmtId="0" fontId="5" fillId="0" borderId="25" xfId="0" applyFont="1" applyBorder="1" applyAlignment="1">
      <alignment horizontal="center" vertical="center" wrapText="1"/>
    </xf>
    <xf numFmtId="0" fontId="0" fillId="0" borderId="57"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5" fillId="0" borderId="23" xfId="0" applyFont="1" applyBorder="1" applyAlignment="1">
      <alignment horizontal="center" vertical="center" wrapText="1"/>
    </xf>
    <xf numFmtId="0" fontId="5" fillId="0" borderId="21" xfId="0" applyFont="1" applyBorder="1" applyAlignment="1">
      <alignment horizontal="center" vertical="center" wrapText="1"/>
    </xf>
    <xf numFmtId="0" fontId="0" fillId="0" borderId="7" xfId="0" applyBorder="1" applyAlignment="1">
      <alignment horizontal="right"/>
    </xf>
    <xf numFmtId="164" fontId="0" fillId="0" borderId="25" xfId="0" applyNumberFormat="1" applyBorder="1" applyAlignment="1">
      <alignment horizontal="center"/>
    </xf>
    <xf numFmtId="2" fontId="5" fillId="0" borderId="39" xfId="0" applyNumberFormat="1" applyFont="1" applyBorder="1" applyAlignment="1">
      <alignment horizontal="center"/>
    </xf>
    <xf numFmtId="11" fontId="0" fillId="0" borderId="7" xfId="0" applyNumberFormat="1" applyBorder="1" applyAlignment="1">
      <alignment horizontal="center"/>
    </xf>
    <xf numFmtId="1" fontId="0" fillId="0" borderId="11" xfId="0" applyNumberFormat="1" applyBorder="1" applyAlignment="1">
      <alignment horizontal="center"/>
    </xf>
    <xf numFmtId="165" fontId="0" fillId="0" borderId="0" xfId="1" applyNumberFormat="1" applyFont="1"/>
    <xf numFmtId="2" fontId="5" fillId="0" borderId="40" xfId="0" applyNumberFormat="1" applyFont="1" applyBorder="1" applyAlignment="1">
      <alignment horizontal="center"/>
    </xf>
    <xf numFmtId="11" fontId="0" fillId="0" borderId="13" xfId="0" applyNumberFormat="1" applyBorder="1" applyAlignment="1">
      <alignment horizontal="center"/>
    </xf>
    <xf numFmtId="1" fontId="0" fillId="0" borderId="14" xfId="0" applyNumberFormat="1" applyBorder="1" applyAlignment="1">
      <alignment horizontal="center"/>
    </xf>
    <xf numFmtId="0" fontId="0" fillId="0" borderId="11" xfId="0" applyBorder="1" applyAlignment="1">
      <alignment horizontal="center"/>
    </xf>
    <xf numFmtId="0" fontId="0" fillId="0" borderId="14" xfId="0" applyBorder="1" applyAlignment="1">
      <alignment horizontal="center"/>
    </xf>
    <xf numFmtId="0" fontId="0" fillId="0" borderId="0" xfId="0" applyAlignment="1">
      <alignment horizontal="left" vertical="center" wrapText="1"/>
    </xf>
    <xf numFmtId="0" fontId="5" fillId="0" borderId="0" xfId="0" applyFont="1" applyAlignment="1">
      <alignment horizontal="center"/>
    </xf>
    <xf numFmtId="0" fontId="5" fillId="0" borderId="0" xfId="0" applyFont="1" applyAlignment="1">
      <alignment horizontal="center"/>
    </xf>
    <xf numFmtId="0" fontId="0" fillId="0" borderId="0" xfId="0" applyAlignment="1">
      <alignment horizontal="left" vertical="center" wrapText="1"/>
    </xf>
    <xf numFmtId="2" fontId="5" fillId="0" borderId="10" xfId="0" applyNumberFormat="1" applyFont="1" applyBorder="1" applyAlignment="1">
      <alignment horizontal="center"/>
    </xf>
    <xf numFmtId="2" fontId="5" fillId="0" borderId="12" xfId="0" applyNumberFormat="1" applyFont="1" applyBorder="1" applyAlignment="1">
      <alignment horizontal="center"/>
    </xf>
    <xf numFmtId="11" fontId="0" fillId="0" borderId="10" xfId="0" applyNumberFormat="1" applyBorder="1" applyAlignment="1">
      <alignment horizontal="center"/>
    </xf>
    <xf numFmtId="11" fontId="0" fillId="0" borderId="12" xfId="0" applyNumberFormat="1" applyBorder="1" applyAlignment="1">
      <alignment horizontal="center"/>
    </xf>
    <xf numFmtId="165" fontId="0" fillId="0" borderId="7" xfId="1" applyNumberFormat="1" applyFont="1" applyBorder="1" applyAlignment="1" applyProtection="1">
      <alignment horizontal="center" vertical="center" shrinkToFit="1"/>
    </xf>
    <xf numFmtId="165" fontId="0" fillId="0" borderId="0" xfId="1" applyNumberFormat="1" applyFont="1" applyFill="1" applyBorder="1" applyAlignment="1" applyProtection="1">
      <alignment horizontal="center" vertical="center" shrinkToFit="1"/>
      <protection locked="0"/>
    </xf>
    <xf numFmtId="0" fontId="0" fillId="0" borderId="0" xfId="0" applyFill="1" applyBorder="1" applyAlignment="1" applyProtection="1">
      <alignment vertical="center" wrapText="1"/>
      <protection locked="0"/>
    </xf>
    <xf numFmtId="0" fontId="8" fillId="0" borderId="0" xfId="3" applyFill="1" applyBorder="1" applyAlignment="1">
      <alignment wrapText="1"/>
    </xf>
    <xf numFmtId="0" fontId="0" fillId="0" borderId="0" xfId="0" applyFill="1" applyBorder="1" applyAlignment="1">
      <alignment wrapText="1"/>
    </xf>
    <xf numFmtId="0" fontId="7" fillId="0" borderId="0" xfId="2" applyFill="1" applyBorder="1" applyAlignment="1">
      <alignment wrapText="1"/>
    </xf>
    <xf numFmtId="165" fontId="0" fillId="0" borderId="49" xfId="1" applyNumberFormat="1" applyFont="1" applyBorder="1" applyAlignment="1" applyProtection="1">
      <alignment horizontal="center" vertical="center" shrinkToFit="1"/>
    </xf>
    <xf numFmtId="165" fontId="0" fillId="0" borderId="13" xfId="1" applyNumberFormat="1" applyFont="1" applyBorder="1" applyAlignment="1" applyProtection="1">
      <alignment horizontal="center" vertical="center" shrinkToFit="1"/>
    </xf>
    <xf numFmtId="2" fontId="0" fillId="0" borderId="7" xfId="0" applyNumberFormat="1" applyBorder="1" applyAlignment="1">
      <alignment horizontal="center"/>
    </xf>
    <xf numFmtId="0" fontId="0" fillId="0" borderId="0" xfId="0" applyFill="1" applyBorder="1" applyAlignment="1"/>
    <xf numFmtId="0" fontId="5" fillId="0" borderId="0" xfId="0" applyFont="1" applyFill="1" applyBorder="1" applyAlignment="1">
      <alignment horizontal="left" vertical="center"/>
    </xf>
    <xf numFmtId="0" fontId="5" fillId="0" borderId="0" xfId="0" applyFont="1" applyFill="1" applyBorder="1" applyAlignment="1">
      <alignment vertical="center"/>
    </xf>
    <xf numFmtId="0" fontId="21" fillId="29" borderId="0" xfId="0" applyFont="1" applyFill="1" applyBorder="1" applyAlignment="1">
      <alignment horizontal="center"/>
    </xf>
    <xf numFmtId="0" fontId="21" fillId="29" borderId="45" xfId="0" applyFont="1" applyFill="1" applyBorder="1" applyAlignment="1">
      <alignment horizontal="left"/>
    </xf>
    <xf numFmtId="0" fontId="21" fillId="29" borderId="46" xfId="0" applyFont="1" applyFill="1" applyBorder="1" applyAlignment="1">
      <alignment horizontal="center"/>
    </xf>
    <xf numFmtId="0" fontId="21" fillId="29" borderId="47" xfId="0" applyFont="1" applyFill="1" applyBorder="1" applyAlignment="1">
      <alignment horizontal="center"/>
    </xf>
    <xf numFmtId="0" fontId="21" fillId="29" borderId="48" xfId="0" applyFont="1" applyFill="1" applyBorder="1" applyAlignment="1">
      <alignment horizontal="left"/>
    </xf>
    <xf numFmtId="0" fontId="21" fillId="29" borderId="41" xfId="0" applyFont="1" applyFill="1" applyBorder="1" applyAlignment="1">
      <alignment horizontal="center"/>
    </xf>
    <xf numFmtId="0" fontId="17" fillId="0" borderId="0" xfId="0" applyFont="1" applyAlignment="1">
      <alignment horizontal="left" vertical="center" wrapText="1"/>
    </xf>
    <xf numFmtId="0" fontId="0" fillId="0" borderId="0" xfId="0" applyAlignment="1">
      <alignment horizontal="left" vertical="center"/>
    </xf>
    <xf numFmtId="0" fontId="5" fillId="0" borderId="0" xfId="0" applyFont="1" applyAlignment="1" applyProtection="1">
      <alignment horizontal="right"/>
    </xf>
    <xf numFmtId="0" fontId="0" fillId="0" borderId="0" xfId="0" applyAlignment="1" applyProtection="1"/>
    <xf numFmtId="164" fontId="0" fillId="15" borderId="16" xfId="0" applyNumberFormat="1" applyFill="1" applyBorder="1" applyAlignment="1" applyProtection="1">
      <alignment horizontal="center"/>
      <protection locked="0"/>
    </xf>
    <xf numFmtId="2" fontId="0" fillId="15" borderId="7" xfId="0" applyNumberFormat="1" applyFill="1" applyBorder="1" applyAlignment="1" applyProtection="1">
      <alignment horizontal="center"/>
      <protection locked="0"/>
    </xf>
    <xf numFmtId="0" fontId="0" fillId="0" borderId="0" xfId="0" applyFill="1" applyBorder="1" applyProtection="1">
      <protection locked="0"/>
    </xf>
    <xf numFmtId="0" fontId="0" fillId="30" borderId="0" xfId="0" applyFill="1" applyBorder="1" applyAlignment="1" applyProtection="1">
      <protection locked="0"/>
    </xf>
    <xf numFmtId="0" fontId="0" fillId="30" borderId="41" xfId="0" applyFill="1" applyBorder="1" applyAlignment="1" applyProtection="1">
      <protection locked="0"/>
    </xf>
    <xf numFmtId="0" fontId="0" fillId="30" borderId="9" xfId="0" applyFill="1" applyBorder="1" applyProtection="1">
      <protection locked="0"/>
    </xf>
    <xf numFmtId="0" fontId="0" fillId="30" borderId="4" xfId="0" applyFill="1" applyBorder="1" applyProtection="1">
      <protection locked="0"/>
    </xf>
    <xf numFmtId="0" fontId="0" fillId="0" borderId="0" xfId="0" applyAlignment="1">
      <alignment horizontal="center"/>
    </xf>
    <xf numFmtId="165" fontId="0" fillId="0" borderId="27" xfId="1" applyNumberFormat="1" applyFont="1" applyBorder="1" applyAlignment="1" applyProtection="1">
      <alignment horizontal="center" vertical="center" shrinkToFit="1"/>
    </xf>
    <xf numFmtId="165" fontId="0" fillId="0" borderId="33" xfId="1" applyNumberFormat="1" applyFont="1" applyBorder="1" applyAlignment="1" applyProtection="1">
      <alignment horizontal="center"/>
    </xf>
    <xf numFmtId="0" fontId="0" fillId="0" borderId="52" xfId="0" applyBorder="1" applyAlignment="1" applyProtection="1">
      <alignment horizontal="center"/>
    </xf>
    <xf numFmtId="0" fontId="0" fillId="0" borderId="50" xfId="0" applyBorder="1" applyAlignment="1" applyProtection="1">
      <alignment horizontal="center"/>
    </xf>
    <xf numFmtId="0" fontId="0" fillId="0" borderId="51" xfId="0" applyBorder="1" applyAlignment="1" applyProtection="1">
      <alignment horizontal="center"/>
    </xf>
    <xf numFmtId="165" fontId="0" fillId="0" borderId="39" xfId="1" applyNumberFormat="1" applyFont="1" applyBorder="1" applyAlignment="1" applyProtection="1">
      <alignment horizontal="center"/>
    </xf>
    <xf numFmtId="165" fontId="0" fillId="0" borderId="40" xfId="1" applyNumberFormat="1" applyFont="1" applyBorder="1" applyAlignment="1" applyProtection="1">
      <alignment horizontal="center"/>
    </xf>
    <xf numFmtId="165" fontId="0" fillId="0" borderId="38" xfId="1" applyNumberFormat="1" applyFont="1" applyBorder="1" applyAlignment="1" applyProtection="1">
      <alignment horizontal="center"/>
    </xf>
    <xf numFmtId="0" fontId="0" fillId="0" borderId="36" xfId="0" applyBorder="1" applyProtection="1"/>
    <xf numFmtId="14" fontId="0" fillId="0" borderId="44" xfId="0" applyNumberFormat="1" applyBorder="1" applyAlignment="1" applyProtection="1">
      <alignment horizontal="left"/>
    </xf>
    <xf numFmtId="0" fontId="0" fillId="0" borderId="48" xfId="0" applyBorder="1" applyAlignment="1" applyProtection="1">
      <alignment horizontal="center"/>
      <protection locked="0"/>
    </xf>
    <xf numFmtId="0" fontId="22" fillId="30" borderId="18" xfId="0" applyFont="1" applyFill="1" applyBorder="1" applyAlignment="1" applyProtection="1">
      <alignment horizontal="center" vertical="center" wrapText="1"/>
      <protection locked="0"/>
    </xf>
    <xf numFmtId="0" fontId="23" fillId="30" borderId="46" xfId="0" applyFont="1" applyFill="1" applyBorder="1" applyAlignment="1" applyProtection="1">
      <protection locked="0"/>
    </xf>
    <xf numFmtId="0" fontId="0" fillId="30" borderId="46" xfId="0" applyFill="1" applyBorder="1" applyAlignment="1" applyProtection="1">
      <protection locked="0"/>
    </xf>
    <xf numFmtId="0" fontId="0" fillId="30" borderId="47" xfId="0" applyFill="1" applyBorder="1" applyAlignment="1" applyProtection="1">
      <alignment vertical="center"/>
      <protection locked="0"/>
    </xf>
    <xf numFmtId="0" fontId="23" fillId="30" borderId="0" xfId="0" applyFont="1" applyFill="1" applyBorder="1" applyAlignment="1" applyProtection="1">
      <protection locked="0"/>
    </xf>
    <xf numFmtId="0" fontId="23" fillId="30" borderId="9" xfId="0" applyFont="1" applyFill="1" applyBorder="1" applyAlignment="1" applyProtection="1">
      <protection locked="0"/>
    </xf>
    <xf numFmtId="0" fontId="0" fillId="30" borderId="45" xfId="0" applyFill="1" applyBorder="1" applyAlignment="1" applyProtection="1">
      <alignment horizontal="right"/>
      <protection locked="0"/>
    </xf>
    <xf numFmtId="165" fontId="0" fillId="30" borderId="48" xfId="1" applyNumberFormat="1" applyFont="1" applyFill="1" applyBorder="1" applyAlignment="1" applyProtection="1">
      <alignment horizontal="right"/>
      <protection locked="0"/>
    </xf>
    <xf numFmtId="0" fontId="0" fillId="30" borderId="3" xfId="0" applyFill="1" applyBorder="1" applyAlignment="1" applyProtection="1">
      <alignment horizontal="right"/>
      <protection locked="0"/>
    </xf>
    <xf numFmtId="0" fontId="0" fillId="30" borderId="48" xfId="0" applyFill="1" applyBorder="1" applyProtection="1">
      <protection locked="0"/>
    </xf>
    <xf numFmtId="0" fontId="0" fillId="30" borderId="0" xfId="0" applyFill="1" applyBorder="1" applyProtection="1">
      <protection locked="0"/>
    </xf>
    <xf numFmtId="2" fontId="0" fillId="0" borderId="60" xfId="0" applyNumberFormat="1" applyBorder="1" applyAlignment="1">
      <alignment horizontal="center"/>
    </xf>
    <xf numFmtId="2" fontId="0" fillId="0" borderId="44" xfId="0" applyNumberFormat="1" applyBorder="1" applyAlignment="1">
      <alignment horizontal="center"/>
    </xf>
    <xf numFmtId="164" fontId="0" fillId="0" borderId="44" xfId="0" applyNumberFormat="1" applyBorder="1" applyAlignment="1">
      <alignment horizontal="center"/>
    </xf>
    <xf numFmtId="164" fontId="0" fillId="0" borderId="60" xfId="0" applyNumberFormat="1" applyBorder="1" applyAlignment="1">
      <alignment horizontal="center"/>
    </xf>
    <xf numFmtId="164" fontId="0" fillId="0" borderId="7" xfId="0" applyNumberFormat="1" applyFill="1" applyBorder="1" applyAlignment="1" applyProtection="1">
      <alignment horizontal="center"/>
    </xf>
    <xf numFmtId="0" fontId="5" fillId="0" borderId="7" xfId="0" applyFont="1" applyBorder="1" applyAlignment="1">
      <alignment horizontal="center"/>
    </xf>
    <xf numFmtId="0" fontId="0" fillId="0" borderId="7" xfId="0" applyBorder="1" applyAlignment="1">
      <alignment horizontal="center"/>
    </xf>
    <xf numFmtId="0" fontId="5" fillId="0" borderId="7" xfId="0" applyFont="1" applyBorder="1" applyAlignment="1">
      <alignment horizontal="right"/>
    </xf>
    <xf numFmtId="0" fontId="0" fillId="0" borderId="8" xfId="0" applyBorder="1" applyAlignment="1">
      <alignment horizontal="center"/>
    </xf>
    <xf numFmtId="0" fontId="5" fillId="0" borderId="7" xfId="0" applyFont="1" applyFill="1" applyBorder="1" applyAlignment="1" applyProtection="1">
      <alignment horizontal="center"/>
    </xf>
    <xf numFmtId="0" fontId="5" fillId="0" borderId="8" xfId="0" applyFont="1" applyBorder="1" applyAlignment="1">
      <alignment horizontal="center"/>
    </xf>
    <xf numFmtId="164" fontId="0" fillId="0" borderId="8" xfId="0" applyNumberFormat="1" applyBorder="1" applyAlignment="1" applyProtection="1">
      <alignment horizontal="center"/>
    </xf>
    <xf numFmtId="0" fontId="16" fillId="0" borderId="0" xfId="0" applyFont="1"/>
    <xf numFmtId="0" fontId="16" fillId="0" borderId="0" xfId="0" applyFont="1" applyAlignment="1">
      <alignment shrinkToFit="1"/>
    </xf>
    <xf numFmtId="0" fontId="0" fillId="6" borderId="42" xfId="0" applyFill="1" applyBorder="1" applyAlignment="1" applyProtection="1">
      <alignment horizontal="left"/>
    </xf>
    <xf numFmtId="0" fontId="0" fillId="5" borderId="42" xfId="0" applyFill="1" applyBorder="1" applyAlignment="1" applyProtection="1">
      <alignment horizontal="left"/>
    </xf>
    <xf numFmtId="0" fontId="0" fillId="13" borderId="42" xfId="0" applyFill="1" applyBorder="1" applyAlignment="1" applyProtection="1">
      <alignment horizontal="left"/>
    </xf>
    <xf numFmtId="0" fontId="0" fillId="9" borderId="42" xfId="0" applyFill="1" applyBorder="1" applyAlignment="1" applyProtection="1">
      <alignment horizontal="left"/>
    </xf>
    <xf numFmtId="0" fontId="0" fillId="12" borderId="42" xfId="0" applyFill="1" applyBorder="1" applyAlignment="1" applyProtection="1">
      <alignment horizontal="left"/>
    </xf>
    <xf numFmtId="0" fontId="0" fillId="11" borderId="42" xfId="0" applyFill="1" applyBorder="1" applyAlignment="1" applyProtection="1">
      <alignment horizontal="left"/>
    </xf>
    <xf numFmtId="0" fontId="0" fillId="10" borderId="42" xfId="0" applyFill="1" applyBorder="1" applyAlignment="1" applyProtection="1">
      <alignment horizontal="left"/>
    </xf>
    <xf numFmtId="0" fontId="5" fillId="0" borderId="0" xfId="0" applyFont="1" applyAlignment="1">
      <alignment horizontal="center" vertical="center" wrapText="1"/>
    </xf>
    <xf numFmtId="0" fontId="0" fillId="0" borderId="50" xfId="0" applyBorder="1"/>
    <xf numFmtId="0" fontId="5" fillId="0" borderId="0" xfId="0" applyFont="1" applyAlignment="1">
      <alignment wrapText="1"/>
    </xf>
    <xf numFmtId="164" fontId="0" fillId="0" borderId="10" xfId="0" applyNumberFormat="1" applyFill="1" applyBorder="1" applyAlignment="1">
      <alignment horizontal="center"/>
    </xf>
    <xf numFmtId="0" fontId="0" fillId="25" borderId="48" xfId="0" applyFill="1" applyBorder="1" applyAlignment="1">
      <alignment horizontal="center"/>
    </xf>
    <xf numFmtId="0" fontId="0" fillId="25" borderId="0" xfId="0" applyFill="1" applyBorder="1" applyAlignment="1">
      <alignment horizontal="center"/>
    </xf>
    <xf numFmtId="0" fontId="0" fillId="25" borderId="41" xfId="0" applyFill="1" applyBorder="1" applyAlignment="1">
      <alignment horizontal="center"/>
    </xf>
    <xf numFmtId="0" fontId="0" fillId="25" borderId="54" xfId="0" applyFill="1" applyBorder="1"/>
    <xf numFmtId="0" fontId="0" fillId="25" borderId="54" xfId="0" applyFill="1" applyBorder="1" applyAlignment="1">
      <alignment horizontal="center"/>
    </xf>
    <xf numFmtId="0" fontId="0" fillId="25" borderId="48" xfId="0" applyFill="1" applyBorder="1"/>
    <xf numFmtId="0" fontId="0" fillId="25" borderId="0" xfId="0" applyFill="1" applyBorder="1"/>
    <xf numFmtId="0" fontId="0" fillId="25" borderId="41" xfId="0" applyFill="1" applyBorder="1"/>
    <xf numFmtId="164" fontId="0" fillId="25" borderId="10" xfId="0" applyNumberFormat="1" applyFill="1" applyBorder="1" applyAlignment="1">
      <alignment horizontal="center"/>
    </xf>
    <xf numFmtId="167" fontId="0" fillId="25" borderId="7" xfId="0" applyNumberFormat="1" applyFill="1" applyBorder="1" applyAlignment="1">
      <alignment horizontal="center"/>
    </xf>
    <xf numFmtId="164" fontId="0" fillId="25" borderId="11" xfId="0" applyNumberFormat="1" applyFill="1" applyBorder="1" applyAlignment="1">
      <alignment horizontal="center"/>
    </xf>
    <xf numFmtId="0" fontId="0" fillId="0" borderId="7" xfId="0" applyBorder="1" applyAlignment="1">
      <alignment horizontal="center"/>
    </xf>
    <xf numFmtId="0" fontId="5" fillId="0" borderId="10" xfId="0" applyFont="1" applyBorder="1" applyAlignment="1">
      <alignment horizontal="right"/>
    </xf>
    <xf numFmtId="2" fontId="0" fillId="0" borderId="0" xfId="0" applyNumberFormat="1" applyBorder="1"/>
    <xf numFmtId="0" fontId="5" fillId="0" borderId="50" xfId="0" applyFont="1" applyBorder="1" applyAlignment="1">
      <alignment horizontal="right"/>
    </xf>
    <xf numFmtId="0" fontId="5" fillId="0" borderId="79" xfId="0" applyFont="1" applyBorder="1" applyAlignment="1">
      <alignment horizontal="right"/>
    </xf>
    <xf numFmtId="0" fontId="5" fillId="0" borderId="3" xfId="0" applyFont="1" applyBorder="1"/>
    <xf numFmtId="2" fontId="0" fillId="0" borderId="9" xfId="0" applyNumberFormat="1" applyBorder="1" applyAlignment="1">
      <alignment horizontal="center"/>
    </xf>
    <xf numFmtId="2" fontId="0" fillId="0" borderId="9" xfId="0" applyNumberFormat="1" applyBorder="1"/>
    <xf numFmtId="2" fontId="0" fillId="0" borderId="13" xfId="0" applyNumberFormat="1" applyBorder="1" applyAlignment="1">
      <alignment horizontal="center"/>
    </xf>
    <xf numFmtId="164" fontId="0" fillId="0" borderId="77" xfId="0" applyNumberFormat="1" applyBorder="1" applyAlignment="1">
      <alignment horizontal="center"/>
    </xf>
    <xf numFmtId="164" fontId="0" fillId="0" borderId="9" xfId="0" applyNumberFormat="1" applyBorder="1" applyAlignment="1">
      <alignment horizontal="center"/>
    </xf>
    <xf numFmtId="0" fontId="5" fillId="9" borderId="0" xfId="0" applyFont="1" applyFill="1"/>
    <xf numFmtId="164" fontId="0" fillId="9" borderId="0" xfId="0" applyNumberFormat="1" applyFill="1" applyAlignment="1">
      <alignment horizontal="center"/>
    </xf>
    <xf numFmtId="2" fontId="0" fillId="9" borderId="0" xfId="0" applyNumberFormat="1" applyFill="1"/>
    <xf numFmtId="2" fontId="0" fillId="9" borderId="0" xfId="0" applyNumberFormat="1" applyFill="1" applyAlignment="1">
      <alignment horizontal="center"/>
    </xf>
    <xf numFmtId="0" fontId="5" fillId="9" borderId="54" xfId="0" applyFont="1" applyFill="1" applyBorder="1" applyAlignment="1">
      <alignment horizontal="center"/>
    </xf>
    <xf numFmtId="11" fontId="0" fillId="9" borderId="48" xfId="0" applyNumberFormat="1" applyFill="1" applyBorder="1" applyAlignment="1">
      <alignment horizontal="center"/>
    </xf>
    <xf numFmtId="0" fontId="0" fillId="9" borderId="0" xfId="0" applyFill="1" applyBorder="1" applyAlignment="1">
      <alignment horizontal="center"/>
    </xf>
    <xf numFmtId="0" fontId="0" fillId="9" borderId="41" xfId="0" applyFill="1" applyBorder="1" applyAlignment="1">
      <alignment horizontal="center"/>
    </xf>
    <xf numFmtId="2" fontId="5" fillId="9" borderId="48" xfId="0" applyNumberFormat="1" applyFont="1" applyFill="1" applyBorder="1" applyAlignment="1">
      <alignment horizontal="center"/>
    </xf>
    <xf numFmtId="0" fontId="0" fillId="9" borderId="0" xfId="0" applyFill="1"/>
    <xf numFmtId="0" fontId="0" fillId="9" borderId="0" xfId="0" applyFill="1" applyAlignment="1">
      <alignment horizontal="center"/>
    </xf>
    <xf numFmtId="0" fontId="0" fillId="9" borderId="54" xfId="0" applyFill="1" applyBorder="1" applyAlignment="1">
      <alignment horizontal="center"/>
    </xf>
    <xf numFmtId="0" fontId="0" fillId="9" borderId="48" xfId="0" applyFill="1" applyBorder="1" applyAlignment="1">
      <alignment horizontal="center"/>
    </xf>
    <xf numFmtId="0" fontId="5" fillId="28" borderId="48" xfId="0" applyFont="1" applyFill="1" applyBorder="1" applyAlignment="1">
      <alignment horizontal="right"/>
    </xf>
    <xf numFmtId="0" fontId="5" fillId="28" borderId="41" xfId="0" quotePrefix="1" applyFont="1" applyFill="1" applyBorder="1" applyAlignment="1">
      <alignment horizontal="left"/>
    </xf>
    <xf numFmtId="0" fontId="0" fillId="0" borderId="0" xfId="0" applyAlignment="1" applyProtection="1">
      <alignment horizontal="left"/>
      <protection locked="0"/>
    </xf>
    <xf numFmtId="0" fontId="0" fillId="0" borderId="0" xfId="0" applyBorder="1" applyAlignment="1" applyProtection="1">
      <alignment horizontal="left"/>
      <protection locked="0"/>
    </xf>
    <xf numFmtId="0" fontId="0" fillId="0" borderId="36" xfId="0" applyBorder="1" applyAlignment="1" applyProtection="1">
      <alignment horizontal="left"/>
      <protection locked="0"/>
    </xf>
    <xf numFmtId="0" fontId="0" fillId="0" borderId="0" xfId="0" applyAlignment="1">
      <alignment horizontal="center"/>
    </xf>
    <xf numFmtId="0" fontId="0" fillId="0" borderId="7" xfId="0" applyBorder="1" applyAlignment="1">
      <alignment horizontal="center"/>
    </xf>
    <xf numFmtId="164" fontId="0" fillId="0" borderId="16" xfId="0" applyNumberFormat="1" applyBorder="1" applyAlignment="1">
      <alignment horizontal="center"/>
    </xf>
    <xf numFmtId="0" fontId="0" fillId="8" borderId="7" xfId="0" applyFill="1" applyBorder="1"/>
    <xf numFmtId="165" fontId="0" fillId="0" borderId="7" xfId="0" applyNumberFormat="1" applyBorder="1" applyAlignment="1" applyProtection="1">
      <alignment horizontal="center" vertical="center" wrapText="1"/>
    </xf>
    <xf numFmtId="0" fontId="0" fillId="0" borderId="7" xfId="0" applyBorder="1" applyAlignment="1" applyProtection="1">
      <alignment horizontal="center" vertical="center" wrapText="1"/>
    </xf>
    <xf numFmtId="0" fontId="0" fillId="0" borderId="25" xfId="0"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23" xfId="0" applyBorder="1" applyAlignment="1" applyProtection="1">
      <alignment horizontal="center" vertical="center" wrapText="1"/>
    </xf>
    <xf numFmtId="0" fontId="0" fillId="0" borderId="59" xfId="0" applyFill="1" applyBorder="1" applyAlignment="1">
      <alignment horizontal="center"/>
    </xf>
    <xf numFmtId="0" fontId="0" fillId="0" borderId="0" xfId="0" applyAlignment="1">
      <alignment horizontal="center" shrinkToFit="1"/>
    </xf>
    <xf numFmtId="0" fontId="0" fillId="8" borderId="7" xfId="0" applyFill="1" applyBorder="1" applyAlignment="1">
      <alignment horizontal="center" shrinkToFit="1"/>
    </xf>
    <xf numFmtId="164" fontId="0" fillId="0" borderId="25" xfId="0" applyNumberFormat="1" applyBorder="1" applyAlignment="1" applyProtection="1">
      <alignment horizontal="center"/>
      <protection locked="0"/>
    </xf>
    <xf numFmtId="164" fontId="0" fillId="0" borderId="12" xfId="0" applyNumberFormat="1" applyBorder="1" applyAlignment="1" applyProtection="1">
      <alignment horizontal="center"/>
      <protection locked="0"/>
    </xf>
    <xf numFmtId="164" fontId="0" fillId="0" borderId="14" xfId="0" applyNumberFormat="1" applyBorder="1" applyAlignment="1" applyProtection="1">
      <alignment horizontal="center"/>
      <protection locked="0"/>
    </xf>
    <xf numFmtId="0" fontId="0" fillId="16" borderId="7" xfId="0" applyFill="1" applyBorder="1"/>
    <xf numFmtId="0" fontId="0" fillId="8" borderId="13" xfId="0" applyFill="1" applyBorder="1"/>
    <xf numFmtId="0" fontId="0" fillId="9" borderId="13" xfId="0" applyFill="1" applyBorder="1" applyAlignment="1">
      <alignment horizontal="center"/>
    </xf>
    <xf numFmtId="0" fontId="0" fillId="0" borderId="9" xfId="0" applyBorder="1" applyAlignment="1">
      <alignment horizontal="center"/>
    </xf>
    <xf numFmtId="0" fontId="0" fillId="0" borderId="9" xfId="0" applyFill="1" applyBorder="1" applyAlignment="1">
      <alignment horizontal="center"/>
    </xf>
    <xf numFmtId="0" fontId="0" fillId="0" borderId="9" xfId="0" applyBorder="1" applyAlignment="1">
      <alignment horizontal="center" shrinkToFit="1"/>
    </xf>
    <xf numFmtId="0" fontId="0" fillId="0" borderId="9" xfId="0" applyBorder="1"/>
    <xf numFmtId="0" fontId="0" fillId="0" borderId="56" xfId="0" applyBorder="1"/>
    <xf numFmtId="0" fontId="0" fillId="0" borderId="0" xfId="0" applyBorder="1" applyAlignment="1">
      <alignment horizontal="center" shrinkToFit="1"/>
    </xf>
    <xf numFmtId="0" fontId="0" fillId="0" borderId="80" xfId="0" applyBorder="1"/>
    <xf numFmtId="0" fontId="0" fillId="4" borderId="13" xfId="0" applyFill="1" applyBorder="1" applyAlignment="1">
      <alignment horizontal="center"/>
    </xf>
    <xf numFmtId="0" fontId="0" fillId="9" borderId="81" xfId="0" applyFill="1" applyBorder="1" applyAlignment="1">
      <alignment horizontal="center" vertical="center" wrapText="1"/>
    </xf>
    <xf numFmtId="0" fontId="0" fillId="9" borderId="82" xfId="0" applyFill="1" applyBorder="1" applyAlignment="1">
      <alignment horizontal="center" vertical="center" wrapText="1"/>
    </xf>
    <xf numFmtId="0" fontId="0" fillId="9" borderId="83" xfId="0" applyFill="1" applyBorder="1" applyAlignment="1">
      <alignment horizontal="center" vertical="center" wrapText="1"/>
    </xf>
    <xf numFmtId="0" fontId="5" fillId="0" borderId="0" xfId="0" applyFont="1" applyAlignment="1">
      <alignment horizontal="center"/>
    </xf>
    <xf numFmtId="0" fontId="5" fillId="32" borderId="7" xfId="0" applyFont="1" applyFill="1" applyBorder="1" applyAlignment="1" applyProtection="1">
      <alignment horizontal="center"/>
    </xf>
    <xf numFmtId="0" fontId="5" fillId="32" borderId="7" xfId="0" applyFont="1" applyFill="1" applyBorder="1" applyAlignment="1" applyProtection="1">
      <alignment horizontal="left"/>
    </xf>
    <xf numFmtId="0" fontId="13" fillId="32" borderId="7" xfId="0" applyFont="1" applyFill="1" applyBorder="1" applyAlignment="1" applyProtection="1">
      <alignment horizontal="center"/>
    </xf>
    <xf numFmtId="164" fontId="13" fillId="32" borderId="7" xfId="0" applyNumberFormat="1" applyFont="1" applyFill="1" applyBorder="1" applyAlignment="1" applyProtection="1">
      <alignment horizontal="center"/>
    </xf>
    <xf numFmtId="0" fontId="5" fillId="32" borderId="53" xfId="0" applyFont="1" applyFill="1" applyBorder="1" applyAlignment="1" applyProtection="1">
      <alignment horizontal="center"/>
    </xf>
    <xf numFmtId="0" fontId="5" fillId="32" borderId="8" xfId="0" applyFont="1" applyFill="1" applyBorder="1" applyAlignment="1" applyProtection="1">
      <alignment horizontal="center"/>
    </xf>
    <xf numFmtId="0" fontId="5" fillId="32" borderId="18" xfId="0" applyFont="1" applyFill="1" applyBorder="1" applyAlignment="1" applyProtection="1">
      <alignment horizontal="center"/>
    </xf>
    <xf numFmtId="0" fontId="5" fillId="32" borderId="35" xfId="0" applyFont="1" applyFill="1" applyBorder="1" applyAlignment="1" applyProtection="1">
      <alignment horizontal="center"/>
    </xf>
    <xf numFmtId="0" fontId="5" fillId="32" borderId="35" xfId="0" applyFont="1" applyFill="1" applyBorder="1" applyAlignment="1" applyProtection="1">
      <alignment horizontal="center" vertical="center"/>
    </xf>
    <xf numFmtId="0" fontId="5" fillId="32" borderId="29" xfId="0" applyFont="1" applyFill="1" applyBorder="1" applyAlignment="1" applyProtection="1">
      <alignment horizontal="center"/>
    </xf>
    <xf numFmtId="0" fontId="5" fillId="32" borderId="19" xfId="0" applyFont="1" applyFill="1" applyBorder="1" applyAlignment="1" applyProtection="1">
      <alignment horizontal="center" vertical="center" wrapText="1"/>
    </xf>
    <xf numFmtId="0" fontId="5" fillId="32" borderId="30" xfId="0" applyFont="1" applyFill="1" applyBorder="1" applyAlignment="1" applyProtection="1">
      <alignment horizontal="center" vertical="center" wrapText="1"/>
    </xf>
    <xf numFmtId="0" fontId="0" fillId="0" borderId="7" xfId="0" applyBorder="1" applyAlignment="1">
      <alignment horizontal="center"/>
    </xf>
    <xf numFmtId="0" fontId="0" fillId="0" borderId="36" xfId="0" applyBorder="1" applyAlignment="1">
      <alignment wrapText="1"/>
    </xf>
    <xf numFmtId="0" fontId="0" fillId="0" borderId="60" xfId="0" applyBorder="1" applyAlignment="1">
      <alignment wrapText="1"/>
    </xf>
    <xf numFmtId="0" fontId="0" fillId="0" borderId="53" xfId="0" applyBorder="1" applyAlignment="1">
      <alignment horizontal="center" vertical="center"/>
    </xf>
    <xf numFmtId="0" fontId="0" fillId="0" borderId="16" xfId="0" applyBorder="1" applyAlignment="1">
      <alignment horizontal="center" vertical="center"/>
    </xf>
    <xf numFmtId="0" fontId="0" fillId="0" borderId="59" xfId="0" applyBorder="1" applyAlignment="1">
      <alignment horizontal="center" vertical="center" wrapText="1"/>
    </xf>
    <xf numFmtId="0" fontId="0" fillId="0" borderId="0" xfId="0" applyAlignment="1">
      <alignment horizontal="center" vertical="center" wrapText="1"/>
    </xf>
    <xf numFmtId="0" fontId="0" fillId="0" borderId="0" xfId="0" applyAlignment="1">
      <alignment wrapText="1"/>
    </xf>
    <xf numFmtId="0" fontId="0" fillId="0" borderId="0" xfId="0" applyBorder="1" applyAlignment="1">
      <alignment horizontal="center" vertical="center" wrapText="1"/>
    </xf>
    <xf numFmtId="0" fontId="0" fillId="0" borderId="0" xfId="0" applyAlignment="1"/>
    <xf numFmtId="0" fontId="0" fillId="0" borderId="7" xfId="0" applyBorder="1" applyAlignment="1">
      <alignment horizontal="center" vertical="center"/>
    </xf>
    <xf numFmtId="0" fontId="0" fillId="0" borderId="7" xfId="0" applyBorder="1" applyAlignment="1"/>
    <xf numFmtId="0" fontId="0" fillId="0" borderId="36" xfId="0" applyFont="1" applyBorder="1" applyAlignment="1">
      <alignment horizontal="left" vertical="center" wrapText="1"/>
    </xf>
    <xf numFmtId="0" fontId="0" fillId="0" borderId="36" xfId="0" applyBorder="1" applyAlignment="1">
      <alignment horizontal="left" vertical="center" wrapText="1"/>
    </xf>
    <xf numFmtId="0" fontId="0" fillId="0" borderId="44" xfId="0" applyFont="1" applyBorder="1" applyAlignment="1">
      <alignment wrapText="1"/>
    </xf>
    <xf numFmtId="0" fontId="0" fillId="0" borderId="44" xfId="0" applyBorder="1" applyAlignment="1">
      <alignment wrapText="1"/>
    </xf>
    <xf numFmtId="0" fontId="0" fillId="0" borderId="44" xfId="0" applyBorder="1" applyAlignment="1">
      <alignment horizontal="left" vertical="center" wrapText="1"/>
    </xf>
    <xf numFmtId="0" fontId="0" fillId="0" borderId="36" xfId="0" applyBorder="1" applyAlignment="1">
      <alignment horizontal="left" vertical="center" wrapText="1" indent="2"/>
    </xf>
    <xf numFmtId="0" fontId="0" fillId="0" borderId="44" xfId="0" applyBorder="1" applyAlignment="1">
      <alignment horizontal="left" vertical="center" wrapText="1" indent="2"/>
    </xf>
    <xf numFmtId="0" fontId="0" fillId="0" borderId="7" xfId="0" applyBorder="1" applyAlignment="1">
      <alignment vertical="center" wrapText="1"/>
    </xf>
    <xf numFmtId="0" fontId="0" fillId="0" borderId="0" xfId="0" applyAlignment="1">
      <alignment horizontal="left" vertical="center" wrapText="1"/>
    </xf>
    <xf numFmtId="0" fontId="5" fillId="0" borderId="0" xfId="0" applyFont="1" applyAlignment="1">
      <alignment horizontal="center"/>
    </xf>
    <xf numFmtId="0" fontId="0" fillId="0" borderId="0" xfId="0" applyAlignment="1">
      <alignment horizontal="center"/>
    </xf>
    <xf numFmtId="0" fontId="5" fillId="0" borderId="36" xfId="0" applyFont="1" applyBorder="1" applyAlignment="1">
      <alignment horizontal="right" vertical="center"/>
    </xf>
    <xf numFmtId="0" fontId="0" fillId="0" borderId="44" xfId="0" applyBorder="1" applyAlignment="1">
      <alignment horizontal="right" vertical="center"/>
    </xf>
    <xf numFmtId="0" fontId="5" fillId="0" borderId="44" xfId="0" applyFont="1" applyBorder="1" applyAlignment="1">
      <alignment horizontal="right" vertical="center"/>
    </xf>
    <xf numFmtId="0" fontId="0" fillId="0" borderId="60" xfId="0" applyBorder="1" applyAlignment="1">
      <alignment horizontal="left" vertical="center" wrapText="1"/>
    </xf>
    <xf numFmtId="0" fontId="5" fillId="0" borderId="60" xfId="0" applyFont="1" applyBorder="1" applyAlignment="1">
      <alignment horizontal="right" vertical="center"/>
    </xf>
    <xf numFmtId="0" fontId="0" fillId="0" borderId="0" xfId="0" applyBorder="1" applyAlignment="1">
      <alignment horizontal="right" vertical="center"/>
    </xf>
    <xf numFmtId="0" fontId="0" fillId="0" borderId="36" xfId="0" applyBorder="1" applyAlignment="1">
      <alignment horizontal="right" vertical="center"/>
    </xf>
    <xf numFmtId="0" fontId="0" fillId="0" borderId="0" xfId="0" applyAlignment="1">
      <alignment horizontal="left" wrapText="1"/>
    </xf>
    <xf numFmtId="0" fontId="0" fillId="0" borderId="0" xfId="0" applyBorder="1" applyAlignment="1">
      <alignment wrapText="1"/>
    </xf>
    <xf numFmtId="0" fontId="5" fillId="0" borderId="0" xfId="0" applyFont="1" applyBorder="1" applyAlignment="1">
      <alignment horizontal="right" vertical="center"/>
    </xf>
    <xf numFmtId="0" fontId="0" fillId="0" borderId="0" xfId="0" applyBorder="1" applyAlignment="1">
      <alignment horizontal="left" vertical="center" wrapText="1"/>
    </xf>
    <xf numFmtId="0" fontId="0" fillId="0" borderId="44" xfId="0" applyBorder="1" applyAlignment="1"/>
    <xf numFmtId="0" fontId="0" fillId="0" borderId="45" xfId="0" applyBorder="1" applyAlignment="1">
      <alignment horizontal="left" vertical="top" wrapText="1"/>
    </xf>
    <xf numFmtId="0" fontId="0" fillId="0" borderId="46" xfId="0" applyBorder="1" applyAlignment="1">
      <alignment horizontal="left" vertical="top" wrapText="1"/>
    </xf>
    <xf numFmtId="0" fontId="0" fillId="0" borderId="47" xfId="0" applyBorder="1" applyAlignment="1">
      <alignment horizontal="left" vertical="top" wrapText="1"/>
    </xf>
    <xf numFmtId="0" fontId="0" fillId="0" borderId="48" xfId="0" applyBorder="1" applyAlignment="1">
      <alignment horizontal="left" vertical="top" wrapText="1"/>
    </xf>
    <xf numFmtId="0" fontId="0" fillId="0" borderId="0" xfId="0" applyBorder="1" applyAlignment="1">
      <alignment horizontal="left" vertical="top" wrapText="1"/>
    </xf>
    <xf numFmtId="0" fontId="0" fillId="0" borderId="41" xfId="0" applyBorder="1" applyAlignment="1">
      <alignment horizontal="left" vertical="top" wrapText="1"/>
    </xf>
    <xf numFmtId="0" fontId="0" fillId="0" borderId="3" xfId="0" applyBorder="1" applyAlignment="1">
      <alignment horizontal="left" vertical="top" wrapText="1"/>
    </xf>
    <xf numFmtId="0" fontId="0" fillId="0" borderId="9" xfId="0" applyBorder="1" applyAlignment="1">
      <alignment horizontal="left" vertical="top" wrapText="1"/>
    </xf>
    <xf numFmtId="0" fontId="0" fillId="0" borderId="4" xfId="0" applyBorder="1" applyAlignment="1">
      <alignment horizontal="left" vertical="top" wrapText="1"/>
    </xf>
    <xf numFmtId="0" fontId="0" fillId="0" borderId="45" xfId="0" applyFill="1" applyBorder="1" applyAlignment="1">
      <alignment horizontal="left" vertical="center" wrapText="1"/>
    </xf>
    <xf numFmtId="0" fontId="0" fillId="0" borderId="46" xfId="0" applyBorder="1" applyAlignment="1">
      <alignment vertical="center" wrapText="1"/>
    </xf>
    <xf numFmtId="0" fontId="0" fillId="0" borderId="47" xfId="0" applyBorder="1" applyAlignment="1">
      <alignment vertical="center" wrapText="1"/>
    </xf>
    <xf numFmtId="0" fontId="0" fillId="0" borderId="48" xfId="0" applyBorder="1" applyAlignment="1">
      <alignment vertical="center" wrapText="1"/>
    </xf>
    <xf numFmtId="0" fontId="0" fillId="0" borderId="0" xfId="0" applyBorder="1" applyAlignment="1">
      <alignment vertical="center" wrapText="1"/>
    </xf>
    <xf numFmtId="0" fontId="0" fillId="0" borderId="41" xfId="0" applyBorder="1" applyAlignment="1">
      <alignment vertical="center" wrapText="1"/>
    </xf>
    <xf numFmtId="0" fontId="0" fillId="0" borderId="3" xfId="0" applyBorder="1" applyAlignment="1">
      <alignment vertical="center"/>
    </xf>
    <xf numFmtId="0" fontId="0" fillId="0" borderId="9" xfId="0" applyBorder="1" applyAlignment="1">
      <alignment vertical="center"/>
    </xf>
    <xf numFmtId="0" fontId="0" fillId="0" borderId="4" xfId="0" applyBorder="1" applyAlignment="1">
      <alignment vertical="center"/>
    </xf>
    <xf numFmtId="0" fontId="5" fillId="0" borderId="7" xfId="0" applyFont="1" applyBorder="1" applyAlignment="1">
      <alignment horizontal="center"/>
    </xf>
    <xf numFmtId="0" fontId="0" fillId="4" borderId="25" xfId="0" applyFill="1" applyBorder="1" applyAlignment="1">
      <alignment horizontal="center"/>
    </xf>
    <xf numFmtId="0" fontId="0" fillId="0" borderId="8" xfId="0" applyBorder="1" applyAlignment="1"/>
    <xf numFmtId="0" fontId="0" fillId="9" borderId="25" xfId="0" applyFill="1" applyBorder="1" applyAlignment="1">
      <alignment horizontal="center"/>
    </xf>
    <xf numFmtId="0" fontId="5" fillId="14" borderId="7" xfId="0" applyFont="1" applyFill="1" applyBorder="1" applyAlignment="1">
      <alignment horizontal="center"/>
    </xf>
    <xf numFmtId="0" fontId="0" fillId="0" borderId="7" xfId="0" applyBorder="1" applyAlignment="1">
      <alignment horizontal="center"/>
    </xf>
    <xf numFmtId="0" fontId="5" fillId="0" borderId="36" xfId="0" applyFont="1" applyFill="1" applyBorder="1" applyAlignment="1">
      <alignment horizontal="center"/>
    </xf>
    <xf numFmtId="0" fontId="0" fillId="0" borderId="36" xfId="0" applyBorder="1" applyAlignment="1">
      <alignment horizontal="center"/>
    </xf>
    <xf numFmtId="0" fontId="5" fillId="0" borderId="42" xfId="0" applyFont="1" applyFill="1" applyBorder="1" applyAlignment="1">
      <alignment horizontal="center"/>
    </xf>
    <xf numFmtId="0" fontId="0" fillId="0" borderId="76" xfId="0" applyBorder="1" applyAlignment="1">
      <alignment horizontal="center"/>
    </xf>
    <xf numFmtId="0" fontId="0" fillId="0" borderId="43" xfId="0" applyBorder="1" applyAlignment="1">
      <alignment horizontal="center"/>
    </xf>
    <xf numFmtId="0" fontId="5" fillId="0" borderId="45" xfId="0" applyFont="1" applyFill="1" applyBorder="1" applyAlignment="1">
      <alignment horizontal="center"/>
    </xf>
    <xf numFmtId="0" fontId="0" fillId="0" borderId="46" xfId="0" applyBorder="1" applyAlignment="1">
      <alignment horizontal="center"/>
    </xf>
    <xf numFmtId="0" fontId="0" fillId="0" borderId="47" xfId="0" applyBorder="1" applyAlignment="1">
      <alignment horizontal="center"/>
    </xf>
    <xf numFmtId="0" fontId="0" fillId="4" borderId="0" xfId="0" applyFill="1" applyBorder="1" applyAlignment="1">
      <alignment horizontal="left"/>
    </xf>
    <xf numFmtId="0" fontId="0" fillId="4" borderId="0" xfId="0" applyFill="1" applyAlignment="1"/>
    <xf numFmtId="0" fontId="5" fillId="14" borderId="18" xfId="0" applyFont="1" applyFill="1" applyBorder="1" applyAlignment="1" applyProtection="1">
      <alignment horizontal="center"/>
    </xf>
    <xf numFmtId="0" fontId="5" fillId="14" borderId="19" xfId="0" applyFont="1" applyFill="1" applyBorder="1" applyAlignment="1" applyProtection="1">
      <alignment horizontal="center"/>
    </xf>
    <xf numFmtId="0" fontId="5" fillId="14" borderId="20" xfId="0" applyFont="1" applyFill="1" applyBorder="1" applyAlignment="1" applyProtection="1">
      <alignment horizontal="center"/>
    </xf>
    <xf numFmtId="0" fontId="5" fillId="0" borderId="21" xfId="0" applyFont="1" applyBorder="1" applyAlignment="1" applyProtection="1">
      <alignment horizontal="center"/>
    </xf>
    <xf numFmtId="0" fontId="0" fillId="0" borderId="22" xfId="0" applyBorder="1" applyAlignment="1" applyProtection="1">
      <alignment horizontal="center"/>
    </xf>
    <xf numFmtId="0" fontId="0" fillId="0" borderId="23" xfId="0" applyBorder="1" applyAlignment="1" applyProtection="1">
      <alignment horizontal="center"/>
    </xf>
    <xf numFmtId="0" fontId="5" fillId="0" borderId="22" xfId="0" applyFont="1" applyBorder="1" applyAlignment="1" applyProtection="1">
      <alignment horizontal="center"/>
    </xf>
    <xf numFmtId="0" fontId="5" fillId="0" borderId="23" xfId="0" applyFont="1" applyBorder="1" applyAlignment="1" applyProtection="1">
      <alignment horizontal="center"/>
    </xf>
    <xf numFmtId="0" fontId="5" fillId="0" borderId="0" xfId="0" applyFont="1" applyAlignment="1" applyProtection="1">
      <alignment horizontal="center"/>
    </xf>
    <xf numFmtId="0" fontId="5" fillId="4" borderId="18" xfId="0" applyFont="1" applyFill="1" applyBorder="1" applyAlignment="1" applyProtection="1">
      <alignment horizontal="center"/>
    </xf>
    <xf numFmtId="0" fontId="0" fillId="0" borderId="19" xfId="0" applyBorder="1" applyAlignment="1" applyProtection="1">
      <alignment horizontal="center"/>
    </xf>
    <xf numFmtId="0" fontId="0" fillId="0" borderId="20" xfId="0" applyBorder="1" applyAlignment="1" applyProtection="1">
      <alignment horizontal="center"/>
    </xf>
    <xf numFmtId="0" fontId="21" fillId="29" borderId="48" xfId="0" applyFont="1" applyFill="1" applyBorder="1" applyAlignment="1">
      <alignment horizontal="left" vertical="center" wrapText="1"/>
    </xf>
    <xf numFmtId="0" fontId="21" fillId="29" borderId="0" xfId="0" applyFont="1" applyFill="1" applyBorder="1" applyAlignment="1">
      <alignment vertical="center" wrapText="1"/>
    </xf>
    <xf numFmtId="0" fontId="21" fillId="29" borderId="41" xfId="0" applyFont="1" applyFill="1" applyBorder="1" applyAlignment="1">
      <alignment vertical="center" wrapText="1"/>
    </xf>
    <xf numFmtId="0" fontId="21" fillId="29" borderId="48" xfId="0" applyFont="1" applyFill="1" applyBorder="1" applyAlignment="1">
      <alignment vertical="center" wrapText="1"/>
    </xf>
    <xf numFmtId="0" fontId="0" fillId="0" borderId="48" xfId="0" applyBorder="1" applyAlignment="1">
      <alignment vertical="center"/>
    </xf>
    <xf numFmtId="0" fontId="0" fillId="0" borderId="0" xfId="0" applyBorder="1" applyAlignment="1">
      <alignment vertical="center"/>
    </xf>
    <xf numFmtId="0" fontId="0" fillId="0" borderId="41" xfId="0" applyBorder="1" applyAlignment="1">
      <alignment vertical="center"/>
    </xf>
    <xf numFmtId="0" fontId="5" fillId="31" borderId="45" xfId="0" applyFont="1" applyFill="1" applyBorder="1" applyAlignment="1">
      <alignment horizontal="center"/>
    </xf>
    <xf numFmtId="0" fontId="7" fillId="0" borderId="45" xfId="2" applyFill="1" applyBorder="1" applyAlignment="1" applyProtection="1">
      <alignment horizontal="left" vertical="center"/>
      <protection locked="0"/>
    </xf>
    <xf numFmtId="0" fontId="0" fillId="0" borderId="46" xfId="0" applyBorder="1" applyAlignment="1">
      <alignment vertical="center"/>
    </xf>
    <xf numFmtId="0" fontId="0" fillId="0" borderId="47" xfId="0" applyBorder="1" applyAlignment="1">
      <alignment vertical="center"/>
    </xf>
    <xf numFmtId="0" fontId="0" fillId="0" borderId="48" xfId="0" applyFill="1" applyBorder="1" applyAlignment="1" applyProtection="1">
      <protection locked="0"/>
    </xf>
    <xf numFmtId="0" fontId="0" fillId="0" borderId="0" xfId="0" applyBorder="1" applyAlignment="1"/>
    <xf numFmtId="0" fontId="0" fillId="0" borderId="41" xfId="0" applyBorder="1" applyAlignment="1"/>
    <xf numFmtId="0" fontId="0" fillId="0" borderId="3" xfId="0" applyBorder="1" applyAlignment="1" applyProtection="1">
      <protection locked="0"/>
    </xf>
    <xf numFmtId="0" fontId="0" fillId="0" borderId="9" xfId="0" applyBorder="1" applyAlignment="1"/>
    <xf numFmtId="0" fontId="0" fillId="0" borderId="4" xfId="0" applyBorder="1" applyAlignment="1"/>
    <xf numFmtId="165" fontId="18" fillId="0" borderId="7" xfId="1" applyNumberFormat="1" applyFont="1" applyBorder="1" applyAlignment="1" applyProtection="1">
      <alignment horizontal="center"/>
    </xf>
    <xf numFmtId="0" fontId="0" fillId="0" borderId="11" xfId="0" applyBorder="1" applyAlignment="1" applyProtection="1">
      <alignment horizontal="center"/>
    </xf>
    <xf numFmtId="165" fontId="18" fillId="0" borderId="13" xfId="1" applyNumberFormat="1" applyFont="1" applyBorder="1" applyAlignment="1" applyProtection="1">
      <alignment horizontal="center"/>
    </xf>
    <xf numFmtId="0" fontId="0" fillId="0" borderId="14" xfId="0" applyBorder="1" applyAlignment="1" applyProtection="1">
      <alignment horizontal="center"/>
    </xf>
    <xf numFmtId="0" fontId="5" fillId="32" borderId="27" xfId="0" applyFont="1" applyFill="1" applyBorder="1" applyAlignment="1" applyProtection="1">
      <alignment horizontal="center" vertical="center" wrapText="1"/>
    </xf>
    <xf numFmtId="0" fontId="0" fillId="32" borderId="28" xfId="0" applyFill="1" applyBorder="1" applyAlignment="1" applyProtection="1">
      <alignment horizontal="center" vertical="center" wrapText="1"/>
    </xf>
    <xf numFmtId="0" fontId="9" fillId="19" borderId="21" xfId="4" applyBorder="1" applyAlignment="1" applyProtection="1">
      <alignment horizontal="left" vertical="center" wrapText="1"/>
    </xf>
    <xf numFmtId="0" fontId="0" fillId="0" borderId="22" xfId="0" applyBorder="1" applyAlignment="1">
      <alignment wrapText="1"/>
    </xf>
    <xf numFmtId="0" fontId="0" fillId="0" borderId="78" xfId="0" applyBorder="1" applyAlignment="1">
      <alignment wrapText="1"/>
    </xf>
    <xf numFmtId="0" fontId="0" fillId="0" borderId="23" xfId="0" applyBorder="1" applyAlignment="1">
      <alignment wrapText="1"/>
    </xf>
    <xf numFmtId="0" fontId="0" fillId="0" borderId="12" xfId="0" applyBorder="1" applyAlignment="1">
      <alignment wrapText="1"/>
    </xf>
    <xf numFmtId="0" fontId="0" fillId="0" borderId="13" xfId="0" applyBorder="1" applyAlignment="1">
      <alignment wrapText="1"/>
    </xf>
    <xf numFmtId="0" fontId="0" fillId="0" borderId="77" xfId="0" applyBorder="1" applyAlignment="1">
      <alignment wrapText="1"/>
    </xf>
    <xf numFmtId="0" fontId="0" fillId="0" borderId="14" xfId="0" applyBorder="1" applyAlignment="1">
      <alignment wrapText="1"/>
    </xf>
    <xf numFmtId="165" fontId="18" fillId="0" borderId="22" xfId="1" applyNumberFormat="1" applyFont="1" applyBorder="1" applyAlignment="1" applyProtection="1">
      <alignment horizontal="center"/>
    </xf>
    <xf numFmtId="0" fontId="0" fillId="32" borderId="45" xfId="0" applyFill="1" applyBorder="1" applyAlignment="1" applyProtection="1">
      <alignment horizontal="center" wrapText="1"/>
      <protection locked="0"/>
    </xf>
    <xf numFmtId="0" fontId="0" fillId="32" borderId="46" xfId="0" applyFill="1" applyBorder="1" applyAlignment="1" applyProtection="1">
      <alignment horizontal="center" wrapText="1"/>
      <protection locked="0"/>
    </xf>
    <xf numFmtId="0" fontId="0" fillId="32" borderId="47" xfId="0" applyFill="1" applyBorder="1" applyAlignment="1" applyProtection="1">
      <alignment horizontal="center" wrapText="1"/>
      <protection locked="0"/>
    </xf>
    <xf numFmtId="0" fontId="0" fillId="32" borderId="48" xfId="0" applyFill="1" applyBorder="1" applyAlignment="1" applyProtection="1">
      <alignment horizontal="center" wrapText="1"/>
      <protection locked="0"/>
    </xf>
    <xf numFmtId="0" fontId="0" fillId="32" borderId="0" xfId="0" applyFill="1" applyBorder="1" applyAlignment="1" applyProtection="1">
      <alignment horizontal="center" wrapText="1"/>
      <protection locked="0"/>
    </xf>
    <xf numFmtId="0" fontId="0" fillId="32" borderId="41" xfId="0" applyFill="1" applyBorder="1" applyAlignment="1" applyProtection="1">
      <alignment horizontal="center" wrapText="1"/>
      <protection locked="0"/>
    </xf>
    <xf numFmtId="0" fontId="0" fillId="32" borderId="3" xfId="0" applyFill="1" applyBorder="1" applyAlignment="1" applyProtection="1">
      <alignment horizontal="center" wrapText="1"/>
      <protection locked="0"/>
    </xf>
    <xf numFmtId="0" fontId="0" fillId="32" borderId="9" xfId="0" applyFill="1" applyBorder="1" applyAlignment="1" applyProtection="1">
      <alignment horizontal="center" wrapText="1"/>
      <protection locked="0"/>
    </xf>
    <xf numFmtId="0" fontId="0" fillId="32" borderId="4" xfId="0" applyFill="1" applyBorder="1" applyAlignment="1" applyProtection="1">
      <alignment horizontal="center" wrapText="1"/>
      <protection locked="0"/>
    </xf>
    <xf numFmtId="0" fontId="5" fillId="32" borderId="27" xfId="0" applyFont="1" applyFill="1" applyBorder="1" applyAlignment="1" applyProtection="1">
      <alignment horizontal="center" vertical="center"/>
    </xf>
    <xf numFmtId="0" fontId="0" fillId="32" borderId="28" xfId="0" applyFill="1" applyBorder="1" applyAlignment="1" applyProtection="1">
      <alignment horizontal="center" vertical="center"/>
    </xf>
    <xf numFmtId="0" fontId="0" fillId="30" borderId="46" xfId="0" quotePrefix="1" applyFill="1" applyBorder="1" applyAlignment="1" applyProtection="1">
      <alignment horizontal="left" vertical="center" wrapText="1"/>
      <protection locked="0"/>
    </xf>
    <xf numFmtId="0" fontId="0" fillId="0" borderId="46" xfId="0" applyBorder="1" applyAlignment="1"/>
    <xf numFmtId="0" fontId="0" fillId="0" borderId="47" xfId="0" applyBorder="1" applyAlignment="1"/>
    <xf numFmtId="0" fontId="0" fillId="0" borderId="48" xfId="0" applyBorder="1" applyAlignment="1"/>
    <xf numFmtId="0" fontId="0" fillId="30" borderId="0" xfId="0" applyFill="1" applyBorder="1" applyAlignment="1" applyProtection="1">
      <alignment wrapText="1"/>
      <protection locked="0"/>
    </xf>
    <xf numFmtId="0" fontId="0" fillId="30" borderId="0" xfId="0" applyFill="1" applyBorder="1" applyAlignment="1">
      <alignment wrapText="1"/>
    </xf>
    <xf numFmtId="0" fontId="0" fillId="30" borderId="41" xfId="0" applyFill="1" applyBorder="1" applyAlignment="1">
      <alignment wrapText="1"/>
    </xf>
    <xf numFmtId="0" fontId="5" fillId="32" borderId="25" xfId="0" applyFont="1" applyFill="1" applyBorder="1" applyAlignment="1" applyProtection="1">
      <alignment horizontal="center"/>
    </xf>
    <xf numFmtId="0" fontId="0" fillId="32" borderId="44" xfId="0" applyFill="1" applyBorder="1" applyAlignment="1" applyProtection="1">
      <alignment horizontal="center"/>
    </xf>
    <xf numFmtId="0" fontId="0" fillId="32" borderId="8" xfId="0" applyFill="1" applyBorder="1" applyAlignment="1" applyProtection="1">
      <alignment horizontal="center"/>
    </xf>
    <xf numFmtId="0" fontId="5" fillId="32" borderId="37" xfId="0" applyFont="1" applyFill="1" applyBorder="1" applyAlignment="1" applyProtection="1">
      <alignment horizontal="center" vertical="center" wrapText="1"/>
    </xf>
    <xf numFmtId="0" fontId="0" fillId="32" borderId="31" xfId="0" applyFill="1" applyBorder="1" applyAlignment="1" applyProtection="1"/>
    <xf numFmtId="0" fontId="5" fillId="32" borderId="30" xfId="0" applyFont="1" applyFill="1" applyBorder="1" applyAlignment="1" applyProtection="1">
      <alignment horizontal="center" vertical="center" wrapText="1"/>
    </xf>
    <xf numFmtId="0" fontId="0" fillId="32" borderId="31" xfId="0" applyFill="1" applyBorder="1" applyAlignment="1" applyProtection="1">
      <alignment horizontal="center" vertical="center" wrapText="1"/>
    </xf>
    <xf numFmtId="0" fontId="0" fillId="32" borderId="45" xfId="0" applyFill="1" applyBorder="1" applyAlignment="1" applyProtection="1">
      <alignment horizontal="center" vertical="center" wrapText="1"/>
      <protection locked="0"/>
    </xf>
    <xf numFmtId="0" fontId="0" fillId="32" borderId="46" xfId="0" applyFill="1" applyBorder="1" applyAlignment="1">
      <alignment horizontal="center" vertical="center" wrapText="1"/>
    </xf>
    <xf numFmtId="0" fontId="0" fillId="32" borderId="47" xfId="0" applyFill="1" applyBorder="1" applyAlignment="1">
      <alignment horizontal="center" vertical="center" wrapText="1"/>
    </xf>
    <xf numFmtId="0" fontId="0" fillId="32" borderId="48" xfId="0" applyFill="1" applyBorder="1" applyAlignment="1">
      <alignment horizontal="center" vertical="center" wrapText="1"/>
    </xf>
    <xf numFmtId="0" fontId="0" fillId="32" borderId="0" xfId="0" applyFill="1" applyBorder="1" applyAlignment="1">
      <alignment horizontal="center" vertical="center" wrapText="1"/>
    </xf>
    <xf numFmtId="0" fontId="0" fillId="32" borderId="41" xfId="0" applyFill="1" applyBorder="1" applyAlignment="1">
      <alignment horizontal="center" vertical="center" wrapText="1"/>
    </xf>
    <xf numFmtId="0" fontId="0" fillId="32" borderId="3" xfId="0" applyFill="1" applyBorder="1" applyAlignment="1">
      <alignment horizontal="center" vertical="center"/>
    </xf>
    <xf numFmtId="0" fontId="0" fillId="32" borderId="9" xfId="0" applyFill="1" applyBorder="1" applyAlignment="1">
      <alignment horizontal="center" vertical="center"/>
    </xf>
    <xf numFmtId="0" fontId="0" fillId="32" borderId="4" xfId="0" applyFill="1" applyBorder="1" applyAlignment="1">
      <alignment horizontal="center" vertical="center"/>
    </xf>
    <xf numFmtId="0" fontId="0" fillId="2" borderId="1" xfId="0" applyFill="1" applyBorder="1" applyAlignment="1">
      <alignment horizontal="left" vertical="center" wrapText="1" indent="1"/>
    </xf>
    <xf numFmtId="0" fontId="1" fillId="2" borderId="1" xfId="0" applyFont="1" applyFill="1" applyBorder="1" applyAlignment="1">
      <alignment horizontal="center" vertical="center" wrapText="1"/>
    </xf>
    <xf numFmtId="0" fontId="2" fillId="33" borderId="1" xfId="0" applyFont="1" applyFill="1" applyBorder="1" applyAlignment="1">
      <alignment horizontal="center" vertical="center" wrapText="1"/>
    </xf>
    <xf numFmtId="0" fontId="2" fillId="34" borderId="1" xfId="0" applyFont="1" applyFill="1" applyBorder="1" applyAlignment="1">
      <alignment horizontal="center" vertical="center" wrapText="1"/>
    </xf>
    <xf numFmtId="0" fontId="2" fillId="35" borderId="1" xfId="0" applyFont="1" applyFill="1" applyBorder="1" applyAlignment="1">
      <alignment horizontal="center" vertical="center" wrapText="1"/>
    </xf>
    <xf numFmtId="0" fontId="2" fillId="36" borderId="1" xfId="0" applyFont="1" applyFill="1" applyBorder="1" applyAlignment="1">
      <alignment horizontal="center" vertical="center" wrapText="1"/>
    </xf>
    <xf numFmtId="0" fontId="2" fillId="37" borderId="1" xfId="0" applyFont="1" applyFill="1" applyBorder="1" applyAlignment="1">
      <alignment horizontal="center" vertical="center" wrapText="1"/>
    </xf>
    <xf numFmtId="0" fontId="3" fillId="0" borderId="0" xfId="0" applyFont="1" applyAlignment="1">
      <alignment horizontal="left" vertical="center" wrapText="1" indent="1"/>
    </xf>
    <xf numFmtId="0" fontId="2" fillId="38" borderId="1" xfId="0" applyFont="1" applyFill="1" applyBorder="1" applyAlignment="1">
      <alignment horizontal="center" vertical="center" wrapText="1"/>
    </xf>
    <xf numFmtId="0" fontId="2" fillId="39"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0" borderId="1" xfId="0" applyFont="1" applyFill="1" applyBorder="1" applyAlignment="1">
      <alignment horizontal="center" vertical="center" wrapText="1"/>
    </xf>
    <xf numFmtId="0" fontId="2" fillId="41" borderId="1" xfId="0" applyFont="1" applyFill="1" applyBorder="1" applyAlignment="1">
      <alignment horizontal="center" vertical="center" wrapText="1"/>
    </xf>
    <xf numFmtId="0" fontId="2" fillId="42" borderId="1" xfId="0" applyFont="1" applyFill="1" applyBorder="1" applyAlignment="1">
      <alignment horizontal="center" vertical="center" wrapText="1"/>
    </xf>
    <xf numFmtId="0" fontId="2" fillId="43" borderId="1" xfId="0" applyFont="1" applyFill="1" applyBorder="1" applyAlignment="1">
      <alignment horizontal="center" vertical="center" wrapText="1"/>
    </xf>
    <xf numFmtId="0" fontId="2" fillId="44" borderId="1" xfId="0" applyFont="1" applyFill="1" applyBorder="1" applyAlignment="1">
      <alignment horizontal="center" vertical="center" wrapText="1"/>
    </xf>
    <xf numFmtId="0" fontId="2" fillId="45" borderId="1" xfId="0" applyFont="1" applyFill="1" applyBorder="1" applyAlignment="1">
      <alignment horizontal="center" vertical="center" wrapText="1"/>
    </xf>
  </cellXfs>
  <cellStyles count="5">
    <cellStyle name="Bad" xfId="3" builtinId="27"/>
    <cellStyle name="Good" xfId="2" builtinId="26"/>
    <cellStyle name="Neutral" xfId="4" builtinId="28"/>
    <cellStyle name="Normal" xfId="0" builtinId="0"/>
    <cellStyle name="Percent" xfId="1" builtinId="5"/>
  </cellStyles>
  <dxfs count="307">
    <dxf>
      <font>
        <b/>
        <i val="0"/>
        <color rgb="FFFF0000"/>
      </font>
      <fill>
        <patternFill>
          <bgColor rgb="FFFFFF99"/>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FF0000"/>
      </font>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FF0000"/>
      </font>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FF0000"/>
      </font>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FF0000"/>
      </font>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FF0000"/>
      </font>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FF0000"/>
      </font>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FF0000"/>
      </font>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FF0000"/>
      </font>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tint="-0.499984740745262"/>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0" tint="-0.14996795556505021"/>
        </patternFill>
      </fill>
    </dxf>
    <dxf>
      <fill>
        <patternFill>
          <bgColor rgb="FFC00000"/>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ill>
        <patternFill>
          <bgColor rgb="FFA50021"/>
        </patternFill>
      </fill>
    </dxf>
    <dxf>
      <fill>
        <patternFill>
          <bgColor rgb="FFA50021"/>
        </patternFill>
      </fill>
    </dxf>
    <dxf>
      <fill>
        <patternFill>
          <bgColor rgb="FFA50021"/>
        </patternFill>
      </fill>
    </dxf>
    <dxf>
      <fill>
        <patternFill>
          <bgColor rgb="FFA50021"/>
        </patternFill>
      </fill>
    </dxf>
    <dxf>
      <fill>
        <patternFill>
          <bgColor rgb="FFA50021"/>
        </patternFill>
      </fill>
    </dxf>
    <dxf>
      <fill>
        <patternFill>
          <bgColor rgb="FFA5002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ill>
        <patternFill>
          <bgColor rgb="FFA50021"/>
        </patternFill>
      </fill>
    </dxf>
    <dxf>
      <fill>
        <patternFill>
          <bgColor rgb="FFA5002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4" tint="0.79998168889431442"/>
        </patternFill>
      </fill>
    </dxf>
    <dxf>
      <font>
        <color auto="1"/>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C00000"/>
        </patternFill>
      </fill>
    </dxf>
    <dxf>
      <fill>
        <patternFill>
          <bgColor rgb="FFC0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rgb="FFA50021"/>
        </patternFill>
      </fill>
    </dxf>
    <dxf>
      <fill>
        <patternFill>
          <bgColor rgb="FFA50021"/>
        </patternFill>
      </fill>
    </dxf>
    <dxf>
      <fill>
        <patternFill>
          <bgColor rgb="FFA50021"/>
        </patternFill>
      </fill>
    </dxf>
    <dxf>
      <fill>
        <patternFill>
          <bgColor rgb="FFA50021"/>
        </patternFill>
      </fill>
    </dxf>
    <dxf>
      <fill>
        <patternFill>
          <bgColor rgb="FFA50021"/>
        </patternFill>
      </fill>
    </dxf>
    <dxf>
      <fill>
        <patternFill>
          <bgColor rgb="FFA5002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s>
  <tableStyles count="0" defaultTableStyle="TableStyleMedium2" defaultPivotStyle="PivotStyleLight16"/>
  <colors>
    <mruColors>
      <color rgb="FFFFFF99"/>
      <color rgb="FFFF99FF"/>
      <color rgb="FF99CCFF"/>
      <color rgb="FFFF66FF"/>
      <color rgb="FFA500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NBT Percent Depletion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'NBT Depletion'!$BW$2</c:f>
              <c:strCache>
                <c:ptCount val="1"/>
                <c:pt idx="0">
                  <c:v>Tri-n-octylphospine oxide</c:v>
                </c:pt>
              </c:strCache>
            </c:strRef>
          </c:tx>
          <c:spPr>
            <a:ln w="28575" cap="rnd">
              <a:solidFill>
                <a:schemeClr val="bg1">
                  <a:lumMod val="75000"/>
                </a:schemeClr>
              </a:solidFill>
              <a:round/>
            </a:ln>
            <a:effectLst/>
          </c:spPr>
          <c:marker>
            <c:symbol val="none"/>
          </c:marker>
          <c:errBars>
            <c:errDir val="y"/>
            <c:errBarType val="both"/>
            <c:errValType val="cust"/>
            <c:noEndCap val="0"/>
            <c:plus>
              <c:numRef>
                <c:f>'NBT Depletion'!$BW$10:$BW$23</c:f>
                <c:numCache>
                  <c:formatCode>General</c:formatCode>
                  <c:ptCount val="14"/>
                  <c:pt idx="0">
                    <c:v>8.0875992948217876E-3</c:v>
                  </c:pt>
                  <c:pt idx="1">
                    <c:v>8.143359547044305E-3</c:v>
                  </c:pt>
                  <c:pt idx="2">
                    <c:v>7.6652014708204754E-3</c:v>
                  </c:pt>
                  <c:pt idx="3">
                    <c:v>8.1962085189645605E-3</c:v>
                  </c:pt>
                  <c:pt idx="6">
                    <c:v>0</c:v>
                  </c:pt>
                  <c:pt idx="7">
                    <c:v>5.7781055542393017E-2</c:v>
                  </c:pt>
                  <c:pt idx="8">
                    <c:v>4.6630125977996609E-2</c:v>
                  </c:pt>
                  <c:pt idx="9">
                    <c:v>4.6292610235144166E-2</c:v>
                  </c:pt>
                  <c:pt idx="10">
                    <c:v>4.2193291930464658E-2</c:v>
                  </c:pt>
                </c:numCache>
              </c:numRef>
            </c:plus>
            <c:minus>
              <c:numRef>
                <c:f>'NBT Depletion'!$BW$10:$BW$23</c:f>
                <c:numCache>
                  <c:formatCode>General</c:formatCode>
                  <c:ptCount val="14"/>
                  <c:pt idx="0">
                    <c:v>8.0875992948217876E-3</c:v>
                  </c:pt>
                  <c:pt idx="1">
                    <c:v>8.143359547044305E-3</c:v>
                  </c:pt>
                  <c:pt idx="2">
                    <c:v>7.6652014708204754E-3</c:v>
                  </c:pt>
                  <c:pt idx="3">
                    <c:v>8.1962085189645605E-3</c:v>
                  </c:pt>
                  <c:pt idx="6">
                    <c:v>0</c:v>
                  </c:pt>
                  <c:pt idx="7">
                    <c:v>5.7781055542393017E-2</c:v>
                  </c:pt>
                  <c:pt idx="8">
                    <c:v>4.6630125977996609E-2</c:v>
                  </c:pt>
                  <c:pt idx="9">
                    <c:v>4.6292610235144166E-2</c:v>
                  </c:pt>
                  <c:pt idx="10">
                    <c:v>4.2193291930464658E-2</c:v>
                  </c:pt>
                </c:numCache>
              </c:numRef>
            </c:minus>
            <c:spPr>
              <a:noFill/>
              <a:ln w="9525" cap="flat" cmpd="sng" algn="ctr">
                <a:solidFill>
                  <a:schemeClr val="tx1">
                    <a:lumMod val="65000"/>
                    <a:lumOff val="35000"/>
                  </a:schemeClr>
                </a:solidFill>
                <a:round/>
              </a:ln>
              <a:effectLst/>
            </c:spPr>
          </c:errBars>
          <c:cat>
            <c:numRef>
              <c:f>'NBT Depletion'!$BU$3:$BU$7</c:f>
              <c:numCache>
                <c:formatCode>General</c:formatCode>
                <c:ptCount val="5"/>
                <c:pt idx="0">
                  <c:v>5</c:v>
                </c:pt>
                <c:pt idx="1">
                  <c:v>20</c:v>
                </c:pt>
                <c:pt idx="2">
                  <c:v>35</c:v>
                </c:pt>
                <c:pt idx="3">
                  <c:v>50</c:v>
                </c:pt>
              </c:numCache>
            </c:numRef>
          </c:cat>
          <c:val>
            <c:numRef>
              <c:f>'NBT Depletion'!$BW$3:$BW$6</c:f>
              <c:numCache>
                <c:formatCode>0.0%</c:formatCode>
                <c:ptCount val="4"/>
                <c:pt idx="0">
                  <c:v>2.2369871757674409E-2</c:v>
                </c:pt>
                <c:pt idx="1">
                  <c:v>1.5045281916447606E-2</c:v>
                </c:pt>
                <c:pt idx="2">
                  <c:v>1.552310671481652E-2</c:v>
                </c:pt>
                <c:pt idx="3">
                  <c:v>1.5709995169386592E-2</c:v>
                </c:pt>
              </c:numCache>
            </c:numRef>
          </c:val>
          <c:smooth val="0"/>
          <c:extLst>
            <c:ext xmlns:c16="http://schemas.microsoft.com/office/drawing/2014/chart" uri="{C3380CC4-5D6E-409C-BE32-E72D297353CC}">
              <c16:uniqueId val="{00000000-AC22-4D7F-A032-1699F7B56A1F}"/>
            </c:ext>
          </c:extLst>
        </c:ser>
        <c:ser>
          <c:idx val="1"/>
          <c:order val="1"/>
          <c:tx>
            <c:strRef>
              <c:f>'NBT Depletion'!$BX$2</c:f>
              <c:strCache>
                <c:ptCount val="1"/>
                <c:pt idx="0">
                  <c:v>Dicyclohexylcarbodiimide</c:v>
                </c:pt>
              </c:strCache>
            </c:strRef>
          </c:tx>
          <c:spPr>
            <a:ln w="28575" cap="rnd">
              <a:solidFill>
                <a:schemeClr val="bg2">
                  <a:lumMod val="50000"/>
                </a:schemeClr>
              </a:solidFill>
              <a:round/>
            </a:ln>
            <a:effectLst/>
          </c:spPr>
          <c:marker>
            <c:symbol val="none"/>
          </c:marker>
          <c:errBars>
            <c:errDir val="y"/>
            <c:errBarType val="both"/>
            <c:errValType val="cust"/>
            <c:noEndCap val="0"/>
            <c:plus>
              <c:numRef>
                <c:f>'NBT Depletion'!$BX$10:$BX$13</c:f>
                <c:numCache>
                  <c:formatCode>General</c:formatCode>
                  <c:ptCount val="4"/>
                  <c:pt idx="0">
                    <c:v>5.5734267719777632E-3</c:v>
                  </c:pt>
                  <c:pt idx="1">
                    <c:v>2.6292725679228973E-3</c:v>
                  </c:pt>
                  <c:pt idx="2">
                    <c:v>2.486919751700273E-3</c:v>
                  </c:pt>
                  <c:pt idx="3">
                    <c:v>3.6725252337629589E-3</c:v>
                  </c:pt>
                </c:numCache>
              </c:numRef>
            </c:plus>
            <c:minus>
              <c:numRef>
                <c:f>'NBT Depletion'!$BX$10:$BX$13</c:f>
                <c:numCache>
                  <c:formatCode>General</c:formatCode>
                  <c:ptCount val="4"/>
                  <c:pt idx="0">
                    <c:v>5.5734267719777632E-3</c:v>
                  </c:pt>
                  <c:pt idx="1">
                    <c:v>2.6292725679228973E-3</c:v>
                  </c:pt>
                  <c:pt idx="2">
                    <c:v>2.486919751700273E-3</c:v>
                  </c:pt>
                  <c:pt idx="3">
                    <c:v>3.6725252337629589E-3</c:v>
                  </c:pt>
                </c:numCache>
              </c:numRef>
            </c:minus>
            <c:spPr>
              <a:noFill/>
              <a:ln w="9525" cap="flat" cmpd="sng" algn="ctr">
                <a:solidFill>
                  <a:schemeClr val="tx1">
                    <a:lumMod val="65000"/>
                    <a:lumOff val="35000"/>
                  </a:schemeClr>
                </a:solidFill>
                <a:round/>
              </a:ln>
              <a:effectLst/>
            </c:spPr>
          </c:errBars>
          <c:cat>
            <c:numRef>
              <c:f>'NBT Depletion'!$BU$3:$BU$7</c:f>
              <c:numCache>
                <c:formatCode>General</c:formatCode>
                <c:ptCount val="5"/>
                <c:pt idx="0">
                  <c:v>5</c:v>
                </c:pt>
                <c:pt idx="1">
                  <c:v>20</c:v>
                </c:pt>
                <c:pt idx="2">
                  <c:v>35</c:v>
                </c:pt>
                <c:pt idx="3">
                  <c:v>50</c:v>
                </c:pt>
              </c:numCache>
            </c:numRef>
          </c:cat>
          <c:val>
            <c:numRef>
              <c:f>'NBT Depletion'!$BX$3:$BX$6</c:f>
              <c:numCache>
                <c:formatCode>0.0%</c:formatCode>
                <c:ptCount val="4"/>
                <c:pt idx="0">
                  <c:v>1.1054372424998765E-2</c:v>
                </c:pt>
                <c:pt idx="1">
                  <c:v>4.6304411335086199E-2</c:v>
                </c:pt>
                <c:pt idx="2">
                  <c:v>5.9192965928717284E-2</c:v>
                </c:pt>
                <c:pt idx="3">
                  <c:v>5.8786465881166899E-2</c:v>
                </c:pt>
              </c:numCache>
            </c:numRef>
          </c:val>
          <c:smooth val="0"/>
          <c:extLst>
            <c:ext xmlns:c16="http://schemas.microsoft.com/office/drawing/2014/chart" uri="{C3380CC4-5D6E-409C-BE32-E72D297353CC}">
              <c16:uniqueId val="{00000001-AC22-4D7F-A032-1699F7B56A1F}"/>
            </c:ext>
          </c:extLst>
        </c:ser>
        <c:ser>
          <c:idx val="2"/>
          <c:order val="2"/>
          <c:tx>
            <c:strRef>
              <c:f>'NBT Depletion'!$BY$2</c:f>
              <c:strCache>
                <c:ptCount val="1"/>
                <c:pt idx="0">
                  <c:v>Triethanolamine</c:v>
                </c:pt>
              </c:strCache>
            </c:strRef>
          </c:tx>
          <c:spPr>
            <a:ln w="28575" cap="rnd">
              <a:solidFill>
                <a:schemeClr val="tx2">
                  <a:lumMod val="60000"/>
                  <a:lumOff val="40000"/>
                </a:schemeClr>
              </a:solidFill>
              <a:round/>
            </a:ln>
            <a:effectLst/>
          </c:spPr>
          <c:marker>
            <c:symbol val="none"/>
          </c:marker>
          <c:errBars>
            <c:errDir val="y"/>
            <c:errBarType val="both"/>
            <c:errValType val="cust"/>
            <c:noEndCap val="0"/>
            <c:plus>
              <c:numRef>
                <c:f>'NBT Depletion'!$BY$10:$BY$23</c:f>
                <c:numCache>
                  <c:formatCode>General</c:formatCode>
                  <c:ptCount val="14"/>
                  <c:pt idx="0">
                    <c:v>2.2474225881781327E-3</c:v>
                  </c:pt>
                  <c:pt idx="1">
                    <c:v>3.3564491069459691E-3</c:v>
                  </c:pt>
                  <c:pt idx="2">
                    <c:v>3.32882050939252E-3</c:v>
                  </c:pt>
                  <c:pt idx="3">
                    <c:v>3.0557257017156132E-3</c:v>
                  </c:pt>
                </c:numCache>
              </c:numRef>
            </c:plus>
            <c:minus>
              <c:numRef>
                <c:f>'NBT Depletion'!$BY$10:$BY$23</c:f>
                <c:numCache>
                  <c:formatCode>General</c:formatCode>
                  <c:ptCount val="14"/>
                  <c:pt idx="0">
                    <c:v>2.2474225881781327E-3</c:v>
                  </c:pt>
                  <c:pt idx="1">
                    <c:v>3.3564491069459691E-3</c:v>
                  </c:pt>
                  <c:pt idx="2">
                    <c:v>3.32882050939252E-3</c:v>
                  </c:pt>
                  <c:pt idx="3">
                    <c:v>3.0557257017156132E-3</c:v>
                  </c:pt>
                </c:numCache>
              </c:numRef>
            </c:minus>
            <c:spPr>
              <a:noFill/>
              <a:ln w="9525" cap="flat" cmpd="sng" algn="ctr">
                <a:solidFill>
                  <a:schemeClr val="tx1">
                    <a:lumMod val="65000"/>
                    <a:lumOff val="35000"/>
                  </a:schemeClr>
                </a:solidFill>
                <a:round/>
              </a:ln>
              <a:effectLst/>
            </c:spPr>
          </c:errBars>
          <c:cat>
            <c:numRef>
              <c:f>'NBT Depletion'!$BU$3:$BU$7</c:f>
              <c:numCache>
                <c:formatCode>General</c:formatCode>
                <c:ptCount val="5"/>
                <c:pt idx="0">
                  <c:v>5</c:v>
                </c:pt>
                <c:pt idx="1">
                  <c:v>20</c:v>
                </c:pt>
                <c:pt idx="2">
                  <c:v>35</c:v>
                </c:pt>
                <c:pt idx="3">
                  <c:v>50</c:v>
                </c:pt>
              </c:numCache>
            </c:numRef>
          </c:cat>
          <c:val>
            <c:numRef>
              <c:f>'NBT Depletion'!$BY$3:$BY$6</c:f>
              <c:numCache>
                <c:formatCode>0.0%</c:formatCode>
                <c:ptCount val="4"/>
                <c:pt idx="0">
                  <c:v>3.9459177160102166E-3</c:v>
                </c:pt>
                <c:pt idx="1">
                  <c:v>-2.9214139643587711E-3</c:v>
                </c:pt>
                <c:pt idx="2">
                  <c:v>-1.9155283403987089E-3</c:v>
                </c:pt>
                <c:pt idx="3">
                  <c:v>-6.0907735282378361E-4</c:v>
                </c:pt>
              </c:numCache>
            </c:numRef>
          </c:val>
          <c:smooth val="0"/>
          <c:extLst>
            <c:ext xmlns:c16="http://schemas.microsoft.com/office/drawing/2014/chart" uri="{C3380CC4-5D6E-409C-BE32-E72D297353CC}">
              <c16:uniqueId val="{00000002-AC22-4D7F-A032-1699F7B56A1F}"/>
            </c:ext>
          </c:extLst>
        </c:ser>
        <c:ser>
          <c:idx val="3"/>
          <c:order val="3"/>
          <c:tx>
            <c:strRef>
              <c:f>'NBT Depletion'!$BZ$2</c:f>
              <c:strCache>
                <c:ptCount val="1"/>
                <c:pt idx="0">
                  <c:v>Pentaerythritol triacrylate</c:v>
                </c:pt>
              </c:strCache>
            </c:strRef>
          </c:tx>
          <c:spPr>
            <a:ln w="28575" cap="rnd">
              <a:solidFill>
                <a:schemeClr val="accent2">
                  <a:lumMod val="60000"/>
                  <a:lumOff val="40000"/>
                </a:schemeClr>
              </a:solidFill>
              <a:round/>
            </a:ln>
            <a:effectLst/>
          </c:spPr>
          <c:marker>
            <c:symbol val="none"/>
          </c:marker>
          <c:errBars>
            <c:errDir val="y"/>
            <c:errBarType val="both"/>
            <c:errValType val="cust"/>
            <c:noEndCap val="0"/>
            <c:plus>
              <c:numRef>
                <c:f>'NBT Depletion'!$BZ$10:$BZ$13</c:f>
                <c:numCache>
                  <c:formatCode>General</c:formatCode>
                  <c:ptCount val="4"/>
                  <c:pt idx="0">
                    <c:v>6.8721170326275349E-3</c:v>
                  </c:pt>
                  <c:pt idx="1">
                    <c:v>5.0346736604189868E-3</c:v>
                  </c:pt>
                  <c:pt idx="2">
                    <c:v>4.3962945517349028E-3</c:v>
                  </c:pt>
                  <c:pt idx="3">
                    <c:v>4.4105601411379355E-3</c:v>
                  </c:pt>
                </c:numCache>
              </c:numRef>
            </c:plus>
            <c:minus>
              <c:numRef>
                <c:f>'NBT Depletion'!$BZ$10:$BZ$13</c:f>
                <c:numCache>
                  <c:formatCode>General</c:formatCode>
                  <c:ptCount val="4"/>
                  <c:pt idx="0">
                    <c:v>6.8721170326275349E-3</c:v>
                  </c:pt>
                  <c:pt idx="1">
                    <c:v>5.0346736604189868E-3</c:v>
                  </c:pt>
                  <c:pt idx="2">
                    <c:v>4.3962945517349028E-3</c:v>
                  </c:pt>
                  <c:pt idx="3">
                    <c:v>4.4105601411379355E-3</c:v>
                  </c:pt>
                </c:numCache>
              </c:numRef>
            </c:minus>
            <c:spPr>
              <a:noFill/>
              <a:ln w="9525" cap="flat" cmpd="sng" algn="ctr">
                <a:solidFill>
                  <a:schemeClr val="tx1">
                    <a:lumMod val="65000"/>
                    <a:lumOff val="35000"/>
                  </a:schemeClr>
                </a:solidFill>
                <a:round/>
              </a:ln>
              <a:effectLst/>
            </c:spPr>
          </c:errBars>
          <c:cat>
            <c:numRef>
              <c:f>'NBT Depletion'!$BU$3:$BU$7</c:f>
              <c:numCache>
                <c:formatCode>General</c:formatCode>
                <c:ptCount val="5"/>
                <c:pt idx="0">
                  <c:v>5</c:v>
                </c:pt>
                <c:pt idx="1">
                  <c:v>20</c:v>
                </c:pt>
                <c:pt idx="2">
                  <c:v>35</c:v>
                </c:pt>
                <c:pt idx="3">
                  <c:v>50</c:v>
                </c:pt>
              </c:numCache>
            </c:numRef>
          </c:cat>
          <c:val>
            <c:numRef>
              <c:f>'NBT Depletion'!$BZ$3:$BZ$6</c:f>
              <c:numCache>
                <c:formatCode>0.0%</c:formatCode>
                <c:ptCount val="4"/>
                <c:pt idx="0">
                  <c:v>1.3085359484709819E-2</c:v>
                </c:pt>
                <c:pt idx="1">
                  <c:v>2.527023079170318E-2</c:v>
                </c:pt>
                <c:pt idx="2">
                  <c:v>4.1168158266603888E-2</c:v>
                </c:pt>
                <c:pt idx="3">
                  <c:v>5.8933484552538273E-2</c:v>
                </c:pt>
              </c:numCache>
            </c:numRef>
          </c:val>
          <c:smooth val="0"/>
          <c:extLst>
            <c:ext xmlns:c16="http://schemas.microsoft.com/office/drawing/2014/chart" uri="{C3380CC4-5D6E-409C-BE32-E72D297353CC}">
              <c16:uniqueId val="{00000003-AC22-4D7F-A032-1699F7B56A1F}"/>
            </c:ext>
          </c:extLst>
        </c:ser>
        <c:ser>
          <c:idx val="4"/>
          <c:order val="4"/>
          <c:tx>
            <c:strRef>
              <c:f>'NBT Depletion'!$CA$2</c:f>
              <c:strCache>
                <c:ptCount val="1"/>
                <c:pt idx="0">
                  <c:v>Clarithromycin</c:v>
                </c:pt>
              </c:strCache>
            </c:strRef>
          </c:tx>
          <c:spPr>
            <a:ln w="28575" cap="rnd">
              <a:solidFill>
                <a:schemeClr val="accent3">
                  <a:lumMod val="60000"/>
                  <a:lumOff val="40000"/>
                </a:schemeClr>
              </a:solidFill>
              <a:round/>
            </a:ln>
            <a:effectLst/>
          </c:spPr>
          <c:marker>
            <c:symbol val="none"/>
          </c:marker>
          <c:errBars>
            <c:errDir val="y"/>
            <c:errBarType val="both"/>
            <c:errValType val="cust"/>
            <c:noEndCap val="0"/>
            <c:plus>
              <c:numRef>
                <c:f>'NBT Depletion'!$CA$10:$CA$13</c:f>
                <c:numCache>
                  <c:formatCode>General</c:formatCode>
                  <c:ptCount val="4"/>
                  <c:pt idx="0">
                    <c:v>3.7606572845168265E-3</c:v>
                  </c:pt>
                  <c:pt idx="1">
                    <c:v>2.9935585059771325E-3</c:v>
                  </c:pt>
                  <c:pt idx="2">
                    <c:v>3.0032409216189369E-3</c:v>
                  </c:pt>
                  <c:pt idx="3">
                    <c:v>3.0129861744362337E-3</c:v>
                  </c:pt>
                </c:numCache>
              </c:numRef>
            </c:plus>
            <c:minus>
              <c:numRef>
                <c:f>'NBT Depletion'!$CA$10:$CA$13</c:f>
                <c:numCache>
                  <c:formatCode>General</c:formatCode>
                  <c:ptCount val="4"/>
                  <c:pt idx="0">
                    <c:v>3.7606572845168265E-3</c:v>
                  </c:pt>
                  <c:pt idx="1">
                    <c:v>2.9935585059771325E-3</c:v>
                  </c:pt>
                  <c:pt idx="2">
                    <c:v>3.0032409216189369E-3</c:v>
                  </c:pt>
                  <c:pt idx="3">
                    <c:v>3.0129861744362337E-3</c:v>
                  </c:pt>
                </c:numCache>
              </c:numRef>
            </c:minus>
            <c:spPr>
              <a:noFill/>
              <a:ln w="9525" cap="flat" cmpd="sng" algn="ctr">
                <a:solidFill>
                  <a:schemeClr val="tx1">
                    <a:lumMod val="65000"/>
                    <a:lumOff val="35000"/>
                  </a:schemeClr>
                </a:solidFill>
                <a:round/>
              </a:ln>
              <a:effectLst/>
            </c:spPr>
          </c:errBars>
          <c:cat>
            <c:numRef>
              <c:f>'NBT Depletion'!$BU$3:$BU$7</c:f>
              <c:numCache>
                <c:formatCode>General</c:formatCode>
                <c:ptCount val="5"/>
                <c:pt idx="0">
                  <c:v>5</c:v>
                </c:pt>
                <c:pt idx="1">
                  <c:v>20</c:v>
                </c:pt>
                <c:pt idx="2">
                  <c:v>35</c:v>
                </c:pt>
                <c:pt idx="3">
                  <c:v>50</c:v>
                </c:pt>
              </c:numCache>
            </c:numRef>
          </c:cat>
          <c:val>
            <c:numRef>
              <c:f>'NBT Depletion'!$CA$3:$CA$6</c:f>
              <c:numCache>
                <c:formatCode>0.0%</c:formatCode>
                <c:ptCount val="4"/>
                <c:pt idx="0">
                  <c:v>-7.9498636337259065E-3</c:v>
                </c:pt>
                <c:pt idx="1">
                  <c:v>-1.2123867952088807E-2</c:v>
                </c:pt>
                <c:pt idx="2">
                  <c:v>-9.8288585335217782E-3</c:v>
                </c:pt>
                <c:pt idx="3">
                  <c:v>-9.5772163064709592E-3</c:v>
                </c:pt>
              </c:numCache>
            </c:numRef>
          </c:val>
          <c:smooth val="0"/>
          <c:extLst>
            <c:ext xmlns:c16="http://schemas.microsoft.com/office/drawing/2014/chart" uri="{C3380CC4-5D6E-409C-BE32-E72D297353CC}">
              <c16:uniqueId val="{00000004-AC22-4D7F-A032-1699F7B56A1F}"/>
            </c:ext>
          </c:extLst>
        </c:ser>
        <c:ser>
          <c:idx val="5"/>
          <c:order val="5"/>
          <c:tx>
            <c:strRef>
              <c:f>'NBT Depletion'!$CB$2</c:f>
              <c:strCache>
                <c:ptCount val="1"/>
                <c:pt idx="0">
                  <c:v>o-Benzyl-p-chlorophenol</c:v>
                </c:pt>
              </c:strCache>
            </c:strRef>
          </c:tx>
          <c:spPr>
            <a:ln w="28575" cap="rnd">
              <a:solidFill>
                <a:schemeClr val="accent4">
                  <a:lumMod val="60000"/>
                  <a:lumOff val="40000"/>
                </a:schemeClr>
              </a:solidFill>
              <a:round/>
            </a:ln>
            <a:effectLst/>
          </c:spPr>
          <c:marker>
            <c:symbol val="none"/>
          </c:marker>
          <c:errBars>
            <c:errDir val="y"/>
            <c:errBarType val="both"/>
            <c:errValType val="cust"/>
            <c:noEndCap val="0"/>
            <c:plus>
              <c:numRef>
                <c:f>'NBT Depletion'!$CB$10:$CB$13</c:f>
                <c:numCache>
                  <c:formatCode>General</c:formatCode>
                  <c:ptCount val="4"/>
                  <c:pt idx="0">
                    <c:v>6.5715497318552694E-3</c:v>
                  </c:pt>
                  <c:pt idx="1">
                    <c:v>5.9009669520082367E-3</c:v>
                  </c:pt>
                  <c:pt idx="2">
                    <c:v>6.6382591988563807E-3</c:v>
                  </c:pt>
                  <c:pt idx="3">
                    <c:v>7.9390082540482486E-3</c:v>
                  </c:pt>
                </c:numCache>
              </c:numRef>
            </c:plus>
            <c:minus>
              <c:numRef>
                <c:f>'NBT Depletion'!$CB$10:$CB$13</c:f>
                <c:numCache>
                  <c:formatCode>General</c:formatCode>
                  <c:ptCount val="4"/>
                  <c:pt idx="0">
                    <c:v>6.5715497318552694E-3</c:v>
                  </c:pt>
                  <c:pt idx="1">
                    <c:v>5.9009669520082367E-3</c:v>
                  </c:pt>
                  <c:pt idx="2">
                    <c:v>6.6382591988563807E-3</c:v>
                  </c:pt>
                  <c:pt idx="3">
                    <c:v>7.9390082540482486E-3</c:v>
                  </c:pt>
                </c:numCache>
              </c:numRef>
            </c:minus>
            <c:spPr>
              <a:noFill/>
              <a:ln w="9525" cap="flat" cmpd="sng" algn="ctr">
                <a:solidFill>
                  <a:schemeClr val="tx1">
                    <a:lumMod val="65000"/>
                    <a:lumOff val="35000"/>
                  </a:schemeClr>
                </a:solidFill>
                <a:round/>
              </a:ln>
              <a:effectLst/>
            </c:spPr>
          </c:errBars>
          <c:cat>
            <c:numRef>
              <c:f>'NBT Depletion'!$BU$3:$BU$7</c:f>
              <c:numCache>
                <c:formatCode>General</c:formatCode>
                <c:ptCount val="5"/>
                <c:pt idx="0">
                  <c:v>5</c:v>
                </c:pt>
                <c:pt idx="1">
                  <c:v>20</c:v>
                </c:pt>
                <c:pt idx="2">
                  <c:v>35</c:v>
                </c:pt>
                <c:pt idx="3">
                  <c:v>50</c:v>
                </c:pt>
              </c:numCache>
            </c:numRef>
          </c:cat>
          <c:val>
            <c:numRef>
              <c:f>'NBT Depletion'!$CB$3:$CB$6</c:f>
              <c:numCache>
                <c:formatCode>0.0%</c:formatCode>
                <c:ptCount val="4"/>
                <c:pt idx="0">
                  <c:v>3.0203678987988369E-2</c:v>
                </c:pt>
                <c:pt idx="1">
                  <c:v>4.1191936897458398E-2</c:v>
                </c:pt>
                <c:pt idx="2">
                  <c:v>5.9632595383890707E-2</c:v>
                </c:pt>
                <c:pt idx="3">
                  <c:v>7.6869762459832403E-2</c:v>
                </c:pt>
              </c:numCache>
            </c:numRef>
          </c:val>
          <c:smooth val="0"/>
          <c:extLst>
            <c:ext xmlns:c16="http://schemas.microsoft.com/office/drawing/2014/chart" uri="{C3380CC4-5D6E-409C-BE32-E72D297353CC}">
              <c16:uniqueId val="{00000005-AC22-4D7F-A032-1699F7B56A1F}"/>
            </c:ext>
          </c:extLst>
        </c:ser>
        <c:ser>
          <c:idx val="6"/>
          <c:order val="6"/>
          <c:tx>
            <c:strRef>
              <c:f>'NBT Depletion'!$BV$2</c:f>
              <c:strCache>
                <c:ptCount val="1"/>
                <c:pt idx="0">
                  <c:v>NC</c:v>
                </c:pt>
              </c:strCache>
            </c:strRef>
          </c:tx>
          <c:spPr>
            <a:ln w="28575" cap="rnd">
              <a:solidFill>
                <a:srgbClr val="FF0000"/>
              </a:solidFill>
              <a:round/>
            </a:ln>
            <a:effectLst/>
          </c:spPr>
          <c:marker>
            <c:symbol val="none"/>
          </c:marker>
          <c:errBars>
            <c:errDir val="y"/>
            <c:errBarType val="both"/>
            <c:errValType val="cust"/>
            <c:noEndCap val="0"/>
            <c:plus>
              <c:numRef>
                <c:f>'NBT Depletion'!$BV$10:$BV$13</c:f>
                <c:numCache>
                  <c:formatCode>General</c:formatCode>
                  <c:ptCount val="4"/>
                  <c:pt idx="0">
                    <c:v>1.1556211108478603E-2</c:v>
                  </c:pt>
                  <c:pt idx="1">
                    <c:v>9.3260251955993214E-3</c:v>
                  </c:pt>
                  <c:pt idx="2">
                    <c:v>9.2585220470288339E-3</c:v>
                  </c:pt>
                  <c:pt idx="3">
                    <c:v>8.4386583860929319E-3</c:v>
                  </c:pt>
                </c:numCache>
              </c:numRef>
            </c:plus>
            <c:minus>
              <c:numRef>
                <c:f>'NBT Depletion'!$BV$10:$BV$13</c:f>
                <c:numCache>
                  <c:formatCode>General</c:formatCode>
                  <c:ptCount val="4"/>
                  <c:pt idx="0">
                    <c:v>1.1556211108478603E-2</c:v>
                  </c:pt>
                  <c:pt idx="1">
                    <c:v>9.3260251955993214E-3</c:v>
                  </c:pt>
                  <c:pt idx="2">
                    <c:v>9.2585220470288339E-3</c:v>
                  </c:pt>
                  <c:pt idx="3">
                    <c:v>8.4386583860929319E-3</c:v>
                  </c:pt>
                </c:numCache>
              </c:numRef>
            </c:minus>
            <c:spPr>
              <a:noFill/>
              <a:ln w="9525" cap="flat" cmpd="sng" algn="ctr">
                <a:solidFill>
                  <a:schemeClr val="tx1">
                    <a:lumMod val="65000"/>
                    <a:lumOff val="35000"/>
                  </a:schemeClr>
                </a:solidFill>
                <a:round/>
              </a:ln>
              <a:effectLst/>
            </c:spPr>
          </c:errBars>
          <c:val>
            <c:numRef>
              <c:f>'NBT Depletion'!$BV$3:$BV$6</c:f>
              <c:numCache>
                <c:formatCode>0.000</c:formatCode>
                <c:ptCount val="4"/>
                <c:pt idx="0">
                  <c:v>0</c:v>
                </c:pt>
                <c:pt idx="1">
                  <c:v>0</c:v>
                </c:pt>
                <c:pt idx="2">
                  <c:v>0</c:v>
                </c:pt>
                <c:pt idx="3">
                  <c:v>0</c:v>
                </c:pt>
              </c:numCache>
            </c:numRef>
          </c:val>
          <c:smooth val="0"/>
          <c:extLst>
            <c:ext xmlns:c16="http://schemas.microsoft.com/office/drawing/2014/chart" uri="{C3380CC4-5D6E-409C-BE32-E72D297353CC}">
              <c16:uniqueId val="{00000006-AC22-4D7F-A032-1699F7B56A1F}"/>
            </c:ext>
          </c:extLst>
        </c:ser>
        <c:ser>
          <c:idx val="8"/>
          <c:order val="7"/>
          <c:tx>
            <c:strRef>
              <c:f>'NBT Depletion'!$BW$16</c:f>
              <c:strCache>
                <c:ptCount val="1"/>
                <c:pt idx="0">
                  <c:v>5xSD</c:v>
                </c:pt>
              </c:strCache>
            </c:strRef>
          </c:tx>
          <c:spPr>
            <a:ln w="28575" cap="rnd">
              <a:solidFill>
                <a:schemeClr val="accent3">
                  <a:lumMod val="60000"/>
                </a:schemeClr>
              </a:solidFill>
              <a:prstDash val="sysDot"/>
              <a:round/>
            </a:ln>
            <a:effectLst/>
          </c:spPr>
          <c:marker>
            <c:symbol val="none"/>
          </c:marker>
          <c:val>
            <c:numRef>
              <c:f>'NBT Depletion'!$BW$17:$BW$20</c:f>
              <c:numCache>
                <c:formatCode>0.0%</c:formatCode>
                <c:ptCount val="4"/>
                <c:pt idx="0">
                  <c:v>5.7781055542393017E-2</c:v>
                </c:pt>
                <c:pt idx="1">
                  <c:v>4.6630125977996609E-2</c:v>
                </c:pt>
                <c:pt idx="2">
                  <c:v>4.6292610235144166E-2</c:v>
                </c:pt>
                <c:pt idx="3">
                  <c:v>4.2193291930464658E-2</c:v>
                </c:pt>
              </c:numCache>
            </c:numRef>
          </c:val>
          <c:smooth val="0"/>
          <c:extLst>
            <c:ext xmlns:c16="http://schemas.microsoft.com/office/drawing/2014/chart" uri="{C3380CC4-5D6E-409C-BE32-E72D297353CC}">
              <c16:uniqueId val="{00000007-AC22-4D7F-A032-1699F7B56A1F}"/>
            </c:ext>
          </c:extLst>
        </c:ser>
        <c:ser>
          <c:idx val="9"/>
          <c:order val="8"/>
          <c:tx>
            <c:strRef>
              <c:f>'NBT Depletion'!$CC$2</c:f>
              <c:strCache>
                <c:ptCount val="1"/>
                <c:pt idx="0">
                  <c:v>5-Amino-o-cresol</c:v>
                </c:pt>
              </c:strCache>
            </c:strRef>
          </c:tx>
          <c:spPr>
            <a:ln w="28575" cap="rnd">
              <a:solidFill>
                <a:schemeClr val="accent4">
                  <a:lumMod val="60000"/>
                </a:schemeClr>
              </a:solidFill>
              <a:round/>
            </a:ln>
            <a:effectLst/>
          </c:spPr>
          <c:marker>
            <c:symbol val="none"/>
          </c:marker>
          <c:errBars>
            <c:errDir val="y"/>
            <c:errBarType val="both"/>
            <c:errValType val="cust"/>
            <c:noEndCap val="0"/>
            <c:plus>
              <c:numRef>
                <c:f>'NBT Depletion'!$CC$10:$CC$13</c:f>
                <c:numCache>
                  <c:formatCode>General</c:formatCode>
                  <c:ptCount val="4"/>
                  <c:pt idx="0">
                    <c:v>5.1249120097068643E-3</c:v>
                  </c:pt>
                  <c:pt idx="1">
                    <c:v>5.9009669520082367E-3</c:v>
                  </c:pt>
                  <c:pt idx="2">
                    <c:v>5.920053138098875E-3</c:v>
                  </c:pt>
                  <c:pt idx="3">
                    <c:v>6.6597997664791754E-3</c:v>
                  </c:pt>
                </c:numCache>
              </c:numRef>
            </c:plus>
            <c:minus>
              <c:numRef>
                <c:f>'NBT Depletion'!$CC$10:$CC$13</c:f>
                <c:numCache>
                  <c:formatCode>General</c:formatCode>
                  <c:ptCount val="4"/>
                  <c:pt idx="0">
                    <c:v>5.1249120097068643E-3</c:v>
                  </c:pt>
                  <c:pt idx="1">
                    <c:v>5.9009669520082367E-3</c:v>
                  </c:pt>
                  <c:pt idx="2">
                    <c:v>5.920053138098875E-3</c:v>
                  </c:pt>
                  <c:pt idx="3">
                    <c:v>6.6597997664791754E-3</c:v>
                  </c:pt>
                </c:numCache>
              </c:numRef>
            </c:minus>
            <c:spPr>
              <a:noFill/>
              <a:ln w="9525" cap="flat" cmpd="sng" algn="ctr">
                <a:solidFill>
                  <a:schemeClr val="tx1">
                    <a:lumMod val="65000"/>
                    <a:lumOff val="35000"/>
                  </a:schemeClr>
                </a:solidFill>
                <a:round/>
              </a:ln>
              <a:effectLst/>
            </c:spPr>
          </c:errBars>
          <c:val>
            <c:numRef>
              <c:f>'NBT Depletion'!$CC$3:$CC$6</c:f>
              <c:numCache>
                <c:formatCode>0.0%</c:formatCode>
                <c:ptCount val="4"/>
                <c:pt idx="0">
                  <c:v>3.0754946904198166E-3</c:v>
                </c:pt>
                <c:pt idx="1">
                  <c:v>2.6584867075664625E-2</c:v>
                </c:pt>
                <c:pt idx="2">
                  <c:v>5.7434448108023173E-2</c:v>
                </c:pt>
                <c:pt idx="3">
                  <c:v>8.6572994770335837E-2</c:v>
                </c:pt>
              </c:numCache>
            </c:numRef>
          </c:val>
          <c:smooth val="0"/>
          <c:extLst>
            <c:ext xmlns:c16="http://schemas.microsoft.com/office/drawing/2014/chart" uri="{C3380CC4-5D6E-409C-BE32-E72D297353CC}">
              <c16:uniqueId val="{00000008-AC22-4D7F-A032-1699F7B56A1F}"/>
            </c:ext>
          </c:extLst>
        </c:ser>
        <c:dLbls>
          <c:showLegendKey val="0"/>
          <c:showVal val="0"/>
          <c:showCatName val="0"/>
          <c:showSerName val="0"/>
          <c:showPercent val="0"/>
          <c:showBubbleSize val="0"/>
        </c:dLbls>
        <c:smooth val="0"/>
        <c:axId val="239417880"/>
        <c:axId val="239138832"/>
      </c:lineChart>
      <c:catAx>
        <c:axId val="239417880"/>
        <c:scaling>
          <c:orientation val="minMax"/>
        </c:scaling>
        <c:delete val="0"/>
        <c:axPos val="t"/>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Time (min)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9138832"/>
        <c:crosses val="autoZero"/>
        <c:auto val="1"/>
        <c:lblAlgn val="ctr"/>
        <c:lblOffset val="100"/>
        <c:noMultiLvlLbl val="0"/>
      </c:catAx>
      <c:valAx>
        <c:axId val="239138832"/>
        <c:scaling>
          <c:orientation val="maxMin"/>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 Depletion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941788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Benzyl</a:t>
            </a:r>
            <a:r>
              <a:rPr lang="en-US" baseline="0"/>
              <a:t> Bromide</a:t>
            </a:r>
            <a:r>
              <a:rPr lang="en-US"/>
              <a:t> dose response time course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'NBT Depletion'!$AJ$2</c:f>
              <c:strCache>
                <c:ptCount val="1"/>
                <c:pt idx="0">
                  <c:v>5 min</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errBars>
            <c:errDir val="y"/>
            <c:errBarType val="both"/>
            <c:errValType val="cust"/>
            <c:noEndCap val="0"/>
            <c:plus>
              <c:numRef>
                <c:f>'NBT Depletion'!$AZ$4:$AZ$10</c:f>
                <c:numCache>
                  <c:formatCode>General</c:formatCode>
                  <c:ptCount val="7"/>
                  <c:pt idx="0">
                    <c:v>3.4290690425797438E-2</c:v>
                  </c:pt>
                  <c:pt idx="1">
                    <c:v>3.1479965159911437E-2</c:v>
                  </c:pt>
                  <c:pt idx="2">
                    <c:v>2.1905165772850826E-2</c:v>
                  </c:pt>
                  <c:pt idx="3">
                    <c:v>1.8423382889093613E-2</c:v>
                  </c:pt>
                  <c:pt idx="4">
                    <c:v>1.9096480789072539E-2</c:v>
                  </c:pt>
                  <c:pt idx="5">
                    <c:v>1.6175198589643561E-2</c:v>
                  </c:pt>
                  <c:pt idx="6">
                    <c:v>1.2831976085125051E-2</c:v>
                  </c:pt>
                </c:numCache>
              </c:numRef>
            </c:plus>
            <c:minus>
              <c:numRef>
                <c:f>'NBT Depletion'!$AZ$4:$AZ$10</c:f>
                <c:numCache>
                  <c:formatCode>General</c:formatCode>
                  <c:ptCount val="7"/>
                  <c:pt idx="0">
                    <c:v>3.4290690425797438E-2</c:v>
                  </c:pt>
                  <c:pt idx="1">
                    <c:v>3.1479965159911437E-2</c:v>
                  </c:pt>
                  <c:pt idx="2">
                    <c:v>2.1905165772850826E-2</c:v>
                  </c:pt>
                  <c:pt idx="3">
                    <c:v>1.8423382889093613E-2</c:v>
                  </c:pt>
                  <c:pt idx="4">
                    <c:v>1.9096480789072539E-2</c:v>
                  </c:pt>
                  <c:pt idx="5">
                    <c:v>1.6175198589643561E-2</c:v>
                  </c:pt>
                  <c:pt idx="6">
                    <c:v>1.2831976085125051E-2</c:v>
                  </c:pt>
                </c:numCache>
              </c:numRef>
            </c:minus>
            <c:spPr>
              <a:noFill/>
              <a:ln w="9525" cap="flat" cmpd="sng" algn="ctr">
                <a:solidFill>
                  <a:schemeClr val="tx1">
                    <a:lumMod val="65000"/>
                    <a:lumOff val="35000"/>
                  </a:schemeClr>
                </a:solidFill>
                <a:round/>
              </a:ln>
              <a:effectLst/>
            </c:spPr>
          </c:errBars>
          <c:xVal>
            <c:numRef>
              <c:f>'NBT Depletion'!$AX$4:$AX$10</c:f>
              <c:numCache>
                <c:formatCode>0.000</c:formatCode>
                <c:ptCount val="7"/>
                <c:pt idx="0">
                  <c:v>0.6</c:v>
                </c:pt>
                <c:pt idx="1">
                  <c:v>0.3</c:v>
                </c:pt>
                <c:pt idx="2">
                  <c:v>0.15</c:v>
                </c:pt>
                <c:pt idx="3">
                  <c:v>7.4999999999999997E-2</c:v>
                </c:pt>
                <c:pt idx="4">
                  <c:v>3.7499999999999999E-2</c:v>
                </c:pt>
                <c:pt idx="5">
                  <c:v>1.8749999999999999E-2</c:v>
                </c:pt>
                <c:pt idx="6">
                  <c:v>9.3749999999999997E-3</c:v>
                </c:pt>
              </c:numCache>
            </c:numRef>
          </c:xVal>
          <c:yVal>
            <c:numRef>
              <c:f>'NBT Depletion'!$AY$4:$AY$10</c:f>
              <c:numCache>
                <c:formatCode>0.0%</c:formatCode>
                <c:ptCount val="7"/>
                <c:pt idx="0">
                  <c:v>0.54883073173562358</c:v>
                </c:pt>
                <c:pt idx="1">
                  <c:v>0.33122497533801448</c:v>
                </c:pt>
                <c:pt idx="2">
                  <c:v>0.18905588115824298</c:v>
                </c:pt>
                <c:pt idx="3">
                  <c:v>8.9247374223873008E-2</c:v>
                </c:pt>
                <c:pt idx="4">
                  <c:v>3.992340277374825E-2</c:v>
                </c:pt>
                <c:pt idx="5">
                  <c:v>1.6712122091336545E-2</c:v>
                </c:pt>
                <c:pt idx="6">
                  <c:v>6.8473278013115495E-3</c:v>
                </c:pt>
              </c:numCache>
            </c:numRef>
          </c:yVal>
          <c:smooth val="0"/>
          <c:extLst>
            <c:ext xmlns:c16="http://schemas.microsoft.com/office/drawing/2014/chart" uri="{C3380CC4-5D6E-409C-BE32-E72D297353CC}">
              <c16:uniqueId val="{00000000-854E-42C0-96F7-6AA30C08BF52}"/>
            </c:ext>
          </c:extLst>
        </c:ser>
        <c:ser>
          <c:idx val="1"/>
          <c:order val="1"/>
          <c:tx>
            <c:strRef>
              <c:f>'NBT Depletion'!$AJ$12</c:f>
              <c:strCache>
                <c:ptCount val="1"/>
                <c:pt idx="0">
                  <c:v>20 min</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errBars>
            <c:errDir val="y"/>
            <c:errBarType val="both"/>
            <c:errValType val="cust"/>
            <c:noEndCap val="0"/>
            <c:plus>
              <c:numRef>
                <c:f>'NBT Depletion'!$AZ$14:$AZ$20</c:f>
                <c:numCache>
                  <c:formatCode>General</c:formatCode>
                  <c:ptCount val="7"/>
                  <c:pt idx="0">
                    <c:v>1.8550403583274911E-2</c:v>
                  </c:pt>
                  <c:pt idx="1">
                    <c:v>3.7960399347428085E-2</c:v>
                  </c:pt>
                  <c:pt idx="2">
                    <c:v>3.6446322345897036E-2</c:v>
                  </c:pt>
                  <c:pt idx="3">
                    <c:v>2.6467430097355884E-2</c:v>
                  </c:pt>
                  <c:pt idx="4">
                    <c:v>2.3798319432563601E-2</c:v>
                  </c:pt>
                  <c:pt idx="5">
                    <c:v>1.8742640879164971E-2</c:v>
                  </c:pt>
                  <c:pt idx="6">
                    <c:v>1.1931392262145558E-2</c:v>
                  </c:pt>
                </c:numCache>
              </c:numRef>
            </c:plus>
            <c:minus>
              <c:numRef>
                <c:f>'NBT Depletion'!$AZ$14:$AZ$20</c:f>
                <c:numCache>
                  <c:formatCode>General</c:formatCode>
                  <c:ptCount val="7"/>
                  <c:pt idx="0">
                    <c:v>1.8550403583274911E-2</c:v>
                  </c:pt>
                  <c:pt idx="1">
                    <c:v>3.7960399347428085E-2</c:v>
                  </c:pt>
                  <c:pt idx="2">
                    <c:v>3.6446322345897036E-2</c:v>
                  </c:pt>
                  <c:pt idx="3">
                    <c:v>2.6467430097355884E-2</c:v>
                  </c:pt>
                  <c:pt idx="4">
                    <c:v>2.3798319432563601E-2</c:v>
                  </c:pt>
                  <c:pt idx="5">
                    <c:v>1.8742640879164971E-2</c:v>
                  </c:pt>
                  <c:pt idx="6">
                    <c:v>1.1931392262145558E-2</c:v>
                  </c:pt>
                </c:numCache>
              </c:numRef>
            </c:minus>
            <c:spPr>
              <a:noFill/>
              <a:ln w="9525" cap="flat" cmpd="sng" algn="ctr">
                <a:solidFill>
                  <a:schemeClr val="tx1">
                    <a:lumMod val="65000"/>
                    <a:lumOff val="35000"/>
                  </a:schemeClr>
                </a:solidFill>
                <a:round/>
              </a:ln>
              <a:effectLst/>
            </c:spPr>
          </c:errBars>
          <c:xVal>
            <c:numRef>
              <c:f>'NBT Depletion'!$AX$14:$AX$20</c:f>
              <c:numCache>
                <c:formatCode>0.000</c:formatCode>
                <c:ptCount val="7"/>
                <c:pt idx="0">
                  <c:v>0.6</c:v>
                </c:pt>
                <c:pt idx="1">
                  <c:v>0.3</c:v>
                </c:pt>
                <c:pt idx="2">
                  <c:v>0.15</c:v>
                </c:pt>
                <c:pt idx="3">
                  <c:v>7.4999999999999997E-2</c:v>
                </c:pt>
                <c:pt idx="4">
                  <c:v>3.7499999999999999E-2</c:v>
                </c:pt>
                <c:pt idx="5">
                  <c:v>1.8749999999999999E-2</c:v>
                </c:pt>
                <c:pt idx="6">
                  <c:v>9.3749999999999997E-3</c:v>
                </c:pt>
              </c:numCache>
            </c:numRef>
          </c:xVal>
          <c:yVal>
            <c:numRef>
              <c:f>'NBT Depletion'!$AY$14:$AY$20</c:f>
              <c:numCache>
                <c:formatCode>0.0%</c:formatCode>
                <c:ptCount val="7"/>
                <c:pt idx="0">
                  <c:v>0.94653812445223495</c:v>
                </c:pt>
                <c:pt idx="1">
                  <c:v>0.8098159509202455</c:v>
                </c:pt>
                <c:pt idx="2">
                  <c:v>0.57259713701431492</c:v>
                </c:pt>
                <c:pt idx="3">
                  <c:v>0.33479404031551274</c:v>
                </c:pt>
                <c:pt idx="4">
                  <c:v>0.18463336254747295</c:v>
                </c:pt>
                <c:pt idx="5">
                  <c:v>9.5238095238095302E-2</c:v>
                </c:pt>
                <c:pt idx="6">
                  <c:v>4.6158340636868266E-2</c:v>
                </c:pt>
              </c:numCache>
            </c:numRef>
          </c:yVal>
          <c:smooth val="0"/>
          <c:extLst>
            <c:ext xmlns:c16="http://schemas.microsoft.com/office/drawing/2014/chart" uri="{C3380CC4-5D6E-409C-BE32-E72D297353CC}">
              <c16:uniqueId val="{00000001-854E-42C0-96F7-6AA30C08BF52}"/>
            </c:ext>
          </c:extLst>
        </c:ser>
        <c:ser>
          <c:idx val="2"/>
          <c:order val="2"/>
          <c:tx>
            <c:strRef>
              <c:f>'NBT Depletion'!$AJ$22</c:f>
              <c:strCache>
                <c:ptCount val="1"/>
                <c:pt idx="0">
                  <c:v>35 min</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errBars>
            <c:errDir val="y"/>
            <c:errBarType val="both"/>
            <c:errValType val="cust"/>
            <c:noEndCap val="0"/>
            <c:plus>
              <c:numRef>
                <c:f>'NBT Depletion'!$AZ$24:$AZ$30</c:f>
                <c:numCache>
                  <c:formatCode>General</c:formatCode>
                  <c:ptCount val="7"/>
                  <c:pt idx="0">
                    <c:v>7.9295960482990303E-3</c:v>
                  </c:pt>
                  <c:pt idx="1">
                    <c:v>3.4023267879297062E-2</c:v>
                  </c:pt>
                  <c:pt idx="2">
                    <c:v>3.2945820811145596E-2</c:v>
                  </c:pt>
                  <c:pt idx="3">
                    <c:v>2.9055482868395786E-2</c:v>
                  </c:pt>
                  <c:pt idx="4">
                    <c:v>2.5013847164446611E-2</c:v>
                  </c:pt>
                  <c:pt idx="5">
                    <c:v>1.7702024530283671E-2</c:v>
                  </c:pt>
                  <c:pt idx="6">
                    <c:v>1.1305687813170229E-2</c:v>
                  </c:pt>
                </c:numCache>
              </c:numRef>
            </c:plus>
            <c:minus>
              <c:numRef>
                <c:f>'NBT Depletion'!$AZ$24:$AZ$30</c:f>
                <c:numCache>
                  <c:formatCode>General</c:formatCode>
                  <c:ptCount val="7"/>
                  <c:pt idx="0">
                    <c:v>7.9295960482990303E-3</c:v>
                  </c:pt>
                  <c:pt idx="1">
                    <c:v>3.4023267879297062E-2</c:v>
                  </c:pt>
                  <c:pt idx="2">
                    <c:v>3.2945820811145596E-2</c:v>
                  </c:pt>
                  <c:pt idx="3">
                    <c:v>2.9055482868395786E-2</c:v>
                  </c:pt>
                  <c:pt idx="4">
                    <c:v>2.5013847164446611E-2</c:v>
                  </c:pt>
                  <c:pt idx="5">
                    <c:v>1.7702024530283671E-2</c:v>
                  </c:pt>
                  <c:pt idx="6">
                    <c:v>1.1305687813170229E-2</c:v>
                  </c:pt>
                </c:numCache>
              </c:numRef>
            </c:minus>
            <c:spPr>
              <a:noFill/>
              <a:ln w="9525" cap="flat" cmpd="sng" algn="ctr">
                <a:solidFill>
                  <a:schemeClr val="tx1">
                    <a:lumMod val="65000"/>
                    <a:lumOff val="35000"/>
                  </a:schemeClr>
                </a:solidFill>
                <a:round/>
              </a:ln>
              <a:effectLst/>
            </c:spPr>
          </c:errBars>
          <c:xVal>
            <c:numRef>
              <c:f>'NBT Depletion'!$AX$24:$AX$30</c:f>
              <c:numCache>
                <c:formatCode>0.000</c:formatCode>
                <c:ptCount val="7"/>
                <c:pt idx="0">
                  <c:v>0.6</c:v>
                </c:pt>
                <c:pt idx="1">
                  <c:v>0.3</c:v>
                </c:pt>
                <c:pt idx="2">
                  <c:v>0.15</c:v>
                </c:pt>
                <c:pt idx="3">
                  <c:v>7.4999999999999997E-2</c:v>
                </c:pt>
                <c:pt idx="4">
                  <c:v>3.7499999999999999E-2</c:v>
                </c:pt>
                <c:pt idx="5">
                  <c:v>1.8749999999999999E-2</c:v>
                </c:pt>
                <c:pt idx="6">
                  <c:v>9.3749999999999997E-3</c:v>
                </c:pt>
              </c:numCache>
            </c:numRef>
          </c:xVal>
          <c:yVal>
            <c:numRef>
              <c:f>'NBT Depletion'!$AY$24:$AY$30</c:f>
              <c:numCache>
                <c:formatCode>0.0%</c:formatCode>
                <c:ptCount val="7"/>
                <c:pt idx="0">
                  <c:v>0.97091118438268698</c:v>
                </c:pt>
                <c:pt idx="1">
                  <c:v>0.92870675668603131</c:v>
                </c:pt>
                <c:pt idx="2">
                  <c:v>0.7698539802166745</c:v>
                </c:pt>
                <c:pt idx="3">
                  <c:v>0.50255927147118862</c:v>
                </c:pt>
                <c:pt idx="4">
                  <c:v>0.29622651384309417</c:v>
                </c:pt>
                <c:pt idx="5">
                  <c:v>0.15847595122206515</c:v>
                </c:pt>
                <c:pt idx="6">
                  <c:v>7.992882189773387E-2</c:v>
                </c:pt>
              </c:numCache>
            </c:numRef>
          </c:yVal>
          <c:smooth val="0"/>
          <c:extLst>
            <c:ext xmlns:c16="http://schemas.microsoft.com/office/drawing/2014/chart" uri="{C3380CC4-5D6E-409C-BE32-E72D297353CC}">
              <c16:uniqueId val="{00000002-854E-42C0-96F7-6AA30C08BF52}"/>
            </c:ext>
          </c:extLst>
        </c:ser>
        <c:ser>
          <c:idx val="3"/>
          <c:order val="3"/>
          <c:tx>
            <c:strRef>
              <c:f>'NBT Depletion'!$AJ$32</c:f>
              <c:strCache>
                <c:ptCount val="1"/>
                <c:pt idx="0">
                  <c:v>50 min</c:v>
                </c:pt>
              </c:strCache>
            </c:strRef>
          </c:tx>
          <c:spPr>
            <a:ln w="19050" cap="rnd">
              <a:solidFill>
                <a:schemeClr val="accent4"/>
              </a:solidFill>
              <a:round/>
            </a:ln>
            <a:effectLst/>
          </c:spPr>
          <c:marker>
            <c:symbol val="circle"/>
            <c:size val="5"/>
            <c:spPr>
              <a:solidFill>
                <a:schemeClr val="accent4"/>
              </a:solidFill>
              <a:ln w="9525">
                <a:solidFill>
                  <a:schemeClr val="accent4"/>
                </a:solidFill>
              </a:ln>
              <a:effectLst/>
            </c:spPr>
          </c:marker>
          <c:errBars>
            <c:errDir val="y"/>
            <c:errBarType val="both"/>
            <c:errValType val="cust"/>
            <c:noEndCap val="0"/>
            <c:plus>
              <c:numRef>
                <c:f>'NBT Depletion'!$AZ$34:$AZ$40</c:f>
                <c:numCache>
                  <c:formatCode>General</c:formatCode>
                  <c:ptCount val="7"/>
                  <c:pt idx="0">
                    <c:v>7.1300266373364399E-3</c:v>
                  </c:pt>
                  <c:pt idx="1">
                    <c:v>2.0371504678104134E-2</c:v>
                  </c:pt>
                  <c:pt idx="2">
                    <c:v>2.4720130535590874E-2</c:v>
                  </c:pt>
                  <c:pt idx="3">
                    <c:v>2.8245956258890551E-2</c:v>
                  </c:pt>
                  <c:pt idx="4">
                    <c:v>2.6108131840121309E-2</c:v>
                  </c:pt>
                  <c:pt idx="5">
                    <c:v>1.676786457575585E-2</c:v>
                  </c:pt>
                  <c:pt idx="6">
                    <c:v>1.00318026391636E-2</c:v>
                  </c:pt>
                </c:numCache>
              </c:numRef>
            </c:plus>
            <c:minus>
              <c:numRef>
                <c:f>'NBT Depletion'!$AZ$34:$AZ$40</c:f>
                <c:numCache>
                  <c:formatCode>General</c:formatCode>
                  <c:ptCount val="7"/>
                  <c:pt idx="0">
                    <c:v>7.1300266373364399E-3</c:v>
                  </c:pt>
                  <c:pt idx="1">
                    <c:v>2.0371504678104134E-2</c:v>
                  </c:pt>
                  <c:pt idx="2">
                    <c:v>2.4720130535590874E-2</c:v>
                  </c:pt>
                  <c:pt idx="3">
                    <c:v>2.8245956258890551E-2</c:v>
                  </c:pt>
                  <c:pt idx="4">
                    <c:v>2.6108131840121309E-2</c:v>
                  </c:pt>
                  <c:pt idx="5">
                    <c:v>1.676786457575585E-2</c:v>
                  </c:pt>
                  <c:pt idx="6">
                    <c:v>1.00318026391636E-2</c:v>
                  </c:pt>
                </c:numCache>
              </c:numRef>
            </c:minus>
            <c:spPr>
              <a:noFill/>
              <a:ln w="9525" cap="flat" cmpd="sng" algn="ctr">
                <a:solidFill>
                  <a:schemeClr val="tx1">
                    <a:lumMod val="65000"/>
                    <a:lumOff val="35000"/>
                  </a:schemeClr>
                </a:solidFill>
                <a:round/>
              </a:ln>
              <a:effectLst/>
            </c:spPr>
          </c:errBars>
          <c:xVal>
            <c:numRef>
              <c:f>'NBT Depletion'!$AX$34:$AX$40</c:f>
              <c:numCache>
                <c:formatCode>0.0000</c:formatCode>
                <c:ptCount val="7"/>
                <c:pt idx="0">
                  <c:v>0.6</c:v>
                </c:pt>
                <c:pt idx="1">
                  <c:v>0.3</c:v>
                </c:pt>
                <c:pt idx="2">
                  <c:v>0.15</c:v>
                </c:pt>
                <c:pt idx="3">
                  <c:v>7.4999999999999997E-2</c:v>
                </c:pt>
                <c:pt idx="4">
                  <c:v>3.7499999999999999E-2</c:v>
                </c:pt>
                <c:pt idx="5">
                  <c:v>1.8749999999999999E-2</c:v>
                </c:pt>
                <c:pt idx="6">
                  <c:v>9.3749999999999997E-3</c:v>
                </c:pt>
              </c:numCache>
            </c:numRef>
          </c:xVal>
          <c:yVal>
            <c:numRef>
              <c:f>'NBT Depletion'!$AY$34:$AY$40</c:f>
              <c:numCache>
                <c:formatCode>0.0%</c:formatCode>
                <c:ptCount val="7"/>
                <c:pt idx="0">
                  <c:v>0.97191943376808843</c:v>
                </c:pt>
                <c:pt idx="1">
                  <c:v>0.95956986537290234</c:v>
                </c:pt>
                <c:pt idx="2">
                  <c:v>0.86841828912271846</c:v>
                </c:pt>
                <c:pt idx="3">
                  <c:v>0.6126058009367189</c:v>
                </c:pt>
                <c:pt idx="4">
                  <c:v>0.37502362800075612</c:v>
                </c:pt>
                <c:pt idx="5">
                  <c:v>0.20448196921008963</c:v>
                </c:pt>
                <c:pt idx="6">
                  <c:v>0.10450927267763011</c:v>
                </c:pt>
              </c:numCache>
            </c:numRef>
          </c:yVal>
          <c:smooth val="0"/>
          <c:extLst>
            <c:ext xmlns:c16="http://schemas.microsoft.com/office/drawing/2014/chart" uri="{C3380CC4-5D6E-409C-BE32-E72D297353CC}">
              <c16:uniqueId val="{00000003-854E-42C0-96F7-6AA30C08BF52}"/>
            </c:ext>
          </c:extLst>
        </c:ser>
        <c:dLbls>
          <c:showLegendKey val="0"/>
          <c:showVal val="0"/>
          <c:showCatName val="0"/>
          <c:showSerName val="0"/>
          <c:showPercent val="0"/>
          <c:showBubbleSize val="0"/>
        </c:dLbls>
        <c:axId val="239139224"/>
        <c:axId val="239140400"/>
      </c:scatterChart>
      <c:valAx>
        <c:axId val="239139224"/>
        <c:scaling>
          <c:logBase val="10"/>
          <c:orientation val="minMax"/>
          <c:max val="0.70000000000000007"/>
          <c:min val="5.000000000000001E-3"/>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mM</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9140400"/>
        <c:crosses val="autoZero"/>
        <c:crossBetween val="midCat"/>
      </c:valAx>
      <c:valAx>
        <c:axId val="2391404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 Depletion</a:t>
                </a:r>
              </a:p>
            </c:rich>
          </c:tx>
          <c:layout>
            <c:manualLayout>
              <c:xMode val="edge"/>
              <c:yMode val="edge"/>
              <c:x val="3.0555555555555555E-2"/>
              <c:y val="0.431747594050743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9139224"/>
        <c:crossesAt val="1.0000000000000003E-4"/>
        <c:crossBetween val="midCat"/>
      </c:valAx>
      <c:spPr>
        <a:noFill/>
        <a:ln>
          <a:noFill/>
        </a:ln>
        <a:effectLst/>
      </c:spPr>
    </c:plotArea>
    <c:legend>
      <c:legendPos val="r"/>
      <c:layout>
        <c:manualLayout>
          <c:xMode val="edge"/>
          <c:yMode val="edge"/>
          <c:x val="0.84052839883818475"/>
          <c:y val="0.24252075906665219"/>
          <c:w val="0.11908261010442547"/>
          <c:h val="0.4355911667963319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121920</xdr:colOff>
      <xdr:row>4</xdr:row>
      <xdr:rowOff>76200</xdr:rowOff>
    </xdr:from>
    <xdr:to>
      <xdr:col>5</xdr:col>
      <xdr:colOff>45720</xdr:colOff>
      <xdr:row>13</xdr:row>
      <xdr:rowOff>114300</xdr:rowOff>
    </xdr:to>
    <xdr:sp macro="" textlink="">
      <xdr:nvSpPr>
        <xdr:cNvPr id="24" name="Rounded Rectangle 23">
          <a:extLst>
            <a:ext uri="{FF2B5EF4-FFF2-40B4-BE49-F238E27FC236}">
              <a16:creationId xmlns:a16="http://schemas.microsoft.com/office/drawing/2014/main" id="{00000000-0008-0000-0000-000018000000}"/>
            </a:ext>
          </a:extLst>
        </xdr:cNvPr>
        <xdr:cNvSpPr/>
      </xdr:nvSpPr>
      <xdr:spPr>
        <a:xfrm>
          <a:off x="121920" y="1729740"/>
          <a:ext cx="6126480" cy="1684020"/>
        </a:xfrm>
        <a:prstGeom prst="roundRect">
          <a:avLst>
            <a:gd name="adj" fmla="val 4116"/>
          </a:avLst>
        </a:prstGeom>
      </xdr:spPr>
      <xdr:style>
        <a:lnRef idx="0">
          <a:schemeClr val="accent5"/>
        </a:lnRef>
        <a:fillRef idx="3">
          <a:schemeClr val="accent5"/>
        </a:fillRef>
        <a:effectRef idx="3">
          <a:schemeClr val="accent5"/>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161255</xdr:colOff>
      <xdr:row>4</xdr:row>
      <xdr:rowOff>142742</xdr:rowOff>
    </xdr:from>
    <xdr:to>
      <xdr:col>5</xdr:col>
      <xdr:colOff>1467</xdr:colOff>
      <xdr:row>13</xdr:row>
      <xdr:rowOff>40646</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161255" y="1796282"/>
          <a:ext cx="6042892" cy="1543824"/>
        </a:xfrm>
        <a:prstGeom prst="rect">
          <a:avLst/>
        </a:prstGeom>
      </xdr:spPr>
    </xdr:pic>
    <xdr:clientData/>
  </xdr:twoCellAnchor>
  <xdr:twoCellAnchor editAs="oneCell">
    <xdr:from>
      <xdr:col>2</xdr:col>
      <xdr:colOff>281939</xdr:colOff>
      <xdr:row>196</xdr:row>
      <xdr:rowOff>22860</xdr:rowOff>
    </xdr:from>
    <xdr:to>
      <xdr:col>2</xdr:col>
      <xdr:colOff>3349640</xdr:colOff>
      <xdr:row>210</xdr:row>
      <xdr:rowOff>111760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662939" y="27927300"/>
          <a:ext cx="3067701" cy="2560320"/>
        </a:xfrm>
        <a:prstGeom prst="rect">
          <a:avLst/>
        </a:prstGeom>
      </xdr:spPr>
    </xdr:pic>
    <xdr:clientData/>
  </xdr:twoCellAnchor>
  <xdr:twoCellAnchor>
    <xdr:from>
      <xdr:col>2</xdr:col>
      <xdr:colOff>2468880</xdr:colOff>
      <xdr:row>202</xdr:row>
      <xdr:rowOff>114300</xdr:rowOff>
    </xdr:from>
    <xdr:to>
      <xdr:col>3</xdr:col>
      <xdr:colOff>160020</xdr:colOff>
      <xdr:row>204</xdr:row>
      <xdr:rowOff>60960</xdr:rowOff>
    </xdr:to>
    <xdr:sp macro="" textlink="">
      <xdr:nvSpPr>
        <xdr:cNvPr id="41" name="Left Arrow 40">
          <a:extLst>
            <a:ext uri="{FF2B5EF4-FFF2-40B4-BE49-F238E27FC236}">
              <a16:creationId xmlns:a16="http://schemas.microsoft.com/office/drawing/2014/main" id="{00000000-0008-0000-0000-000029000000}"/>
            </a:ext>
          </a:extLst>
        </xdr:cNvPr>
        <xdr:cNvSpPr/>
      </xdr:nvSpPr>
      <xdr:spPr>
        <a:xfrm>
          <a:off x="2849880" y="29116020"/>
          <a:ext cx="1394460" cy="312420"/>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oneCell">
    <xdr:from>
      <xdr:col>2</xdr:col>
      <xdr:colOff>0</xdr:colOff>
      <xdr:row>106</xdr:row>
      <xdr:rowOff>0</xdr:rowOff>
    </xdr:from>
    <xdr:to>
      <xdr:col>4</xdr:col>
      <xdr:colOff>1068818</xdr:colOff>
      <xdr:row>117</xdr:row>
      <xdr:rowOff>36754</xdr:rowOff>
    </xdr:to>
    <xdr:pic>
      <xdr:nvPicPr>
        <xdr:cNvPr id="42" name="Picture 41">
          <a:extLst>
            <a:ext uri="{FF2B5EF4-FFF2-40B4-BE49-F238E27FC236}">
              <a16:creationId xmlns:a16="http://schemas.microsoft.com/office/drawing/2014/main" id="{00000000-0008-0000-0000-00002A000000}"/>
            </a:ext>
          </a:extLst>
        </xdr:cNvPr>
        <xdr:cNvPicPr>
          <a:picLocks noChangeAspect="1"/>
        </xdr:cNvPicPr>
      </xdr:nvPicPr>
      <xdr:blipFill>
        <a:blip xmlns:r="http://schemas.openxmlformats.org/officeDocument/2006/relationships" r:embed="rId3"/>
        <a:stretch>
          <a:fillRect/>
        </a:stretch>
      </xdr:blipFill>
      <xdr:spPr>
        <a:xfrm>
          <a:off x="381000" y="20109180"/>
          <a:ext cx="5694158" cy="2048434"/>
        </a:xfrm>
        <a:prstGeom prst="rect">
          <a:avLst/>
        </a:prstGeom>
      </xdr:spPr>
    </xdr:pic>
    <xdr:clientData/>
  </xdr:twoCellAnchor>
  <xdr:twoCellAnchor editAs="oneCell">
    <xdr:from>
      <xdr:col>3</xdr:col>
      <xdr:colOff>99060</xdr:colOff>
      <xdr:row>195</xdr:row>
      <xdr:rowOff>129540</xdr:rowOff>
    </xdr:from>
    <xdr:to>
      <xdr:col>4</xdr:col>
      <xdr:colOff>701040</xdr:colOff>
      <xdr:row>213</xdr:row>
      <xdr:rowOff>34173</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4"/>
        <a:stretch>
          <a:fillRect/>
        </a:stretch>
      </xdr:blipFill>
      <xdr:spPr>
        <a:xfrm>
          <a:off x="4183380" y="27828240"/>
          <a:ext cx="1524000" cy="3083443"/>
        </a:xfrm>
        <a:prstGeom prst="rect">
          <a:avLst/>
        </a:prstGeom>
      </xdr:spPr>
    </xdr:pic>
    <xdr:clientData/>
  </xdr:twoCellAnchor>
  <xdr:twoCellAnchor editAs="oneCell">
    <xdr:from>
      <xdr:col>2</xdr:col>
      <xdr:colOff>1</xdr:colOff>
      <xdr:row>159</xdr:row>
      <xdr:rowOff>139700</xdr:rowOff>
    </xdr:from>
    <xdr:to>
      <xdr:col>4</xdr:col>
      <xdr:colOff>882651</xdr:colOff>
      <xdr:row>173</xdr:row>
      <xdr:rowOff>123561</xdr:rowOff>
    </xdr:to>
    <xdr:pic>
      <xdr:nvPicPr>
        <xdr:cNvPr id="128" name="Picture 127">
          <a:extLst>
            <a:ext uri="{FF2B5EF4-FFF2-40B4-BE49-F238E27FC236}">
              <a16:creationId xmlns:a16="http://schemas.microsoft.com/office/drawing/2014/main" id="{00000000-0008-0000-0000-000080000000}"/>
            </a:ext>
          </a:extLst>
        </xdr:cNvPr>
        <xdr:cNvPicPr>
          <a:picLocks noChangeAspect="1"/>
        </xdr:cNvPicPr>
      </xdr:nvPicPr>
      <xdr:blipFill>
        <a:blip xmlns:r="http://schemas.openxmlformats.org/officeDocument/2006/relationships" r:embed="rId5"/>
        <a:stretch>
          <a:fillRect/>
        </a:stretch>
      </xdr:blipFill>
      <xdr:spPr>
        <a:xfrm>
          <a:off x="381001" y="30753050"/>
          <a:ext cx="5505450" cy="2473061"/>
        </a:xfrm>
        <a:prstGeom prst="rect">
          <a:avLst/>
        </a:prstGeom>
      </xdr:spPr>
    </xdr:pic>
    <xdr:clientData/>
  </xdr:twoCellAnchor>
  <xdr:twoCellAnchor editAs="oneCell">
    <xdr:from>
      <xdr:col>2</xdr:col>
      <xdr:colOff>0</xdr:colOff>
      <xdr:row>142</xdr:row>
      <xdr:rowOff>107950</xdr:rowOff>
    </xdr:from>
    <xdr:to>
      <xdr:col>3</xdr:col>
      <xdr:colOff>784995</xdr:colOff>
      <xdr:row>152</xdr:row>
      <xdr:rowOff>61364</xdr:rowOff>
    </xdr:to>
    <xdr:pic>
      <xdr:nvPicPr>
        <xdr:cNvPr id="177" name="Picture 176">
          <a:extLst>
            <a:ext uri="{FF2B5EF4-FFF2-40B4-BE49-F238E27FC236}">
              <a16:creationId xmlns:a16="http://schemas.microsoft.com/office/drawing/2014/main" id="{00000000-0008-0000-0000-0000B1000000}"/>
            </a:ext>
          </a:extLst>
        </xdr:cNvPr>
        <xdr:cNvPicPr>
          <a:picLocks noChangeAspect="1"/>
        </xdr:cNvPicPr>
      </xdr:nvPicPr>
      <xdr:blipFill>
        <a:blip xmlns:r="http://schemas.openxmlformats.org/officeDocument/2006/relationships" r:embed="rId6"/>
        <a:stretch>
          <a:fillRect/>
        </a:stretch>
      </xdr:blipFill>
      <xdr:spPr>
        <a:xfrm>
          <a:off x="381000" y="27698700"/>
          <a:ext cx="4487045" cy="173141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61</xdr:col>
      <xdr:colOff>338667</xdr:colOff>
      <xdr:row>20</xdr:row>
      <xdr:rowOff>66525</xdr:rowOff>
    </xdr:from>
    <xdr:to>
      <xdr:col>73</xdr:col>
      <xdr:colOff>41487</xdr:colOff>
      <xdr:row>38</xdr:row>
      <xdr:rowOff>24403</xdr:rowOff>
    </xdr:to>
    <xdr:graphicFrame macro="">
      <xdr:nvGraphicFramePr>
        <xdr:cNvPr id="13" name="Chart 12">
          <a:extLst>
            <a:ext uri="{FF2B5EF4-FFF2-40B4-BE49-F238E27FC236}">
              <a16:creationId xmlns:a16="http://schemas.microsoft.com/office/drawing/2014/main" id="{00000000-0008-0000-06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61</xdr:col>
      <xdr:colOff>247953</xdr:colOff>
      <xdr:row>1</xdr:row>
      <xdr:rowOff>47171</xdr:rowOff>
    </xdr:from>
    <xdr:to>
      <xdr:col>71</xdr:col>
      <xdr:colOff>468087</xdr:colOff>
      <xdr:row>18</xdr:row>
      <xdr:rowOff>174172</xdr:rowOff>
    </xdr:to>
    <xdr:graphicFrame macro="">
      <xdr:nvGraphicFramePr>
        <xdr:cNvPr id="14" name="Chart 13">
          <a:extLst>
            <a:ext uri="{FF2B5EF4-FFF2-40B4-BE49-F238E27FC236}">
              <a16:creationId xmlns:a16="http://schemas.microsoft.com/office/drawing/2014/main" id="{00000000-0008-0000-06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75"/>
  <sheetViews>
    <sheetView view="pageLayout" topLeftCell="A31" zoomScale="120" zoomScaleNormal="100" zoomScalePageLayoutView="120" workbookViewId="0">
      <selection activeCell="C37" sqref="C37:E38"/>
    </sheetView>
  </sheetViews>
  <sheetFormatPr defaultRowHeight="14.5" x14ac:dyDescent="0.35"/>
  <cols>
    <col min="1" max="1" width="2.81640625" style="6" customWidth="1"/>
    <col min="2" max="2" width="2.54296875" style="16" customWidth="1"/>
    <col min="3" max="3" width="51.6328125" customWidth="1"/>
    <col min="4" max="4" width="12.90625" customWidth="1"/>
    <col min="5" max="5" width="16.6328125" customWidth="1"/>
    <col min="6" max="6" width="3.1796875" customWidth="1"/>
  </cols>
  <sheetData>
    <row r="1" spans="1:5" ht="23.5" x14ac:dyDescent="0.55000000000000004">
      <c r="A1" s="10" t="s">
        <v>152</v>
      </c>
      <c r="B1" s="10"/>
    </row>
    <row r="2" spans="1:5" s="225" customFormat="1" ht="31.75" customHeight="1" x14ac:dyDescent="0.35">
      <c r="A2" s="234">
        <v>1</v>
      </c>
      <c r="B2" s="321" t="s">
        <v>105</v>
      </c>
      <c r="C2" s="554" t="s">
        <v>120</v>
      </c>
      <c r="D2" s="555"/>
      <c r="E2" s="555"/>
    </row>
    <row r="3" spans="1:5" s="225" customFormat="1" x14ac:dyDescent="0.35">
      <c r="A3" s="5"/>
      <c r="B3" s="322" t="s">
        <v>106</v>
      </c>
      <c r="C3" s="556" t="s">
        <v>104</v>
      </c>
      <c r="D3" s="557"/>
      <c r="E3" s="557"/>
    </row>
    <row r="4" spans="1:5" s="225" customFormat="1" x14ac:dyDescent="0.35">
      <c r="A4" s="5"/>
      <c r="B4" s="5"/>
      <c r="C4" s="225" t="s">
        <v>78</v>
      </c>
    </row>
    <row r="5" spans="1:5" s="225" customFormat="1" x14ac:dyDescent="0.35">
      <c r="A5" s="5"/>
      <c r="B5" s="5"/>
    </row>
    <row r="6" spans="1:5" s="225" customFormat="1" x14ac:dyDescent="0.35">
      <c r="A6" s="5"/>
      <c r="B6" s="5"/>
    </row>
    <row r="7" spans="1:5" s="225" customFormat="1" x14ac:dyDescent="0.35">
      <c r="A7" s="5"/>
      <c r="B7" s="5"/>
    </row>
    <row r="8" spans="1:5" s="225" customFormat="1" x14ac:dyDescent="0.35">
      <c r="A8" s="5"/>
      <c r="B8" s="5"/>
    </row>
    <row r="9" spans="1:5" s="225" customFormat="1" x14ac:dyDescent="0.35">
      <c r="A9" s="5"/>
      <c r="B9" s="5"/>
    </row>
    <row r="10" spans="1:5" s="225" customFormat="1" x14ac:dyDescent="0.35">
      <c r="A10" s="5"/>
      <c r="B10" s="5"/>
    </row>
    <row r="11" spans="1:5" s="225" customFormat="1" x14ac:dyDescent="0.35">
      <c r="A11" s="5"/>
      <c r="B11" s="5"/>
    </row>
    <row r="12" spans="1:5" s="225" customFormat="1" x14ac:dyDescent="0.35">
      <c r="A12" s="5"/>
      <c r="B12" s="5"/>
    </row>
    <row r="13" spans="1:5" s="225" customFormat="1" x14ac:dyDescent="0.35">
      <c r="A13" s="5"/>
      <c r="B13" s="5"/>
    </row>
    <row r="14" spans="1:5" s="225" customFormat="1" x14ac:dyDescent="0.35">
      <c r="A14" s="5"/>
      <c r="B14" s="5"/>
    </row>
    <row r="15" spans="1:5" s="225" customFormat="1" x14ac:dyDescent="0.35">
      <c r="A15" s="5"/>
      <c r="B15" s="5"/>
    </row>
    <row r="16" spans="1:5" ht="23.5" x14ac:dyDescent="0.55000000000000004">
      <c r="A16" s="10" t="s">
        <v>151</v>
      </c>
      <c r="B16" s="10"/>
    </row>
    <row r="17" spans="1:6" x14ac:dyDescent="0.35">
      <c r="A17" s="7"/>
    </row>
    <row r="18" spans="1:6" x14ac:dyDescent="0.35">
      <c r="A18" s="563">
        <v>1</v>
      </c>
      <c r="B18" s="565" t="s">
        <v>105</v>
      </c>
      <c r="C18" s="555" t="s">
        <v>207</v>
      </c>
      <c r="D18" s="555"/>
      <c r="E18" s="555"/>
      <c r="F18" s="551"/>
    </row>
    <row r="19" spans="1:6" x14ac:dyDescent="0.35">
      <c r="A19" s="563"/>
      <c r="B19" s="565"/>
      <c r="C19" s="555"/>
      <c r="D19" s="555"/>
      <c r="E19" s="555"/>
      <c r="F19" s="551"/>
    </row>
    <row r="20" spans="1:6" x14ac:dyDescent="0.35">
      <c r="A20" s="564"/>
      <c r="B20" s="566"/>
      <c r="C20" s="558"/>
      <c r="D20" s="558"/>
      <c r="E20" s="558"/>
      <c r="F20" s="551"/>
    </row>
    <row r="21" spans="1:6" x14ac:dyDescent="0.35">
      <c r="A21" s="7"/>
      <c r="B21" s="323" t="s">
        <v>106</v>
      </c>
      <c r="C21" s="558" t="s">
        <v>45</v>
      </c>
      <c r="D21" s="558"/>
      <c r="E21" s="558"/>
    </row>
    <row r="22" spans="1:6" x14ac:dyDescent="0.35">
      <c r="A22" s="563"/>
      <c r="B22" s="567" t="s">
        <v>107</v>
      </c>
      <c r="C22" s="558" t="s">
        <v>118</v>
      </c>
      <c r="D22" s="558"/>
      <c r="E22" s="558"/>
      <c r="F22" s="551"/>
    </row>
    <row r="23" spans="1:6" x14ac:dyDescent="0.35">
      <c r="A23" s="564"/>
      <c r="B23" s="566"/>
      <c r="C23" s="558"/>
      <c r="D23" s="558"/>
      <c r="E23" s="558"/>
      <c r="F23" s="551"/>
    </row>
    <row r="24" spans="1:6" x14ac:dyDescent="0.35">
      <c r="A24" s="7"/>
    </row>
    <row r="25" spans="1:6" ht="23.5" x14ac:dyDescent="0.55000000000000004">
      <c r="A25" s="8" t="s">
        <v>150</v>
      </c>
      <c r="B25" s="8"/>
    </row>
    <row r="26" spans="1:6" x14ac:dyDescent="0.35">
      <c r="A26" s="16"/>
    </row>
    <row r="27" spans="1:6" x14ac:dyDescent="0.35">
      <c r="A27" s="16">
        <v>1</v>
      </c>
      <c r="C27" s="226" t="s">
        <v>87</v>
      </c>
      <c r="D27" s="143"/>
    </row>
    <row r="28" spans="1:6" x14ac:dyDescent="0.35">
      <c r="A28" s="563"/>
      <c r="B28" s="565" t="s">
        <v>105</v>
      </c>
      <c r="C28" s="555" t="s">
        <v>153</v>
      </c>
      <c r="D28" s="555"/>
      <c r="E28" s="555"/>
      <c r="F28" s="551"/>
    </row>
    <row r="29" spans="1:6" x14ac:dyDescent="0.35">
      <c r="A29" s="563"/>
      <c r="B29" s="565"/>
      <c r="C29" s="555"/>
      <c r="D29" s="555"/>
      <c r="E29" s="555"/>
      <c r="F29" s="551"/>
    </row>
    <row r="30" spans="1:6" x14ac:dyDescent="0.35">
      <c r="A30" s="564"/>
      <c r="B30" s="566"/>
      <c r="C30" s="558"/>
      <c r="D30" s="558"/>
      <c r="E30" s="558"/>
      <c r="F30" s="551"/>
    </row>
    <row r="31" spans="1:6" x14ac:dyDescent="0.35">
      <c r="A31" s="16"/>
      <c r="B31" s="567" t="s">
        <v>106</v>
      </c>
      <c r="C31" s="558" t="s">
        <v>234</v>
      </c>
      <c r="D31" s="558"/>
      <c r="E31" s="558"/>
    </row>
    <row r="32" spans="1:6" x14ac:dyDescent="0.35">
      <c r="A32" s="268"/>
      <c r="B32" s="566"/>
      <c r="C32" s="558"/>
      <c r="D32" s="558"/>
      <c r="E32" s="558"/>
    </row>
    <row r="33" spans="1:5" x14ac:dyDescent="0.35">
      <c r="A33" s="563"/>
      <c r="B33" s="569" t="s">
        <v>107</v>
      </c>
      <c r="C33" s="558" t="s">
        <v>208</v>
      </c>
      <c r="D33" s="558"/>
      <c r="E33" s="558"/>
    </row>
    <row r="34" spans="1:5" x14ac:dyDescent="0.35">
      <c r="A34" s="564"/>
      <c r="B34" s="570"/>
      <c r="C34" s="568"/>
      <c r="D34" s="568"/>
      <c r="E34" s="568"/>
    </row>
    <row r="35" spans="1:5" x14ac:dyDescent="0.35">
      <c r="A35" s="16"/>
      <c r="B35" s="570"/>
      <c r="C35" s="559" t="s">
        <v>121</v>
      </c>
      <c r="D35" s="559"/>
      <c r="E35" s="559"/>
    </row>
    <row r="36" spans="1:5" x14ac:dyDescent="0.35">
      <c r="A36" s="16"/>
      <c r="B36" s="571"/>
      <c r="C36" s="560"/>
      <c r="D36" s="560"/>
      <c r="E36" s="560"/>
    </row>
    <row r="37" spans="1:5" x14ac:dyDescent="0.35">
      <c r="A37" s="16"/>
      <c r="B37" s="567" t="s">
        <v>108</v>
      </c>
      <c r="C37" s="558" t="s">
        <v>209</v>
      </c>
      <c r="D37" s="558"/>
      <c r="E37" s="558"/>
    </row>
    <row r="38" spans="1:5" x14ac:dyDescent="0.35">
      <c r="A38" s="16"/>
      <c r="B38" s="566"/>
      <c r="C38" s="558"/>
      <c r="D38" s="558"/>
      <c r="E38" s="558"/>
    </row>
    <row r="39" spans="1:5" x14ac:dyDescent="0.35">
      <c r="A39" s="16"/>
      <c r="B39" s="567" t="s">
        <v>109</v>
      </c>
      <c r="C39" s="558" t="s">
        <v>240</v>
      </c>
      <c r="D39" s="558"/>
      <c r="E39" s="558"/>
    </row>
    <row r="40" spans="1:5" x14ac:dyDescent="0.35">
      <c r="A40" s="16"/>
      <c r="B40" s="567"/>
      <c r="C40" s="558"/>
      <c r="D40" s="558"/>
      <c r="E40" s="558"/>
    </row>
    <row r="41" spans="1:5" x14ac:dyDescent="0.35">
      <c r="A41" s="16"/>
      <c r="B41" s="566"/>
      <c r="C41" s="558"/>
      <c r="D41" s="558"/>
      <c r="E41" s="558"/>
    </row>
    <row r="42" spans="1:5" x14ac:dyDescent="0.35">
      <c r="A42" s="16"/>
      <c r="B42" s="567" t="s">
        <v>110</v>
      </c>
      <c r="C42" s="558" t="s">
        <v>210</v>
      </c>
      <c r="D42" s="558"/>
      <c r="E42" s="558"/>
    </row>
    <row r="43" spans="1:5" x14ac:dyDescent="0.35">
      <c r="A43" s="16"/>
      <c r="B43" s="566"/>
      <c r="C43" s="558"/>
      <c r="D43" s="558"/>
      <c r="E43" s="558"/>
    </row>
    <row r="44" spans="1:5" x14ac:dyDescent="0.35">
      <c r="A44" s="16">
        <v>2</v>
      </c>
      <c r="C44" s="2" t="s">
        <v>96</v>
      </c>
    </row>
    <row r="45" spans="1:5" x14ac:dyDescent="0.35">
      <c r="A45" s="16"/>
      <c r="B45" s="321" t="s">
        <v>105</v>
      </c>
      <c r="C45" s="555" t="s">
        <v>211</v>
      </c>
      <c r="D45" s="555"/>
      <c r="E45" s="555"/>
    </row>
    <row r="46" spans="1:5" x14ac:dyDescent="0.35">
      <c r="A46" s="16"/>
      <c r="B46" s="567" t="s">
        <v>106</v>
      </c>
      <c r="C46" s="558" t="s">
        <v>122</v>
      </c>
      <c r="D46" s="558"/>
      <c r="E46" s="558"/>
    </row>
    <row r="47" spans="1:5" x14ac:dyDescent="0.35">
      <c r="A47" s="16"/>
      <c r="B47" s="566"/>
      <c r="C47" s="558"/>
      <c r="D47" s="558"/>
      <c r="E47" s="558"/>
    </row>
    <row r="48" spans="1:5" x14ac:dyDescent="0.35">
      <c r="A48" s="16"/>
      <c r="C48" s="4" t="s">
        <v>99</v>
      </c>
      <c r="D48" t="s">
        <v>154</v>
      </c>
    </row>
    <row r="49" spans="1:5" x14ac:dyDescent="0.35">
      <c r="A49" s="16"/>
      <c r="C49" s="4" t="s">
        <v>100</v>
      </c>
      <c r="D49" t="s">
        <v>155</v>
      </c>
    </row>
    <row r="50" spans="1:5" x14ac:dyDescent="0.35">
      <c r="A50" s="16"/>
      <c r="C50" s="4" t="s">
        <v>101</v>
      </c>
      <c r="D50" t="s">
        <v>97</v>
      </c>
    </row>
    <row r="51" spans="1:5" x14ac:dyDescent="0.35">
      <c r="A51" s="16"/>
      <c r="C51" s="4" t="s">
        <v>102</v>
      </c>
      <c r="D51" t="s">
        <v>98</v>
      </c>
    </row>
    <row r="52" spans="1:5" x14ac:dyDescent="0.35">
      <c r="A52" s="16"/>
      <c r="C52" s="4" t="s">
        <v>103</v>
      </c>
      <c r="D52" t="s">
        <v>97</v>
      </c>
    </row>
    <row r="53" spans="1:5" x14ac:dyDescent="0.35">
      <c r="A53" s="529"/>
      <c r="B53" s="529"/>
      <c r="C53" s="4"/>
    </row>
    <row r="54" spans="1:5" ht="23.5" x14ac:dyDescent="0.55000000000000004">
      <c r="A54" s="8" t="s">
        <v>226</v>
      </c>
      <c r="B54" s="529"/>
      <c r="C54" s="4"/>
    </row>
    <row r="55" spans="1:5" x14ac:dyDescent="0.35">
      <c r="A55" s="529"/>
      <c r="B55" s="529"/>
      <c r="C55" s="4"/>
    </row>
    <row r="56" spans="1:5" x14ac:dyDescent="0.35">
      <c r="A56" s="529">
        <v>1</v>
      </c>
      <c r="B56" s="529"/>
      <c r="C56" s="562" t="s">
        <v>227</v>
      </c>
      <c r="D56" s="562"/>
      <c r="E56" s="562"/>
    </row>
    <row r="57" spans="1:5" x14ac:dyDescent="0.35">
      <c r="A57" s="529"/>
      <c r="B57" s="529"/>
      <c r="C57" s="562"/>
      <c r="D57" s="562"/>
      <c r="E57" s="562"/>
    </row>
    <row r="58" spans="1:5" x14ac:dyDescent="0.35">
      <c r="A58" s="529">
        <v>2</v>
      </c>
      <c r="B58" s="529"/>
      <c r="C58" s="572" t="s">
        <v>228</v>
      </c>
      <c r="D58" s="572"/>
      <c r="E58" s="572"/>
    </row>
    <row r="59" spans="1:5" x14ac:dyDescent="0.35">
      <c r="A59" s="529"/>
      <c r="B59" s="529"/>
      <c r="C59" s="4" t="s">
        <v>229</v>
      </c>
    </row>
    <row r="60" spans="1:5" x14ac:dyDescent="0.35">
      <c r="A60" s="529"/>
      <c r="B60" s="529"/>
      <c r="C60" s="4" t="s">
        <v>230</v>
      </c>
    </row>
    <row r="61" spans="1:5" x14ac:dyDescent="0.35">
      <c r="A61" s="16"/>
    </row>
    <row r="62" spans="1:5" ht="23.5" x14ac:dyDescent="0.55000000000000004">
      <c r="A62" s="10" t="s">
        <v>149</v>
      </c>
      <c r="B62" s="10"/>
    </row>
    <row r="63" spans="1:5" x14ac:dyDescent="0.35">
      <c r="A63" s="16"/>
    </row>
    <row r="64" spans="1:5" x14ac:dyDescent="0.35">
      <c r="A64" s="234">
        <v>1</v>
      </c>
      <c r="B64" s="565" t="s">
        <v>105</v>
      </c>
      <c r="C64" s="543" t="s">
        <v>94</v>
      </c>
      <c r="D64" s="543"/>
      <c r="E64" s="543"/>
    </row>
    <row r="65" spans="1:5" x14ac:dyDescent="0.35">
      <c r="A65" s="234"/>
      <c r="B65" s="566"/>
      <c r="C65" s="557"/>
      <c r="D65" s="557"/>
      <c r="E65" s="557"/>
    </row>
    <row r="66" spans="1:5" x14ac:dyDescent="0.35">
      <c r="A66" s="234"/>
      <c r="B66" s="567" t="s">
        <v>106</v>
      </c>
      <c r="C66" s="558" t="s">
        <v>191</v>
      </c>
      <c r="D66" s="558"/>
      <c r="E66" s="558"/>
    </row>
    <row r="67" spans="1:5" x14ac:dyDescent="0.35">
      <c r="A67" s="234"/>
      <c r="B67" s="566"/>
      <c r="C67" s="558"/>
      <c r="D67" s="558"/>
      <c r="E67" s="558"/>
    </row>
    <row r="68" spans="1:5" x14ac:dyDescent="0.35">
      <c r="A68" s="234"/>
      <c r="B68" s="566"/>
      <c r="C68" s="558"/>
      <c r="D68" s="558"/>
      <c r="E68" s="558"/>
    </row>
    <row r="69" spans="1:5" x14ac:dyDescent="0.35">
      <c r="A69" s="234"/>
      <c r="B69" s="566"/>
      <c r="C69" s="558"/>
      <c r="D69" s="558"/>
      <c r="E69" s="558"/>
    </row>
    <row r="70" spans="1:5" x14ac:dyDescent="0.35">
      <c r="A70" s="234"/>
      <c r="B70" s="567" t="s">
        <v>107</v>
      </c>
      <c r="C70" s="558" t="s">
        <v>119</v>
      </c>
      <c r="D70" s="558"/>
      <c r="E70" s="558"/>
    </row>
    <row r="71" spans="1:5" x14ac:dyDescent="0.35">
      <c r="A71" s="234"/>
      <c r="B71" s="566"/>
      <c r="C71" s="558"/>
      <c r="D71" s="558"/>
      <c r="E71" s="558"/>
    </row>
    <row r="72" spans="1:5" x14ac:dyDescent="0.35">
      <c r="A72" s="234"/>
      <c r="B72" s="566"/>
      <c r="C72" s="558"/>
      <c r="D72" s="558"/>
      <c r="E72" s="558"/>
    </row>
    <row r="73" spans="1:5" x14ac:dyDescent="0.35">
      <c r="A73" s="234"/>
      <c r="B73" s="566"/>
      <c r="C73" s="558"/>
      <c r="D73" s="558"/>
      <c r="E73" s="558"/>
    </row>
    <row r="74" spans="1:5" x14ac:dyDescent="0.35">
      <c r="A74" s="234"/>
      <c r="B74" s="566"/>
      <c r="C74" s="558"/>
      <c r="D74" s="558"/>
      <c r="E74" s="558"/>
    </row>
    <row r="75" spans="1:5" x14ac:dyDescent="0.35">
      <c r="A75" s="234"/>
      <c r="B75" s="267"/>
      <c r="C75" s="266"/>
      <c r="D75" s="266"/>
      <c r="E75" s="266"/>
    </row>
    <row r="76" spans="1:5" x14ac:dyDescent="0.35">
      <c r="A76" s="16"/>
      <c r="C76" s="545" t="s">
        <v>88</v>
      </c>
      <c r="D76" s="547" t="s">
        <v>192</v>
      </c>
      <c r="E76" s="548"/>
    </row>
    <row r="77" spans="1:5" x14ac:dyDescent="0.35">
      <c r="A77" s="16"/>
      <c r="C77" s="546"/>
      <c r="D77" s="547"/>
      <c r="E77" s="548"/>
    </row>
    <row r="78" spans="1:5" x14ac:dyDescent="0.35">
      <c r="A78" s="16"/>
      <c r="C78" s="545" t="s">
        <v>89</v>
      </c>
      <c r="D78" s="547" t="s">
        <v>193</v>
      </c>
      <c r="E78" s="548"/>
    </row>
    <row r="79" spans="1:5" x14ac:dyDescent="0.35">
      <c r="A79" s="16"/>
      <c r="C79" s="546"/>
      <c r="D79" s="547"/>
      <c r="E79" s="548"/>
    </row>
    <row r="80" spans="1:5" x14ac:dyDescent="0.35">
      <c r="A80" s="16"/>
      <c r="C80" s="552" t="s">
        <v>90</v>
      </c>
      <c r="D80" s="550" t="s">
        <v>194</v>
      </c>
      <c r="E80" s="548"/>
    </row>
    <row r="81" spans="1:5" x14ac:dyDescent="0.35">
      <c r="A81" s="16"/>
      <c r="C81" s="552"/>
      <c r="D81" s="548"/>
      <c r="E81" s="548"/>
    </row>
    <row r="82" spans="1:5" x14ac:dyDescent="0.35">
      <c r="A82" s="16"/>
      <c r="C82" s="552"/>
      <c r="D82" s="548"/>
      <c r="E82" s="548"/>
    </row>
    <row r="83" spans="1:5" x14ac:dyDescent="0.35">
      <c r="A83" s="16"/>
      <c r="C83" s="552"/>
      <c r="D83" s="548"/>
      <c r="E83" s="548"/>
    </row>
    <row r="84" spans="1:5" x14ac:dyDescent="0.35">
      <c r="A84" s="16"/>
      <c r="C84" s="553"/>
      <c r="D84" s="551"/>
      <c r="E84" s="551"/>
    </row>
    <row r="85" spans="1:5" x14ac:dyDescent="0.35">
      <c r="A85" s="16"/>
    </row>
    <row r="86" spans="1:5" x14ac:dyDescent="0.35">
      <c r="A86" s="16"/>
    </row>
    <row r="87" spans="1:5" x14ac:dyDescent="0.35">
      <c r="A87" s="16"/>
    </row>
    <row r="88" spans="1:5" x14ac:dyDescent="0.35">
      <c r="A88" s="16"/>
    </row>
    <row r="89" spans="1:5" ht="23.5" x14ac:dyDescent="0.55000000000000004">
      <c r="A89" s="10" t="s">
        <v>160</v>
      </c>
      <c r="B89" s="10"/>
    </row>
    <row r="90" spans="1:5" x14ac:dyDescent="0.35">
      <c r="A90" s="16"/>
    </row>
    <row r="91" spans="1:5" x14ac:dyDescent="0.35">
      <c r="A91" s="16">
        <v>1</v>
      </c>
      <c r="C91" s="549" t="s">
        <v>91</v>
      </c>
      <c r="D91" s="549"/>
      <c r="E91" s="549"/>
    </row>
    <row r="92" spans="1:5" x14ac:dyDescent="0.35">
      <c r="A92" s="16"/>
    </row>
    <row r="93" spans="1:5" x14ac:dyDescent="0.35">
      <c r="A93" s="16">
        <v>2</v>
      </c>
      <c r="C93" s="9" t="s">
        <v>36</v>
      </c>
      <c r="D93" s="143"/>
    </row>
    <row r="94" spans="1:5" x14ac:dyDescent="0.35">
      <c r="A94" s="16"/>
    </row>
    <row r="95" spans="1:5" x14ac:dyDescent="0.35">
      <c r="A95" s="16"/>
      <c r="C95" s="549" t="s">
        <v>46</v>
      </c>
      <c r="D95" s="549"/>
      <c r="E95" s="549"/>
    </row>
    <row r="96" spans="1:5" x14ac:dyDescent="0.35">
      <c r="A96" s="16"/>
    </row>
    <row r="97" spans="1:5" x14ac:dyDescent="0.35">
      <c r="A97" s="16">
        <v>3</v>
      </c>
      <c r="C97" s="9" t="s">
        <v>18</v>
      </c>
      <c r="D97" s="143"/>
    </row>
    <row r="98" spans="1:5" x14ac:dyDescent="0.35">
      <c r="A98" s="16"/>
      <c r="B98" s="321" t="s">
        <v>105</v>
      </c>
      <c r="C98" s="543" t="s">
        <v>47</v>
      </c>
      <c r="D98" s="543"/>
      <c r="E98" s="543"/>
    </row>
    <row r="99" spans="1:5" x14ac:dyDescent="0.35">
      <c r="A99" s="16"/>
      <c r="B99" s="569" t="s">
        <v>106</v>
      </c>
      <c r="C99" s="544" t="s">
        <v>161</v>
      </c>
      <c r="D99" s="544"/>
      <c r="E99" s="544"/>
    </row>
    <row r="100" spans="1:5" x14ac:dyDescent="0.35">
      <c r="A100" s="377"/>
      <c r="B100" s="571"/>
      <c r="C100" s="543"/>
      <c r="D100" s="543"/>
      <c r="E100" s="543"/>
    </row>
    <row r="101" spans="1:5" x14ac:dyDescent="0.35">
      <c r="A101" s="16"/>
      <c r="B101" s="569" t="s">
        <v>107</v>
      </c>
      <c r="C101" s="544" t="s">
        <v>162</v>
      </c>
      <c r="D101" s="544"/>
      <c r="E101" s="544"/>
    </row>
    <row r="102" spans="1:5" x14ac:dyDescent="0.35">
      <c r="A102" s="16"/>
      <c r="B102" s="571"/>
      <c r="C102" s="543"/>
      <c r="D102" s="543"/>
      <c r="E102" s="543"/>
    </row>
    <row r="103" spans="1:5" x14ac:dyDescent="0.35">
      <c r="A103" s="16"/>
      <c r="B103" s="323" t="s">
        <v>108</v>
      </c>
      <c r="C103" s="576" t="s">
        <v>50</v>
      </c>
      <c r="D103" s="576"/>
      <c r="E103" s="576"/>
    </row>
    <row r="104" spans="1:5" x14ac:dyDescent="0.35">
      <c r="A104" s="16"/>
    </row>
    <row r="105" spans="1:5" x14ac:dyDescent="0.35">
      <c r="A105" s="16"/>
      <c r="C105" t="s">
        <v>39</v>
      </c>
    </row>
    <row r="106" spans="1:5" x14ac:dyDescent="0.35">
      <c r="A106" s="16"/>
    </row>
    <row r="107" spans="1:5" x14ac:dyDescent="0.35">
      <c r="A107" s="16"/>
    </row>
    <row r="108" spans="1:5" x14ac:dyDescent="0.35">
      <c r="A108" s="16"/>
    </row>
    <row r="109" spans="1:5" x14ac:dyDescent="0.35">
      <c r="A109" s="16"/>
    </row>
    <row r="110" spans="1:5" x14ac:dyDescent="0.35">
      <c r="A110" s="16"/>
    </row>
    <row r="111" spans="1:5" x14ac:dyDescent="0.35">
      <c r="A111" s="16"/>
    </row>
    <row r="112" spans="1:5" x14ac:dyDescent="0.35">
      <c r="A112" s="16"/>
    </row>
    <row r="113" spans="1:6" x14ac:dyDescent="0.35">
      <c r="A113" s="16"/>
    </row>
    <row r="114" spans="1:6" x14ac:dyDescent="0.35">
      <c r="A114" s="16"/>
    </row>
    <row r="115" spans="1:6" x14ac:dyDescent="0.35">
      <c r="A115" s="16"/>
    </row>
    <row r="116" spans="1:6" x14ac:dyDescent="0.35">
      <c r="A116" s="16"/>
    </row>
    <row r="117" spans="1:6" x14ac:dyDescent="0.35">
      <c r="A117" s="16"/>
    </row>
    <row r="118" spans="1:6" x14ac:dyDescent="0.35">
      <c r="A118" s="16"/>
    </row>
    <row r="119" spans="1:6" x14ac:dyDescent="0.35">
      <c r="A119" s="16">
        <v>4</v>
      </c>
      <c r="C119" s="9" t="s">
        <v>33</v>
      </c>
      <c r="D119" s="143"/>
      <c r="E119" s="143"/>
      <c r="F119" s="143"/>
    </row>
    <row r="120" spans="1:6" x14ac:dyDescent="0.35">
      <c r="A120" s="16"/>
      <c r="C120" s="573" t="s">
        <v>95</v>
      </c>
      <c r="D120" s="573"/>
      <c r="E120" s="573"/>
    </row>
    <row r="121" spans="1:6" x14ac:dyDescent="0.35">
      <c r="A121" s="377"/>
      <c r="B121" s="377"/>
      <c r="C121" s="549"/>
      <c r="D121" s="549"/>
      <c r="E121" s="549"/>
    </row>
    <row r="122" spans="1:6" x14ac:dyDescent="0.35">
      <c r="A122" s="16"/>
    </row>
    <row r="123" spans="1:6" x14ac:dyDescent="0.35">
      <c r="A123" s="16">
        <v>5</v>
      </c>
      <c r="C123" s="9" t="s">
        <v>34</v>
      </c>
      <c r="D123" s="3"/>
      <c r="E123" s="3"/>
    </row>
    <row r="124" spans="1:6" x14ac:dyDescent="0.35">
      <c r="A124" s="16"/>
      <c r="C124" s="544" t="s">
        <v>37</v>
      </c>
      <c r="D124" s="544"/>
      <c r="E124" s="544"/>
    </row>
    <row r="125" spans="1:6" x14ac:dyDescent="0.35">
      <c r="A125" s="16"/>
    </row>
    <row r="126" spans="1:6" x14ac:dyDescent="0.35">
      <c r="A126" s="16">
        <v>6</v>
      </c>
      <c r="C126" s="9" t="s">
        <v>38</v>
      </c>
      <c r="D126" s="143"/>
    </row>
    <row r="127" spans="1:6" x14ac:dyDescent="0.35">
      <c r="A127" s="16"/>
      <c r="B127" s="574" t="s">
        <v>105</v>
      </c>
      <c r="C127" s="575" t="s">
        <v>48</v>
      </c>
      <c r="D127" s="575"/>
      <c r="E127" s="575"/>
    </row>
    <row r="128" spans="1:6" x14ac:dyDescent="0.35">
      <c r="A128" s="16"/>
      <c r="B128" s="571"/>
      <c r="C128" s="555"/>
      <c r="D128" s="555"/>
      <c r="E128" s="555"/>
    </row>
    <row r="129" spans="1:5" x14ac:dyDescent="0.35">
      <c r="A129" s="16"/>
      <c r="B129" s="323" t="s">
        <v>106</v>
      </c>
      <c r="C129" s="558" t="s">
        <v>49</v>
      </c>
      <c r="D129" s="558"/>
      <c r="E129" s="558"/>
    </row>
    <row r="130" spans="1:5" x14ac:dyDescent="0.35">
      <c r="A130" s="16"/>
      <c r="C130" s="386"/>
    </row>
    <row r="131" spans="1:5" x14ac:dyDescent="0.35">
      <c r="A131" s="16"/>
      <c r="C131" s="387"/>
    </row>
    <row r="132" spans="1:5" x14ac:dyDescent="0.35">
      <c r="A132" s="16"/>
      <c r="C132" s="388"/>
    </row>
    <row r="133" spans="1:5" x14ac:dyDescent="0.35">
      <c r="A133" s="16"/>
      <c r="C133" s="387"/>
    </row>
    <row r="134" spans="1:5" x14ac:dyDescent="0.35">
      <c r="A134" s="16"/>
    </row>
    <row r="135" spans="1:5" ht="23.5" x14ac:dyDescent="0.55000000000000004">
      <c r="A135" s="10" t="s">
        <v>117</v>
      </c>
    </row>
    <row r="136" spans="1:5" ht="23.5" x14ac:dyDescent="0.55000000000000004">
      <c r="A136" s="10"/>
      <c r="C136" s="562" t="s">
        <v>182</v>
      </c>
      <c r="D136" s="562"/>
      <c r="E136" s="562"/>
    </row>
    <row r="137" spans="1:5" ht="23.5" x14ac:dyDescent="0.55000000000000004">
      <c r="A137" s="10"/>
      <c r="C137" s="562"/>
      <c r="D137" s="562"/>
      <c r="E137" s="562"/>
    </row>
    <row r="138" spans="1:5" ht="15.65" customHeight="1" x14ac:dyDescent="0.55000000000000004">
      <c r="A138" s="10"/>
      <c r="B138" s="376"/>
      <c r="C138" s="375"/>
      <c r="D138" s="375"/>
      <c r="E138" s="375"/>
    </row>
    <row r="139" spans="1:5" ht="24.65" customHeight="1" x14ac:dyDescent="0.55000000000000004">
      <c r="A139" s="10" t="s">
        <v>77</v>
      </c>
      <c r="B139" s="376"/>
      <c r="C139" s="375"/>
      <c r="D139" s="375"/>
      <c r="E139" s="375"/>
    </row>
    <row r="140" spans="1:5" ht="13.75" customHeight="1" x14ac:dyDescent="0.55000000000000004">
      <c r="A140" s="10"/>
      <c r="B140" s="376"/>
      <c r="C140" s="375"/>
      <c r="D140" s="375"/>
      <c r="E140" s="375"/>
    </row>
    <row r="141" spans="1:5" ht="13.75" customHeight="1" x14ac:dyDescent="0.55000000000000004">
      <c r="A141" s="10"/>
      <c r="B141" s="376"/>
      <c r="C141" s="562" t="s">
        <v>195</v>
      </c>
      <c r="D141" s="562"/>
      <c r="E141" s="562"/>
    </row>
    <row r="142" spans="1:5" ht="13.75" customHeight="1" x14ac:dyDescent="0.55000000000000004">
      <c r="A142" s="10"/>
      <c r="B142" s="376"/>
      <c r="C142" s="562"/>
      <c r="D142" s="562"/>
      <c r="E142" s="562"/>
    </row>
    <row r="143" spans="1:5" ht="13.75" customHeight="1" x14ac:dyDescent="0.55000000000000004">
      <c r="A143" s="10"/>
      <c r="B143" s="376"/>
      <c r="C143" s="375"/>
      <c r="D143" s="375"/>
      <c r="E143" s="375"/>
    </row>
    <row r="144" spans="1:5" ht="13.75" customHeight="1" x14ac:dyDescent="0.55000000000000004">
      <c r="A144" s="10"/>
      <c r="B144" s="376"/>
      <c r="C144" s="375"/>
      <c r="D144" s="375"/>
      <c r="E144" s="375"/>
    </row>
    <row r="145" spans="1:5" ht="13.75" customHeight="1" x14ac:dyDescent="0.55000000000000004">
      <c r="A145" s="10"/>
      <c r="B145" s="376"/>
      <c r="C145" s="375"/>
      <c r="D145" s="375"/>
      <c r="E145" s="375"/>
    </row>
    <row r="146" spans="1:5" ht="13.75" customHeight="1" x14ac:dyDescent="0.55000000000000004">
      <c r="A146" s="10"/>
      <c r="B146" s="376"/>
      <c r="C146" s="375"/>
      <c r="D146" s="375"/>
      <c r="E146" s="375"/>
    </row>
    <row r="147" spans="1:5" ht="13.75" customHeight="1" x14ac:dyDescent="0.55000000000000004">
      <c r="A147" s="10"/>
      <c r="B147" s="376"/>
      <c r="C147" s="375"/>
      <c r="D147" s="375"/>
      <c r="E147" s="375"/>
    </row>
    <row r="148" spans="1:5" ht="13.75" customHeight="1" x14ac:dyDescent="0.55000000000000004">
      <c r="A148" s="10"/>
      <c r="B148" s="376"/>
      <c r="C148" s="375"/>
      <c r="D148" s="375"/>
      <c r="E148" s="375"/>
    </row>
    <row r="149" spans="1:5" ht="13.75" customHeight="1" x14ac:dyDescent="0.55000000000000004">
      <c r="A149" s="10"/>
      <c r="B149" s="376"/>
      <c r="C149" s="375"/>
      <c r="D149" s="375"/>
      <c r="E149" s="375"/>
    </row>
    <row r="150" spans="1:5" ht="13.75" customHeight="1" x14ac:dyDescent="0.55000000000000004">
      <c r="A150" s="10"/>
      <c r="B150" s="376"/>
      <c r="C150" s="375"/>
      <c r="D150" s="375"/>
      <c r="E150" s="375"/>
    </row>
    <row r="151" spans="1:5" ht="13.75" customHeight="1" x14ac:dyDescent="0.55000000000000004">
      <c r="A151" s="10"/>
      <c r="B151" s="376"/>
      <c r="C151" s="375"/>
      <c r="D151" s="375"/>
      <c r="E151" s="375"/>
    </row>
    <row r="152" spans="1:5" ht="13.75" customHeight="1" x14ac:dyDescent="0.55000000000000004">
      <c r="A152" s="10"/>
      <c r="B152" s="376"/>
      <c r="C152" s="375"/>
      <c r="D152" s="375"/>
      <c r="E152" s="375"/>
    </row>
    <row r="153" spans="1:5" ht="13.75" customHeight="1" x14ac:dyDescent="0.55000000000000004">
      <c r="A153" s="10"/>
      <c r="B153" s="376"/>
      <c r="C153" s="375"/>
      <c r="D153" s="375"/>
      <c r="E153" s="375"/>
    </row>
    <row r="154" spans="1:5" ht="13.75" customHeight="1" x14ac:dyDescent="0.55000000000000004">
      <c r="A154" s="10"/>
      <c r="B154" s="376"/>
      <c r="C154" s="375" t="s">
        <v>140</v>
      </c>
      <c r="D154" s="375"/>
      <c r="E154" s="375"/>
    </row>
    <row r="155" spans="1:5" ht="13.75" customHeight="1" x14ac:dyDescent="0.55000000000000004">
      <c r="A155" s="10"/>
      <c r="B155" s="376"/>
      <c r="C155" s="375" t="s">
        <v>141</v>
      </c>
      <c r="D155" s="375"/>
      <c r="E155" s="375"/>
    </row>
    <row r="156" spans="1:5" ht="13.75" customHeight="1" x14ac:dyDescent="0.55000000000000004">
      <c r="A156" s="10"/>
      <c r="B156" s="376"/>
      <c r="C156" s="375" t="s">
        <v>142</v>
      </c>
      <c r="D156" s="375"/>
      <c r="E156" s="375"/>
    </row>
    <row r="157" spans="1:5" ht="13.75" customHeight="1" x14ac:dyDescent="0.55000000000000004">
      <c r="A157" s="10"/>
      <c r="B157" s="376"/>
      <c r="C157" s="375" t="s">
        <v>144</v>
      </c>
      <c r="D157" s="375"/>
      <c r="E157" s="375"/>
    </row>
    <row r="158" spans="1:5" ht="13.75" customHeight="1" x14ac:dyDescent="0.55000000000000004">
      <c r="A158" s="10"/>
      <c r="B158" s="376"/>
      <c r="C158" s="375" t="s">
        <v>143</v>
      </c>
      <c r="D158" s="375"/>
      <c r="E158" s="375"/>
    </row>
    <row r="159" spans="1:5" ht="13.75" customHeight="1" x14ac:dyDescent="0.55000000000000004">
      <c r="A159" s="10"/>
      <c r="B159" s="376"/>
      <c r="C159" s="375" t="s">
        <v>212</v>
      </c>
      <c r="D159" s="375"/>
      <c r="E159" s="375"/>
    </row>
    <row r="160" spans="1:5" ht="13.75" customHeight="1" x14ac:dyDescent="0.55000000000000004">
      <c r="A160" s="10"/>
      <c r="B160" s="376"/>
      <c r="C160" s="375"/>
      <c r="D160" s="375"/>
      <c r="E160" s="375"/>
    </row>
    <row r="161" spans="1:5" ht="13.75" customHeight="1" x14ac:dyDescent="0.55000000000000004">
      <c r="A161" s="10"/>
      <c r="B161" s="376"/>
      <c r="C161" s="375"/>
      <c r="D161" s="375"/>
      <c r="E161" s="375"/>
    </row>
    <row r="162" spans="1:5" ht="13.75" customHeight="1" x14ac:dyDescent="0.55000000000000004">
      <c r="A162" s="10"/>
      <c r="B162" s="376"/>
      <c r="C162" s="375"/>
      <c r="D162" s="375"/>
      <c r="E162" s="375"/>
    </row>
    <row r="163" spans="1:5" ht="13.75" customHeight="1" x14ac:dyDescent="0.55000000000000004">
      <c r="A163" s="10"/>
      <c r="B163" s="376"/>
      <c r="C163" s="375"/>
      <c r="D163" s="375"/>
      <c r="E163" s="375"/>
    </row>
    <row r="164" spans="1:5" ht="13.75" customHeight="1" x14ac:dyDescent="0.55000000000000004">
      <c r="A164" s="10"/>
      <c r="B164" s="376"/>
      <c r="C164" s="375"/>
      <c r="D164" s="375"/>
      <c r="E164" s="375"/>
    </row>
    <row r="165" spans="1:5" ht="13.75" customHeight="1" x14ac:dyDescent="0.55000000000000004">
      <c r="A165" s="10"/>
      <c r="B165" s="376"/>
      <c r="C165" s="375"/>
      <c r="D165" s="375"/>
      <c r="E165" s="375"/>
    </row>
    <row r="166" spans="1:5" ht="13.75" customHeight="1" x14ac:dyDescent="0.55000000000000004">
      <c r="A166" s="10"/>
      <c r="B166" s="376"/>
      <c r="C166" s="375"/>
      <c r="D166" s="375"/>
      <c r="E166" s="375"/>
    </row>
    <row r="167" spans="1:5" ht="13.75" customHeight="1" x14ac:dyDescent="0.55000000000000004">
      <c r="A167" s="10"/>
      <c r="B167" s="376"/>
      <c r="C167" s="375"/>
      <c r="D167" s="375"/>
      <c r="E167" s="375"/>
    </row>
    <row r="168" spans="1:5" ht="13.75" customHeight="1" x14ac:dyDescent="0.55000000000000004">
      <c r="A168" s="10"/>
      <c r="B168" s="376"/>
      <c r="C168" s="375"/>
      <c r="D168" s="375"/>
      <c r="E168" s="375"/>
    </row>
    <row r="169" spans="1:5" ht="13.75" customHeight="1" x14ac:dyDescent="0.55000000000000004">
      <c r="A169" s="10"/>
      <c r="B169" s="376"/>
      <c r="C169" s="375"/>
      <c r="D169" s="375"/>
      <c r="E169" s="375"/>
    </row>
    <row r="170" spans="1:5" ht="13.75" customHeight="1" x14ac:dyDescent="0.55000000000000004">
      <c r="A170" s="10"/>
      <c r="B170" s="376"/>
      <c r="C170" s="375"/>
      <c r="D170" s="375"/>
      <c r="E170" s="375"/>
    </row>
    <row r="171" spans="1:5" ht="13.75" customHeight="1" x14ac:dyDescent="0.55000000000000004">
      <c r="A171" s="10"/>
      <c r="B171" s="376"/>
      <c r="C171" s="375"/>
      <c r="D171" s="375"/>
      <c r="E171" s="375"/>
    </row>
    <row r="172" spans="1:5" ht="13.75" customHeight="1" x14ac:dyDescent="0.55000000000000004">
      <c r="A172" s="10"/>
      <c r="B172" s="376"/>
      <c r="C172" s="375"/>
      <c r="D172" s="375"/>
      <c r="E172" s="375"/>
    </row>
    <row r="173" spans="1:5" ht="13.75" customHeight="1" x14ac:dyDescent="0.55000000000000004">
      <c r="A173" s="10"/>
      <c r="B173" s="376"/>
      <c r="C173" s="375"/>
      <c r="D173" s="375"/>
      <c r="E173" s="375"/>
    </row>
    <row r="174" spans="1:5" ht="13.75" customHeight="1" x14ac:dyDescent="0.55000000000000004">
      <c r="A174" s="10"/>
      <c r="B174" s="376"/>
      <c r="C174" s="375"/>
      <c r="D174" s="375"/>
      <c r="E174" s="375"/>
    </row>
    <row r="175" spans="1:5" ht="13.75" customHeight="1" x14ac:dyDescent="0.55000000000000004">
      <c r="A175" s="10"/>
      <c r="B175" s="376"/>
      <c r="C175" s="375"/>
      <c r="D175" s="375"/>
      <c r="E175" s="375"/>
    </row>
    <row r="176" spans="1:5" ht="13.75" customHeight="1" x14ac:dyDescent="0.55000000000000004">
      <c r="A176" s="10"/>
      <c r="B176" s="376"/>
      <c r="C176" s="562" t="s">
        <v>213</v>
      </c>
      <c r="D176" s="562"/>
      <c r="E176" s="562"/>
    </row>
    <row r="177" spans="1:5" ht="13.75" customHeight="1" x14ac:dyDescent="0.55000000000000004">
      <c r="A177" s="10"/>
      <c r="B177" s="376"/>
      <c r="C177" s="562"/>
      <c r="D177" s="562"/>
      <c r="E177" s="562"/>
    </row>
    <row r="178" spans="1:5" ht="13.75" customHeight="1" x14ac:dyDescent="0.55000000000000004">
      <c r="A178" s="10"/>
      <c r="B178" s="376"/>
      <c r="C178" s="562"/>
      <c r="D178" s="562"/>
      <c r="E178" s="562"/>
    </row>
    <row r="179" spans="1:5" ht="13.75" customHeight="1" x14ac:dyDescent="0.55000000000000004">
      <c r="A179" s="10"/>
      <c r="B179" s="377"/>
      <c r="C179" s="378"/>
      <c r="D179" s="378"/>
      <c r="E179" s="378"/>
    </row>
    <row r="180" spans="1:5" ht="13.75" customHeight="1" x14ac:dyDescent="0.55000000000000004">
      <c r="A180" s="10"/>
      <c r="B180" s="377"/>
      <c r="C180" s="378"/>
      <c r="D180" s="378"/>
      <c r="E180" s="378"/>
    </row>
    <row r="181" spans="1:5" ht="13.75" customHeight="1" x14ac:dyDescent="0.35">
      <c r="A181" s="402" t="s">
        <v>147</v>
      </c>
      <c r="B181" s="377"/>
      <c r="D181" s="378"/>
      <c r="E181" s="378"/>
    </row>
    <row r="182" spans="1:5" ht="13.75" customHeight="1" x14ac:dyDescent="0.55000000000000004">
      <c r="A182" s="10"/>
      <c r="B182" s="377"/>
      <c r="C182" s="378"/>
      <c r="D182" s="378"/>
      <c r="E182" s="378"/>
    </row>
    <row r="183" spans="1:5" ht="13.75" customHeight="1" x14ac:dyDescent="0.55000000000000004">
      <c r="A183" s="10"/>
      <c r="B183" s="377"/>
      <c r="C183" s="401" t="s">
        <v>148</v>
      </c>
      <c r="D183" s="378"/>
      <c r="E183" s="378"/>
    </row>
    <row r="184" spans="1:5" ht="13.75" customHeight="1" x14ac:dyDescent="0.55000000000000004">
      <c r="A184" s="10"/>
      <c r="B184" s="377"/>
      <c r="C184" s="562" t="s">
        <v>146</v>
      </c>
      <c r="D184" s="562"/>
      <c r="E184" s="562"/>
    </row>
    <row r="185" spans="1:5" ht="13.75" customHeight="1" x14ac:dyDescent="0.55000000000000004">
      <c r="A185" s="10"/>
      <c r="B185" s="377">
        <v>1</v>
      </c>
      <c r="C185" s="562" t="s">
        <v>156</v>
      </c>
      <c r="D185" s="562"/>
      <c r="E185" s="562"/>
    </row>
    <row r="186" spans="1:5" ht="13.75" customHeight="1" x14ac:dyDescent="0.55000000000000004">
      <c r="A186" s="10"/>
      <c r="B186" s="377">
        <v>2</v>
      </c>
      <c r="C186" s="562" t="s">
        <v>157</v>
      </c>
      <c r="D186" s="562"/>
      <c r="E186" s="562"/>
    </row>
    <row r="187" spans="1:5" ht="13.75" customHeight="1" x14ac:dyDescent="0.55000000000000004">
      <c r="A187" s="10"/>
      <c r="B187" s="377"/>
      <c r="C187" s="562"/>
      <c r="D187" s="562"/>
      <c r="E187" s="562"/>
    </row>
    <row r="188" spans="1:5" ht="13.75" customHeight="1" x14ac:dyDescent="0.55000000000000004">
      <c r="A188" s="10"/>
      <c r="B188" s="377"/>
      <c r="C188" s="562"/>
      <c r="D188" s="562"/>
      <c r="E188" s="562"/>
    </row>
    <row r="189" spans="1:5" ht="13.75" customHeight="1" x14ac:dyDescent="0.55000000000000004">
      <c r="A189" s="10"/>
      <c r="B189" s="377"/>
      <c r="C189" s="562"/>
      <c r="D189" s="562"/>
      <c r="E189" s="562"/>
    </row>
    <row r="190" spans="1:5" ht="13.75" customHeight="1" x14ac:dyDescent="0.35">
      <c r="A190" s="16"/>
    </row>
    <row r="191" spans="1:5" ht="23.4" customHeight="1" x14ac:dyDescent="0.55000000000000004">
      <c r="A191" s="8" t="s">
        <v>92</v>
      </c>
      <c r="B191" s="8"/>
    </row>
    <row r="192" spans="1:5" ht="13.75" customHeight="1" x14ac:dyDescent="0.55000000000000004">
      <c r="A192" s="8"/>
      <c r="B192" s="8"/>
    </row>
    <row r="193" spans="1:5" ht="13.75" customHeight="1" x14ac:dyDescent="0.35">
      <c r="A193" s="16">
        <v>1</v>
      </c>
      <c r="C193" s="549" t="s">
        <v>93</v>
      </c>
      <c r="D193" s="549"/>
      <c r="E193" s="549"/>
    </row>
    <row r="194" spans="1:5" ht="13.75" customHeight="1" x14ac:dyDescent="0.35">
      <c r="A194" s="16"/>
    </row>
    <row r="195" spans="1:5" ht="13.75" customHeight="1" x14ac:dyDescent="0.35">
      <c r="A195" s="16">
        <v>2</v>
      </c>
      <c r="C195" s="549" t="s">
        <v>115</v>
      </c>
      <c r="D195" s="549"/>
      <c r="E195" s="549"/>
    </row>
    <row r="196" spans="1:5" ht="13.75" customHeight="1" x14ac:dyDescent="0.35">
      <c r="A196" s="16"/>
    </row>
    <row r="197" spans="1:5" ht="13.75" customHeight="1" x14ac:dyDescent="0.35">
      <c r="A197" s="16"/>
    </row>
    <row r="198" spans="1:5" ht="13.75" customHeight="1" x14ac:dyDescent="0.35"/>
    <row r="199" spans="1:5" ht="13.75" customHeight="1" x14ac:dyDescent="0.35"/>
    <row r="200" spans="1:5" ht="13.75" customHeight="1" x14ac:dyDescent="0.35"/>
    <row r="201" spans="1:5" ht="13.75" customHeight="1" x14ac:dyDescent="0.35"/>
    <row r="202" spans="1:5" ht="13.75" customHeight="1" x14ac:dyDescent="0.35"/>
    <row r="203" spans="1:5" ht="13.75" customHeight="1" x14ac:dyDescent="0.35"/>
    <row r="204" spans="1:5" ht="13.75" customHeight="1" x14ac:dyDescent="0.35"/>
    <row r="205" spans="1:5" ht="13.75" customHeight="1" x14ac:dyDescent="0.35"/>
    <row r="206" spans="1:5" ht="13.75" customHeight="1" x14ac:dyDescent="0.35"/>
    <row r="207" spans="1:5" ht="13.75" customHeight="1" x14ac:dyDescent="0.35"/>
    <row r="208" spans="1:5" ht="13.75" customHeight="1" x14ac:dyDescent="0.35"/>
    <row r="209" spans="3:5" ht="13.75" customHeight="1" x14ac:dyDescent="0.35"/>
    <row r="210" spans="3:5" ht="13.75" customHeight="1" x14ac:dyDescent="0.35"/>
    <row r="211" spans="3:5" ht="13.75" customHeight="1" x14ac:dyDescent="0.35">
      <c r="C211" s="14" t="s">
        <v>111</v>
      </c>
    </row>
    <row r="212" spans="3:5" ht="13.75" customHeight="1" x14ac:dyDescent="0.35"/>
    <row r="213" spans="3:5" ht="13.75" customHeight="1" x14ac:dyDescent="0.35"/>
    <row r="214" spans="3:5" ht="13.75" customHeight="1" x14ac:dyDescent="0.35">
      <c r="D214" s="561" t="s">
        <v>112</v>
      </c>
      <c r="E214" s="561"/>
    </row>
    <row r="215" spans="3:5" ht="13.75" customHeight="1" x14ac:dyDescent="0.35">
      <c r="D215" s="561"/>
      <c r="E215" s="561"/>
    </row>
    <row r="216" spans="3:5" ht="13.75" customHeight="1" x14ac:dyDescent="0.35">
      <c r="D216" s="561"/>
      <c r="E216" s="561"/>
    </row>
    <row r="217" spans="3:5" ht="13.75" customHeight="1" x14ac:dyDescent="0.35"/>
    <row r="218" spans="3:5" ht="13.75" customHeight="1" x14ac:dyDescent="0.35"/>
    <row r="219" spans="3:5" ht="13.75" customHeight="1" x14ac:dyDescent="0.35"/>
    <row r="220" spans="3:5" ht="13.75" customHeight="1" x14ac:dyDescent="0.35"/>
    <row r="221" spans="3:5" ht="13.75" customHeight="1" x14ac:dyDescent="0.35"/>
    <row r="222" spans="3:5" ht="13.75" customHeight="1" x14ac:dyDescent="0.35"/>
    <row r="223" spans="3:5" ht="13.75" customHeight="1" x14ac:dyDescent="0.35"/>
    <row r="224" spans="3:5" ht="13.75" customHeight="1" x14ac:dyDescent="0.35"/>
    <row r="225" ht="13.75" customHeight="1" x14ac:dyDescent="0.35"/>
    <row r="226" ht="13.75" customHeight="1" x14ac:dyDescent="0.35"/>
    <row r="227" ht="13.75" customHeight="1" x14ac:dyDescent="0.35"/>
    <row r="228" ht="13.75" customHeight="1" x14ac:dyDescent="0.35"/>
    <row r="229" ht="13.75" customHeight="1" x14ac:dyDescent="0.35"/>
    <row r="230" ht="13.75" customHeight="1" x14ac:dyDescent="0.35"/>
    <row r="231" ht="13.75" customHeight="1" x14ac:dyDescent="0.35"/>
    <row r="232" ht="13.75" customHeight="1" x14ac:dyDescent="0.35"/>
    <row r="233" ht="13.75" customHeight="1" x14ac:dyDescent="0.35"/>
    <row r="234" ht="13.75" customHeight="1" x14ac:dyDescent="0.35"/>
    <row r="235" ht="13.75" customHeight="1" x14ac:dyDescent="0.35"/>
    <row r="236" ht="13.75" customHeight="1" x14ac:dyDescent="0.35"/>
    <row r="237" ht="13.75" customHeight="1" x14ac:dyDescent="0.35"/>
    <row r="238" ht="13.75" customHeight="1" x14ac:dyDescent="0.35"/>
    <row r="239" ht="13.75" customHeight="1" x14ac:dyDescent="0.35"/>
    <row r="240" ht="13.75" customHeight="1" x14ac:dyDescent="0.35"/>
    <row r="241" ht="13.75" customHeight="1" x14ac:dyDescent="0.35"/>
    <row r="242" ht="13.75" customHeight="1" x14ac:dyDescent="0.35"/>
    <row r="243" ht="13.75" customHeight="1" x14ac:dyDescent="0.35"/>
    <row r="244" ht="13.75" customHeight="1" x14ac:dyDescent="0.35"/>
    <row r="245" ht="13.75" customHeight="1" x14ac:dyDescent="0.35"/>
    <row r="246" ht="13.75" customHeight="1" x14ac:dyDescent="0.35"/>
    <row r="247" ht="13.75" customHeight="1" x14ac:dyDescent="0.35"/>
    <row r="248" ht="13.75" customHeight="1" x14ac:dyDescent="0.35"/>
    <row r="249" ht="13.75" customHeight="1" x14ac:dyDescent="0.35"/>
    <row r="250" ht="13.75" customHeight="1" x14ac:dyDescent="0.35"/>
    <row r="251" ht="13.75" customHeight="1" x14ac:dyDescent="0.35"/>
    <row r="252" ht="13.75" customHeight="1" x14ac:dyDescent="0.35"/>
    <row r="253" ht="13.75" customHeight="1" x14ac:dyDescent="0.35"/>
    <row r="254" ht="13.75" customHeight="1" x14ac:dyDescent="0.35"/>
    <row r="255" ht="13.75" customHeight="1" x14ac:dyDescent="0.35"/>
    <row r="256" ht="13.75" customHeight="1" x14ac:dyDescent="0.35"/>
    <row r="257" ht="13.75" customHeight="1" x14ac:dyDescent="0.35"/>
    <row r="258" ht="13.75" customHeight="1" x14ac:dyDescent="0.35"/>
    <row r="259" ht="13.75" customHeight="1" x14ac:dyDescent="0.35"/>
    <row r="260" ht="13.75" customHeight="1" x14ac:dyDescent="0.35"/>
    <row r="261" ht="13.75" customHeight="1" x14ac:dyDescent="0.35"/>
    <row r="262" ht="13.75" customHeight="1" x14ac:dyDescent="0.35"/>
    <row r="263" ht="13.75" customHeight="1" x14ac:dyDescent="0.35"/>
    <row r="264" ht="13.75" customHeight="1" x14ac:dyDescent="0.35"/>
    <row r="265" ht="13.75" customHeight="1" x14ac:dyDescent="0.35"/>
    <row r="266" ht="13.75" customHeight="1" x14ac:dyDescent="0.35"/>
    <row r="267" ht="13.75" customHeight="1" x14ac:dyDescent="0.35"/>
    <row r="268" ht="13.75" customHeight="1" x14ac:dyDescent="0.35"/>
    <row r="269" ht="13.75" customHeight="1" x14ac:dyDescent="0.35"/>
    <row r="270" ht="13.75" customHeight="1" x14ac:dyDescent="0.35"/>
    <row r="271" ht="13.75" customHeight="1" x14ac:dyDescent="0.35"/>
    <row r="272" ht="13.75" customHeight="1" x14ac:dyDescent="0.35"/>
    <row r="273" ht="13.75" customHeight="1" x14ac:dyDescent="0.35"/>
    <row r="274" ht="13.75" customHeight="1" x14ac:dyDescent="0.35"/>
    <row r="275" ht="13.75" customHeight="1" x14ac:dyDescent="0.35"/>
  </sheetData>
  <mergeCells count="66">
    <mergeCell ref="B99:B100"/>
    <mergeCell ref="C120:E121"/>
    <mergeCell ref="C186:E189"/>
    <mergeCell ref="B101:B102"/>
    <mergeCell ref="B127:B128"/>
    <mergeCell ref="C127:E128"/>
    <mergeCell ref="C103:E103"/>
    <mergeCell ref="C184:E184"/>
    <mergeCell ref="B66:B69"/>
    <mergeCell ref="C66:E69"/>
    <mergeCell ref="C76:C77"/>
    <mergeCell ref="D76:E77"/>
    <mergeCell ref="C70:E74"/>
    <mergeCell ref="B70:B74"/>
    <mergeCell ref="B42:B43"/>
    <mergeCell ref="C42:E43"/>
    <mergeCell ref="C46:E47"/>
    <mergeCell ref="B46:B47"/>
    <mergeCell ref="B64:B65"/>
    <mergeCell ref="C64:E65"/>
    <mergeCell ref="C56:E57"/>
    <mergeCell ref="C58:E58"/>
    <mergeCell ref="B37:B38"/>
    <mergeCell ref="C37:E38"/>
    <mergeCell ref="B39:B41"/>
    <mergeCell ref="C39:E41"/>
    <mergeCell ref="B33:B36"/>
    <mergeCell ref="A28:A30"/>
    <mergeCell ref="B28:B30"/>
    <mergeCell ref="C28:E30"/>
    <mergeCell ref="F28:F30"/>
    <mergeCell ref="A33:A34"/>
    <mergeCell ref="C33:E34"/>
    <mergeCell ref="C31:E32"/>
    <mergeCell ref="B31:B32"/>
    <mergeCell ref="A18:A20"/>
    <mergeCell ref="B18:B20"/>
    <mergeCell ref="C18:E20"/>
    <mergeCell ref="F18:F20"/>
    <mergeCell ref="A22:A23"/>
    <mergeCell ref="B22:B23"/>
    <mergeCell ref="C22:E23"/>
    <mergeCell ref="F22:F23"/>
    <mergeCell ref="C195:E195"/>
    <mergeCell ref="D214:E216"/>
    <mergeCell ref="C124:E124"/>
    <mergeCell ref="C129:E129"/>
    <mergeCell ref="C193:E193"/>
    <mergeCell ref="C136:E137"/>
    <mergeCell ref="C141:E142"/>
    <mergeCell ref="C176:E178"/>
    <mergeCell ref="C185:E185"/>
    <mergeCell ref="C2:E2"/>
    <mergeCell ref="C3:E3"/>
    <mergeCell ref="C21:E21"/>
    <mergeCell ref="C45:E45"/>
    <mergeCell ref="C95:E95"/>
    <mergeCell ref="C35:E36"/>
    <mergeCell ref="C98:E98"/>
    <mergeCell ref="C101:E102"/>
    <mergeCell ref="C78:C79"/>
    <mergeCell ref="D78:E79"/>
    <mergeCell ref="C91:E91"/>
    <mergeCell ref="D80:E84"/>
    <mergeCell ref="C80:C84"/>
    <mergeCell ref="C99:E100"/>
  </mergeCells>
  <conditionalFormatting sqref="C76">
    <cfRule type="containsText" dxfId="306" priority="2" operator="containsText" text="No">
      <formula>NOT(ISERROR(SEARCH("No",C76)))</formula>
    </cfRule>
  </conditionalFormatting>
  <conditionalFormatting sqref="C78 C80">
    <cfRule type="containsText" dxfId="305" priority="1" operator="containsText" text="Interference Detected">
      <formula>NOT(ISERROR(SEARCH("Interference Detected",C78)))</formula>
    </cfRule>
  </conditionalFormatting>
  <pageMargins left="0.7" right="0.7" top="0.75" bottom="0.75" header="0.3" footer="0.3"/>
  <pageSetup orientation="portrait" r:id="rId1"/>
  <headerFooter>
    <oddHeader>&amp;C&amp;"-,Bold"&amp;24Instructions</oddHeader>
    <oddFooter>&amp;R&amp;P of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G45"/>
  <sheetViews>
    <sheetView tabSelected="1" view="pageLayout" zoomScale="80" zoomScaleNormal="100" zoomScalePageLayoutView="80" workbookViewId="0">
      <selection activeCell="G12" sqref="G12:H12"/>
    </sheetView>
  </sheetViews>
  <sheetFormatPr defaultColWidth="8.90625" defaultRowHeight="14.5" x14ac:dyDescent="0.35"/>
  <cols>
    <col min="1" max="1" width="11.08984375" style="18" customWidth="1"/>
    <col min="2" max="2" width="22.54296875" style="18" customWidth="1"/>
    <col min="3" max="3" width="16.1796875" style="18" customWidth="1"/>
    <col min="4" max="4" width="6.90625" style="18" customWidth="1"/>
    <col min="5" max="5" width="6" style="18" customWidth="1"/>
    <col min="6" max="6" width="6.1796875" style="18" customWidth="1"/>
    <col min="7" max="7" width="10.36328125" style="18" customWidth="1"/>
    <col min="8" max="8" width="4.90625" style="18" customWidth="1"/>
    <col min="9" max="9" width="1" style="18" customWidth="1"/>
    <col min="10" max="10" width="10.6328125" style="18" customWidth="1"/>
    <col min="11" max="11" width="20.1796875" style="18" customWidth="1"/>
    <col min="12" max="12" width="16.1796875" style="18" customWidth="1"/>
    <col min="13" max="14" width="7.36328125" style="18" customWidth="1"/>
    <col min="15" max="15" width="6.90625" style="18" customWidth="1"/>
    <col min="16" max="16" width="10.08984375" style="18" customWidth="1"/>
    <col min="17" max="17" width="6" style="18" customWidth="1"/>
    <col min="18" max="18" width="1.453125" style="18" customWidth="1"/>
    <col min="19" max="19" width="28.81640625" style="271" customWidth="1"/>
    <col min="20" max="20" width="11.1796875" style="271" bestFit="1" customWidth="1"/>
    <col min="21" max="21" width="10.6328125" style="271" customWidth="1"/>
    <col min="22" max="22" width="12.453125" style="271" customWidth="1"/>
    <col min="23" max="23" width="13.36328125" style="271" customWidth="1"/>
    <col min="24" max="24" width="11.08984375" style="271" customWidth="1"/>
    <col min="25" max="25" width="2.54296875" style="271" customWidth="1"/>
    <col min="26" max="26" width="30.54296875" style="18" bestFit="1" customWidth="1"/>
    <col min="27" max="27" width="12.453125" style="18" bestFit="1" customWidth="1"/>
    <col min="28" max="28" width="3.36328125" style="18" bestFit="1" customWidth="1"/>
    <col min="29" max="29" width="8.453125" style="18" bestFit="1" customWidth="1"/>
    <col min="30" max="30" width="12.453125" style="18" bestFit="1" customWidth="1"/>
    <col min="31" max="31" width="2.1796875" style="18" bestFit="1" customWidth="1"/>
    <col min="32" max="32" width="8.453125" style="18" bestFit="1" customWidth="1"/>
    <col min="33" max="16384" width="8.90625" style="18"/>
  </cols>
  <sheetData>
    <row r="1" spans="1:32" ht="24" thickBot="1" x14ac:dyDescent="0.6">
      <c r="A1" s="21" t="s">
        <v>27</v>
      </c>
      <c r="B1" s="324" t="str">
        <f>'Study Information'!B3</f>
        <v>Example 1</v>
      </c>
      <c r="H1" s="24"/>
      <c r="J1" s="293" t="str">
        <f>'NBT Depletion'!CA2</f>
        <v>Clarithromycin</v>
      </c>
      <c r="K1" s="24"/>
      <c r="L1" s="24"/>
      <c r="M1" s="24"/>
      <c r="N1" s="24"/>
      <c r="O1" s="24"/>
      <c r="P1" s="299" t="s">
        <v>86</v>
      </c>
      <c r="Q1" s="300" t="str">
        <f>'Study Information'!C15</f>
        <v>10 mM</v>
      </c>
      <c r="R1" s="270"/>
      <c r="S1" s="314" t="s">
        <v>57</v>
      </c>
      <c r="T1" s="291" t="s">
        <v>66</v>
      </c>
      <c r="U1" s="22"/>
      <c r="Z1" s="320" t="s">
        <v>60</v>
      </c>
      <c r="AA1" s="22"/>
      <c r="AB1" s="22"/>
      <c r="AC1" s="22"/>
      <c r="AD1" s="22"/>
      <c r="AE1" s="22"/>
      <c r="AF1" s="24"/>
    </row>
    <row r="2" spans="1:32" ht="15" thickBot="1" x14ac:dyDescent="0.4">
      <c r="A2" s="21" t="s">
        <v>26</v>
      </c>
      <c r="B2" s="422" t="str">
        <f>'Study Information'!B4</f>
        <v>Date</v>
      </c>
      <c r="D2" s="403"/>
      <c r="E2" s="403"/>
      <c r="F2" s="403" t="s">
        <v>123</v>
      </c>
      <c r="G2" s="324">
        <f>'Study Information'!D2</f>
        <v>0</v>
      </c>
      <c r="H2" s="421"/>
      <c r="J2" s="537" t="s">
        <v>28</v>
      </c>
      <c r="K2" s="539" t="s">
        <v>165</v>
      </c>
      <c r="L2" s="540" t="s">
        <v>159</v>
      </c>
      <c r="M2" s="541" t="s">
        <v>168</v>
      </c>
      <c r="N2" s="541" t="s">
        <v>169</v>
      </c>
      <c r="O2" s="541" t="s">
        <v>171</v>
      </c>
      <c r="P2" s="676" t="s">
        <v>149</v>
      </c>
      <c r="Q2" s="677"/>
      <c r="R2" s="272"/>
      <c r="S2" s="22"/>
      <c r="T2" s="530" t="s">
        <v>20</v>
      </c>
      <c r="U2" s="530" t="s">
        <v>13</v>
      </c>
      <c r="V2" s="273" t="s">
        <v>84</v>
      </c>
      <c r="W2" s="273" t="s">
        <v>85</v>
      </c>
      <c r="X2" s="530" t="s">
        <v>56</v>
      </c>
      <c r="Y2" s="274"/>
      <c r="Z2" s="22"/>
      <c r="AA2" s="530" t="s">
        <v>62</v>
      </c>
      <c r="AB2" s="530" t="s">
        <v>55</v>
      </c>
      <c r="AC2" s="530" t="s">
        <v>63</v>
      </c>
      <c r="AD2" s="22"/>
      <c r="AE2" s="22"/>
      <c r="AF2" s="24"/>
    </row>
    <row r="3" spans="1:32" x14ac:dyDescent="0.35">
      <c r="A3" s="21"/>
      <c r="B3" s="292"/>
      <c r="C3" s="292"/>
      <c r="D3" s="292"/>
      <c r="E3" s="292"/>
      <c r="F3" s="292"/>
      <c r="G3" s="24"/>
      <c r="H3" s="24"/>
      <c r="J3" s="295">
        <v>5</v>
      </c>
      <c r="K3" s="309">
        <f>IF('NBT Depletion'!CA3="","n/a",'NBT Depletion'!CA3)</f>
        <v>-7.9498636337259065E-3</v>
      </c>
      <c r="L3" s="389" t="str">
        <f>IF(K3="n/a","n/a",'T-test'!AD8)</f>
        <v>Negative</v>
      </c>
      <c r="M3" s="308" t="str">
        <f>IF(AND(K3&lt;0.1,L3="Positive"),"R","-")</f>
        <v>-</v>
      </c>
      <c r="N3" s="413" t="str">
        <f>IF(L3="Positive","-",IF(AND(K3&gt;0.03,L3="Negative"),"R",IF('NBT Depletion'!BC7+'NBT Depletion'!BD7&gt;'NBT Depletion'!BV17,"R","-")))</f>
        <v>-</v>
      </c>
      <c r="O3" s="413" t="str">
        <f>IF(OR(K3&gt;1.1,K3&lt;-0.1),"R","-")</f>
        <v>-</v>
      </c>
      <c r="P3" s="654" t="str">
        <f>IF(Interference!X10="Interference Detected","Int",IF(Interference!X10="No Interference Detected","No Int",IF(Interference!X10="Potential Interference, reading below NC/PC Blank","P-Int","-")))</f>
        <v>No Int</v>
      </c>
      <c r="Q3" s="616"/>
      <c r="R3" s="272"/>
      <c r="S3" s="530" t="s">
        <v>184</v>
      </c>
      <c r="T3" s="446">
        <f>'NBT Depletion'!Q33</f>
        <v>7.1749999999999994E-2</v>
      </c>
      <c r="U3" s="84">
        <f>STDEV('NBT Depletion'!B33:B40)</f>
        <v>1.1649647450214301E-3</v>
      </c>
      <c r="V3" s="405">
        <v>7.6645089285714285E-2</v>
      </c>
      <c r="W3" s="281">
        <v>6.7627232142857152E-2</v>
      </c>
      <c r="X3" s="319" t="str">
        <f>IF(AND(T3&lt;V3,T3&gt;W3),"Pass","Fail")</f>
        <v>Pass</v>
      </c>
      <c r="Y3" s="274"/>
      <c r="Z3" s="530" t="s">
        <v>61</v>
      </c>
      <c r="AA3" s="319">
        <v>6</v>
      </c>
      <c r="AB3" s="319">
        <f>'Quartiles Outlier Blank-NC'!AO32</f>
        <v>8</v>
      </c>
      <c r="AC3" s="319" t="str">
        <f>IF(AB3&lt;AA3,"Fail","Pass")</f>
        <v>Pass</v>
      </c>
      <c r="AD3" s="22"/>
      <c r="AE3" s="22"/>
      <c r="AF3" s="24"/>
    </row>
    <row r="4" spans="1:32" ht="19" thickBot="1" x14ac:dyDescent="0.5">
      <c r="A4" s="293" t="str">
        <f>'NBT Depletion'!BV2</f>
        <v>NC</v>
      </c>
      <c r="B4" s="292"/>
      <c r="C4" s="292"/>
      <c r="D4" s="292"/>
      <c r="E4" s="292"/>
      <c r="F4" s="292"/>
      <c r="G4" s="24"/>
      <c r="H4" s="24"/>
      <c r="J4" s="296">
        <v>20</v>
      </c>
      <c r="K4" s="311">
        <f>IF('NBT Depletion'!CA4="","n/a",'NBT Depletion'!CA4)</f>
        <v>-1.2123867952088807E-2</v>
      </c>
      <c r="L4" s="310" t="str">
        <f>IF(K4="n/a","n/a",'T-test'!AD18)</f>
        <v>Negative</v>
      </c>
      <c r="M4" s="383" t="str">
        <f>IF(AND(K4&lt;0.1,L4="Positive"),"R","-")</f>
        <v>-</v>
      </c>
      <c r="N4" s="383" t="str">
        <f>IF(L4="Positive","-",IF(AND(K4&gt;0.03,L4="Negative"),"R",IF('NBT Depletion'!BC17+'NBT Depletion'!BD17&gt;'NBT Depletion'!BV18,"R","-")))</f>
        <v>-</v>
      </c>
      <c r="O4" s="383" t="str">
        <f>IF(OR(K4&gt;1.1,K4&lt;-0.1),"R","-")</f>
        <v>-</v>
      </c>
      <c r="P4" s="640" t="str">
        <f>IF(Interference!X20="Interference Detected","Int",IF(Interference!X20="No Interference Detected","No Int",IF(Interference!X20="Potential Interference, reading below NC/PC Blank","P-Int","-")))</f>
        <v>No Int</v>
      </c>
      <c r="Q4" s="641"/>
      <c r="R4" s="272"/>
      <c r="S4" s="530" t="s">
        <v>185</v>
      </c>
      <c r="T4" s="446">
        <f>'NBT Depletion'!AG33</f>
        <v>0.56682142857142859</v>
      </c>
      <c r="U4" s="84">
        <f>'NBT Depletion'!AH33</f>
        <v>4.7832124016314505E-3</v>
      </c>
      <c r="V4" s="406">
        <v>0.63715133928571432</v>
      </c>
      <c r="W4" s="406">
        <v>0.53948824404761886</v>
      </c>
      <c r="X4" s="319" t="str">
        <f>IF(AND(T4&lt;V4,T4&gt;W4),"Pass","Fail")</f>
        <v>Pass</v>
      </c>
      <c r="Y4" s="274"/>
      <c r="Z4" s="530" t="s">
        <v>59</v>
      </c>
      <c r="AA4" s="319">
        <v>12</v>
      </c>
      <c r="AB4" s="319">
        <f>'Quartiles Outlier Blank-NC'!AO35</f>
        <v>14</v>
      </c>
      <c r="AC4" s="319" t="str">
        <f>IF(AB4&lt;AA4,"Fail","Pass")</f>
        <v>Pass</v>
      </c>
      <c r="AD4" s="22"/>
      <c r="AE4" s="22"/>
      <c r="AF4" s="24"/>
    </row>
    <row r="5" spans="1:32" ht="15" thickBot="1" x14ac:dyDescent="0.4">
      <c r="A5" s="536" t="s">
        <v>28</v>
      </c>
      <c r="B5" s="537" t="s">
        <v>81</v>
      </c>
      <c r="C5" s="298"/>
      <c r="D5" s="298"/>
      <c r="E5" s="298"/>
      <c r="F5" s="298"/>
      <c r="G5" s="294"/>
      <c r="H5" s="294"/>
      <c r="I5" s="275"/>
      <c r="J5" s="296">
        <v>35</v>
      </c>
      <c r="K5" s="311">
        <f>IF('NBT Depletion'!CA5="","n/a",'NBT Depletion'!CA5)</f>
        <v>-9.8288585335217782E-3</v>
      </c>
      <c r="L5" s="310" t="str">
        <f>IF(K5="n/a","n/a",'T-test'!AD28)</f>
        <v>Negative</v>
      </c>
      <c r="M5" s="383" t="str">
        <f>IF(AND(K5&lt;0.1,L5="Positive"),"R","-")</f>
        <v>-</v>
      </c>
      <c r="N5" s="383" t="str">
        <f>IF(L5="Positive","-",IF(AND(K5&gt;0.03,L5="Negative"),"R",IF('NBT Depletion'!BC27+'NBT Depletion'!BD27&gt;'NBT Depletion'!BV19,"R","-")))</f>
        <v>-</v>
      </c>
      <c r="O5" s="383" t="str">
        <f>IF(OR(K5&gt;1.1,K5&lt;-0.1),"R","-")</f>
        <v>-</v>
      </c>
      <c r="P5" s="640" t="str">
        <f>IF(Interference!X30="Interference Detected","Int",IF(Interference!X30="No Interference Detected","No Int",IF(Interference!X30="Potential Interference, reading below NC/PC Blank","P-Int","-")))</f>
        <v>No Int</v>
      </c>
      <c r="Q5" s="641"/>
      <c r="R5" s="272"/>
      <c r="S5" s="530" t="s">
        <v>231</v>
      </c>
      <c r="T5" s="84">
        <f>'NBT Depletion'!BV13</f>
        <v>8.4386583860929319E-3</v>
      </c>
      <c r="U5" s="84" t="s">
        <v>124</v>
      </c>
      <c r="V5" s="281">
        <v>1.9126320640163223E-2</v>
      </c>
      <c r="W5" s="281">
        <v>8.108906257717893E-4</v>
      </c>
      <c r="X5" s="319" t="str">
        <f>IF(AND(T5&lt;V5,T5&gt;W5),"Pass","Fail")</f>
        <v>Pass</v>
      </c>
      <c r="Y5" s="277"/>
      <c r="Z5" s="24"/>
      <c r="AA5" s="24"/>
      <c r="AB5" s="24"/>
      <c r="AC5" s="24"/>
      <c r="AD5" s="24"/>
      <c r="AE5" s="24"/>
      <c r="AF5" s="24"/>
    </row>
    <row r="6" spans="1:32" ht="15" thickBot="1" x14ac:dyDescent="0.4">
      <c r="A6" s="415">
        <v>5</v>
      </c>
      <c r="B6" s="420">
        <f>'NBT Depletion'!BV3</f>
        <v>0</v>
      </c>
      <c r="C6" s="298"/>
      <c r="D6" s="298"/>
      <c r="E6" s="298"/>
      <c r="F6" s="298"/>
      <c r="G6" s="142"/>
      <c r="H6" s="142"/>
      <c r="I6" s="278"/>
      <c r="J6" s="297">
        <v>50</v>
      </c>
      <c r="K6" s="312">
        <f>IF('NBT Depletion'!CA6="","n/a",'NBT Depletion'!CA6)</f>
        <v>-9.5772163064709592E-3</v>
      </c>
      <c r="L6" s="313" t="str">
        <f>IF(K6="n/a","n/a",'T-test'!AD38)</f>
        <v>Negative</v>
      </c>
      <c r="M6" s="390" t="str">
        <f>IF(AND(K6&lt;0.1,L6="Positive"),"R","-")</f>
        <v>-</v>
      </c>
      <c r="N6" s="304" t="str">
        <f>IF(L6="Positive","-",IF(AND(K6&gt;0.03,L6="Negative"),"R",IF('NBT Depletion'!BC37+'NBT Depletion'!BD37&gt;'NBT Depletion'!BV20,"R","-")))</f>
        <v>-</v>
      </c>
      <c r="O6" s="304" t="str">
        <f>IF(OR(K6&gt;1.1,K6&lt;-0.1),"R","-")</f>
        <v>-</v>
      </c>
      <c r="P6" s="642" t="str">
        <f>IF(Interference!X40="Interference Detected","Int",IF(Interference!X40="No Interference Detected","No Int",IF(Interference!X40="Potential Interference, reading below NC/PC Blank","P-Int","-")))</f>
        <v>No Int</v>
      </c>
      <c r="Q6" s="643"/>
      <c r="R6" s="272"/>
      <c r="V6" s="276"/>
      <c r="W6" s="276"/>
      <c r="Y6" s="277"/>
      <c r="Z6" s="531" t="s">
        <v>164</v>
      </c>
      <c r="AA6" s="22"/>
      <c r="AB6" s="22"/>
      <c r="AC6" s="22"/>
      <c r="AD6" s="22"/>
      <c r="AE6" s="22"/>
      <c r="AF6" s="24"/>
    </row>
    <row r="7" spans="1:32" x14ac:dyDescent="0.35">
      <c r="A7" s="416">
        <v>20</v>
      </c>
      <c r="B7" s="418">
        <f>'NBT Depletion'!BV4</f>
        <v>0</v>
      </c>
      <c r="C7" s="298"/>
      <c r="D7" s="298"/>
      <c r="E7" s="298"/>
      <c r="F7" s="298"/>
      <c r="G7" s="142"/>
      <c r="H7" s="142"/>
      <c r="I7" s="278"/>
      <c r="J7" s="142"/>
      <c r="K7" s="24"/>
      <c r="L7" s="24"/>
      <c r="M7" s="24"/>
      <c r="N7" s="24"/>
      <c r="O7" s="24"/>
      <c r="P7" s="24"/>
      <c r="Q7" s="24"/>
      <c r="S7" s="22"/>
      <c r="T7" s="530" t="s">
        <v>83</v>
      </c>
      <c r="U7" s="315"/>
      <c r="V7" s="279" t="s">
        <v>84</v>
      </c>
      <c r="W7" s="279" t="s">
        <v>85</v>
      </c>
      <c r="X7" s="534" t="s">
        <v>56</v>
      </c>
      <c r="Z7" s="532" t="s">
        <v>25</v>
      </c>
      <c r="AA7" s="530" t="s">
        <v>62</v>
      </c>
      <c r="AB7" s="530" t="s">
        <v>55</v>
      </c>
      <c r="AC7" s="530" t="s">
        <v>63</v>
      </c>
      <c r="AD7" s="22"/>
      <c r="AE7" s="22"/>
      <c r="AF7" s="24"/>
    </row>
    <row r="8" spans="1:32" ht="19" thickBot="1" x14ac:dyDescent="0.5">
      <c r="A8" s="416">
        <v>35</v>
      </c>
      <c r="B8" s="418">
        <f>'NBT Depletion'!BV5</f>
        <v>0</v>
      </c>
      <c r="C8" s="298"/>
      <c r="D8" s="298"/>
      <c r="E8" s="298"/>
      <c r="F8" s="298"/>
      <c r="G8" s="142"/>
      <c r="H8" s="142"/>
      <c r="I8" s="278"/>
      <c r="J8" s="293" t="str">
        <f>'NBT Depletion'!CB2</f>
        <v>o-Benzyl-p-chlorophenol</v>
      </c>
      <c r="K8" s="24"/>
      <c r="L8" s="24"/>
      <c r="M8" s="24"/>
      <c r="N8" s="24"/>
      <c r="O8" s="24"/>
      <c r="P8" s="299" t="s">
        <v>86</v>
      </c>
      <c r="Q8" s="300" t="str">
        <f>'Study Information'!C16</f>
        <v>10 mM</v>
      </c>
      <c r="R8" s="270"/>
      <c r="S8" s="530" t="s">
        <v>82</v>
      </c>
      <c r="T8" s="85">
        <f>'NBT Depletion'!AY41</f>
        <v>0.53821435322285927</v>
      </c>
      <c r="U8" s="316"/>
      <c r="V8" s="280">
        <v>0.56246811199404467</v>
      </c>
      <c r="W8" s="280">
        <v>0.50344000197324901</v>
      </c>
      <c r="X8" s="319" t="str">
        <f>IF(AND(T8&lt;V8,T8&gt;W8),"Pass","Fail")</f>
        <v>Pass</v>
      </c>
      <c r="Z8" s="533">
        <v>0.6</v>
      </c>
      <c r="AA8" s="319">
        <v>2</v>
      </c>
      <c r="AB8" s="319">
        <f>'680 nm (Bubble) Outlier'!V4</f>
        <v>3</v>
      </c>
      <c r="AC8" s="319" t="str">
        <f>IF(AB8&lt;AA8,"Fail","Pass")</f>
        <v>Pass</v>
      </c>
      <c r="AD8" s="22"/>
      <c r="AE8" s="22"/>
      <c r="AF8" s="24"/>
    </row>
    <row r="9" spans="1:32" ht="15" thickBot="1" x14ac:dyDescent="0.4">
      <c r="A9" s="417">
        <v>50</v>
      </c>
      <c r="B9" s="419">
        <f>'NBT Depletion'!BV6</f>
        <v>0</v>
      </c>
      <c r="C9" s="298"/>
      <c r="D9" s="298"/>
      <c r="E9" s="298"/>
      <c r="F9" s="298"/>
      <c r="G9" s="142"/>
      <c r="H9" s="142"/>
      <c r="I9" s="278"/>
      <c r="J9" s="537" t="s">
        <v>28</v>
      </c>
      <c r="K9" s="539" t="s">
        <v>165</v>
      </c>
      <c r="L9" s="540" t="s">
        <v>159</v>
      </c>
      <c r="M9" s="541" t="s">
        <v>168</v>
      </c>
      <c r="N9" s="541" t="s">
        <v>169</v>
      </c>
      <c r="O9" s="541" t="s">
        <v>171</v>
      </c>
      <c r="P9" s="676" t="s">
        <v>149</v>
      </c>
      <c r="Q9" s="677"/>
      <c r="R9" s="272"/>
      <c r="S9" s="530" t="s">
        <v>114</v>
      </c>
      <c r="T9" s="84">
        <f>'NBT Depletion'!AY42</f>
        <v>6.9085319473816714E-2</v>
      </c>
      <c r="U9" s="317"/>
      <c r="V9" s="281">
        <v>0.10265132582242062</v>
      </c>
      <c r="W9" s="281">
        <v>5.517685054505847E-2</v>
      </c>
      <c r="X9" s="319" t="str">
        <f>IF(AND(T9&lt;V9,T9&gt;W9),"Pass","Fail")</f>
        <v>Pass</v>
      </c>
      <c r="Y9" s="274"/>
      <c r="Z9" s="533">
        <v>0.3</v>
      </c>
      <c r="AA9" s="319">
        <v>2</v>
      </c>
      <c r="AB9" s="319">
        <f>'680 nm (Bubble) Outlier'!V5</f>
        <v>3</v>
      </c>
      <c r="AC9" s="319" t="str">
        <f t="shared" ref="AC9:AC10" si="0">IF(AB9&lt;AA9,"Fail","Pass")</f>
        <v>Pass</v>
      </c>
      <c r="AD9" s="22"/>
      <c r="AE9" s="22"/>
      <c r="AF9" s="24"/>
    </row>
    <row r="10" spans="1:32" x14ac:dyDescent="0.35">
      <c r="A10" s="298"/>
      <c r="B10" s="142"/>
      <c r="C10" s="298"/>
      <c r="D10" s="298"/>
      <c r="E10" s="298"/>
      <c r="F10" s="298"/>
      <c r="G10" s="142"/>
      <c r="H10" s="142"/>
      <c r="I10" s="278"/>
      <c r="J10" s="295">
        <v>5</v>
      </c>
      <c r="K10" s="309">
        <f>IF('NBT Depletion'!CB3="","n/a",'NBT Depletion'!CB3)</f>
        <v>3.0203678987988369E-2</v>
      </c>
      <c r="L10" s="308" t="str">
        <f>IF(K10="n/a","n/a",'T-test'!AD9)</f>
        <v>Positive</v>
      </c>
      <c r="M10" s="308" t="str">
        <f>IF(AND(K10&lt;0.1,L10="Positive"),"R","-")</f>
        <v>R</v>
      </c>
      <c r="N10" s="413" t="str">
        <f>IF(L10="Positive","-",IF(AND(K10&gt;0.03,L10="Negative"),"R",IF('NBT Depletion'!BE7+'NBT Depletion'!BF7&gt;'NBT Depletion'!BV17,"R","-")))</f>
        <v>-</v>
      </c>
      <c r="O10" s="413" t="str">
        <f>IF(OR(K10&gt;1.1,K10&lt;-0.1),"R","-")</f>
        <v>-</v>
      </c>
      <c r="P10" s="654" t="str">
        <f>IF(Interference!X11="Interference Detected","Int",IF(Interference!X11="No Interference Detected","No Int",IF(Interference!X11="Potential Interference, reading below NC/PC Blank","P-Int","-")))</f>
        <v>Int</v>
      </c>
      <c r="Q10" s="616"/>
      <c r="R10" s="282"/>
      <c r="S10" s="22"/>
      <c r="T10" s="22"/>
      <c r="U10" s="22"/>
      <c r="V10" s="276"/>
      <c r="W10" s="276"/>
      <c r="X10" s="22"/>
      <c r="Y10" s="274"/>
      <c r="Z10" s="533">
        <v>0.15</v>
      </c>
      <c r="AA10" s="319">
        <v>2</v>
      </c>
      <c r="AB10" s="319">
        <f>'680 nm (Bubble) Outlier'!V6</f>
        <v>3</v>
      </c>
      <c r="AC10" s="319" t="str">
        <f t="shared" si="0"/>
        <v>Pass</v>
      </c>
      <c r="AD10" s="22"/>
      <c r="AE10" s="22"/>
      <c r="AF10" s="24"/>
    </row>
    <row r="11" spans="1:32" ht="19" thickBot="1" x14ac:dyDescent="0.5">
      <c r="A11" s="293" t="str">
        <f>'NBT Depletion'!BW2</f>
        <v>Tri-n-octylphospine oxide</v>
      </c>
      <c r="B11" s="22"/>
      <c r="C11" s="24"/>
      <c r="D11" s="24"/>
      <c r="E11" s="24"/>
      <c r="F11" s="24"/>
      <c r="G11" s="299" t="s">
        <v>86</v>
      </c>
      <c r="H11" s="300" t="str">
        <f>'Study Information'!C11</f>
        <v>10 mM</v>
      </c>
      <c r="I11" s="270"/>
      <c r="J11" s="296">
        <v>20</v>
      </c>
      <c r="K11" s="302">
        <f>IF('NBT Depletion'!CB4="","n/a",'NBT Depletion'!CB4)</f>
        <v>4.1191936897458398E-2</v>
      </c>
      <c r="L11" s="383" t="str">
        <f>IF(K11="n/a","n/a",'T-test'!AD19)</f>
        <v>Positive</v>
      </c>
      <c r="M11" s="383" t="str">
        <f>IF(AND(K11&lt;0.1,L11="Positive"),"R","-")</f>
        <v>R</v>
      </c>
      <c r="N11" s="383" t="str">
        <f>IF(L11="Positive","-",IF(AND(K11&gt;0.03,L11="Negative"),"R",IF('NBT Depletion'!BE17+'NBT Depletion'!BF17&gt;'NBT Depletion'!BV18,"R","-")))</f>
        <v>-</v>
      </c>
      <c r="O11" s="383" t="str">
        <f>IF(OR(K11&gt;1.1,K11&lt;-0.1),"R","-")</f>
        <v>-</v>
      </c>
      <c r="P11" s="640" t="str">
        <f>IF(Interference!X21="Interference Detected","Int",IF(Interference!X21="No Interference Detected","No Int",IF(Interference!X21="Potential Interference, reading below NC/PC Blank","P-Int","-")))</f>
        <v>No Int</v>
      </c>
      <c r="Q11" s="641"/>
      <c r="R11" s="423"/>
      <c r="S11" s="531" t="s">
        <v>164</v>
      </c>
      <c r="T11" s="22"/>
      <c r="U11" s="22"/>
      <c r="V11" s="276"/>
      <c r="W11" s="276"/>
      <c r="X11" s="22"/>
      <c r="Y11" s="277"/>
      <c r="Z11" s="533">
        <v>7.4999999999999997E-2</v>
      </c>
      <c r="AA11" s="319">
        <v>2</v>
      </c>
      <c r="AB11" s="319">
        <f>'680 nm (Bubble) Outlier'!V7</f>
        <v>3</v>
      </c>
      <c r="AC11" s="319" t="str">
        <f>IF(AB11&lt;AA11,"Fail","Pass")</f>
        <v>Pass</v>
      </c>
      <c r="AD11" s="22"/>
      <c r="AE11" s="22"/>
      <c r="AF11" s="24"/>
    </row>
    <row r="12" spans="1:32" ht="15" thickBot="1" x14ac:dyDescent="0.4">
      <c r="A12" s="538" t="s">
        <v>28</v>
      </c>
      <c r="B12" s="539" t="s">
        <v>165</v>
      </c>
      <c r="C12" s="540" t="s">
        <v>159</v>
      </c>
      <c r="D12" s="541" t="s">
        <v>168</v>
      </c>
      <c r="E12" s="541" t="s">
        <v>169</v>
      </c>
      <c r="F12" s="541" t="s">
        <v>171</v>
      </c>
      <c r="G12" s="678" t="s">
        <v>149</v>
      </c>
      <c r="H12" s="679"/>
      <c r="I12" s="283"/>
      <c r="J12" s="296">
        <v>35</v>
      </c>
      <c r="K12" s="302">
        <f>IF('NBT Depletion'!CB5="","n/a",'NBT Depletion'!CB5)</f>
        <v>5.9632595383890707E-2</v>
      </c>
      <c r="L12" s="383" t="str">
        <f>IF(K12="n/a","n/a",'T-test'!AD29)</f>
        <v>Positive</v>
      </c>
      <c r="M12" s="383" t="str">
        <f>IF(AND(K12&lt;0.1,L12="Positive"),"R","-")</f>
        <v>R</v>
      </c>
      <c r="N12" s="383" t="str">
        <f>IF(L12="Positive","-",IF(AND(K12&gt;0.03,L12="Negative"),"R",IF('NBT Depletion'!BE27+'NBT Depletion'!BF27&gt;'NBT Depletion'!BV19,"R","-")))</f>
        <v>-</v>
      </c>
      <c r="O12" s="383" t="str">
        <f>IF(OR(K12&gt;1.1,K12&lt;-0.1),"R","-")</f>
        <v>-</v>
      </c>
      <c r="P12" s="640" t="str">
        <f>IF(Interference!X31="Interference Detected","Int",IF(Interference!X31="No Interference Detected","No Int",IF(Interference!X31="Potential Interference, reading below NC/PC Blank","P-Int","-")))</f>
        <v>Int</v>
      </c>
      <c r="Q12" s="641"/>
      <c r="R12" s="423"/>
      <c r="S12" s="532" t="s">
        <v>25</v>
      </c>
      <c r="T12" s="535" t="s">
        <v>20</v>
      </c>
      <c r="U12" s="530" t="s">
        <v>13</v>
      </c>
      <c r="V12" s="273" t="s">
        <v>84</v>
      </c>
      <c r="W12" s="273" t="s">
        <v>85</v>
      </c>
      <c r="X12" s="530" t="s">
        <v>56</v>
      </c>
      <c r="Y12" s="277"/>
      <c r="Z12" s="533">
        <v>3.7499999999999999E-2</v>
      </c>
      <c r="AA12" s="319">
        <v>2</v>
      </c>
      <c r="AB12" s="319">
        <f>'680 nm (Bubble) Outlier'!V8</f>
        <v>3</v>
      </c>
      <c r="AC12" s="319" t="str">
        <f>IF(AB12&lt;AA12,"Fail","Pass")</f>
        <v>Pass</v>
      </c>
      <c r="AD12" s="22"/>
      <c r="AE12" s="22"/>
      <c r="AF12" s="24"/>
    </row>
    <row r="13" spans="1:32" ht="15" thickBot="1" x14ac:dyDescent="0.4">
      <c r="A13" s="295">
        <v>5</v>
      </c>
      <c r="B13" s="309">
        <f>IF('NBT Depletion'!BW3="","n/a",'NBT Depletion'!BW3)</f>
        <v>2.2369871757674409E-2</v>
      </c>
      <c r="C13" s="308" t="str">
        <f>IF(B13="n/a","n/a",'T-test'!AD4)</f>
        <v>Positive</v>
      </c>
      <c r="D13" s="308" t="str">
        <f>IF(AND(B13&lt;0.1,C13="Positive"),"R","-")</f>
        <v>R</v>
      </c>
      <c r="E13" s="413" t="str">
        <f>IF(C13="Positive","-",IF(AND(B13&gt;0.03,C13="Negative"),"R",IF('NBT Depletion'!BC4+'NBT Depletion'!BD4&gt;'NBT Depletion'!BV17,"R","-")))</f>
        <v>-</v>
      </c>
      <c r="F13" s="413" t="str">
        <f>IF(OR(B13&gt;1.1,B13&lt;-0.1),"R","-")</f>
        <v>-</v>
      </c>
      <c r="G13" s="654" t="str">
        <f>IF(Interference!X6="Interference Detected","Int",IF(Interference!X6="No Interference Detected","No Int",IF(Interference!X6="Potential Interference, reading below NC/PC Blank","P-Int","-")))</f>
        <v>No Int</v>
      </c>
      <c r="H13" s="616"/>
      <c r="I13" s="277"/>
      <c r="J13" s="297">
        <v>50</v>
      </c>
      <c r="K13" s="303">
        <f>IF('NBT Depletion'!CB6="","n/a",'NBT Depletion'!CB6)</f>
        <v>7.6869762459832403E-2</v>
      </c>
      <c r="L13" s="390" t="str">
        <f>IF(K13="n/a","n/a",'T-test'!AD39)</f>
        <v>Positive</v>
      </c>
      <c r="M13" s="390" t="str">
        <f>IF(AND(K13&lt;0.1,L13="Positive"),"R","-")</f>
        <v>R</v>
      </c>
      <c r="N13" s="304" t="str">
        <f>IF(L13="Positive","-",IF(AND(K13&gt;0.03,L13="Negative"),"R",IF('NBT Depletion'!BE37+'NBT Depletion'!BF37&gt;'NBT Depletion'!BV20,"R","-")))</f>
        <v>-</v>
      </c>
      <c r="O13" s="304" t="str">
        <f>IF(OR(K13&gt;1.1,K13&lt;-0.1),"R","-")</f>
        <v>-</v>
      </c>
      <c r="P13" s="642" t="str">
        <f>IF(Interference!X41="Interference Detected","Int",IF(Interference!X41="No Interference Detected","No Int",IF(Interference!X41="Potential Interference, reading below NC/PC Blank","P-Int","-")))</f>
        <v>Int</v>
      </c>
      <c r="Q13" s="643"/>
      <c r="R13" s="423"/>
      <c r="S13" s="533">
        <v>0.6</v>
      </c>
      <c r="T13" s="318">
        <f>'NBT Depletion'!AY34</f>
        <v>0.97191943376808843</v>
      </c>
      <c r="U13" s="129">
        <f>'NBT Depletion'!AZ34</f>
        <v>7.1300266373364399E-3</v>
      </c>
      <c r="V13" s="280">
        <v>0.99257865611152274</v>
      </c>
      <c r="W13" s="280">
        <v>0.9568105264443495</v>
      </c>
      <c r="X13" s="319" t="str">
        <f t="shared" ref="X13:X19" si="1">IF(AND(T13&lt;V13,T13&gt;W13),"Pass","Fail")</f>
        <v>Pass</v>
      </c>
      <c r="Y13" s="277"/>
      <c r="Z13" s="533">
        <v>1.8749999999999999E-2</v>
      </c>
      <c r="AA13" s="319">
        <v>2</v>
      </c>
      <c r="AB13" s="319">
        <f>'680 nm (Bubble) Outlier'!V9</f>
        <v>3</v>
      </c>
      <c r="AC13" s="319" t="str">
        <f>IF(AB13&lt;AA13,"Fail","Pass")</f>
        <v>Pass</v>
      </c>
      <c r="AD13" s="22"/>
      <c r="AE13" s="22"/>
      <c r="AF13" s="24"/>
    </row>
    <row r="14" spans="1:32" x14ac:dyDescent="0.35">
      <c r="A14" s="296">
        <v>20</v>
      </c>
      <c r="B14" s="311">
        <f>IF('NBT Depletion'!BW4="","n/a",'NBT Depletion'!BW4)</f>
        <v>1.5045281916447606E-2</v>
      </c>
      <c r="C14" s="301" t="str">
        <f>IF(B14="n/a","n/a",'T-test'!AD14)</f>
        <v>Negative</v>
      </c>
      <c r="D14" s="383" t="str">
        <f>IF(AND(B14&lt;0.1,C14="Positive"),"R","-")</f>
        <v>-</v>
      </c>
      <c r="E14" s="383" t="str">
        <f>IF(C14="Positive","-",IF(AND(B14&gt;0.03,C14="Negative"),"R",IF('NBT Depletion'!BC14+'NBT Depletion'!BD14&gt;'NBT Depletion'!BV18,"R","-")))</f>
        <v>R</v>
      </c>
      <c r="F14" s="383" t="str">
        <f>IF(OR(B14&gt;1.1,B14&lt;-0.1),"R","-")</f>
        <v>-</v>
      </c>
      <c r="G14" s="640" t="str">
        <f>IF(Interference!X16="Interference Detected","Int",IF(Interference!X16="No Interference Detected","No Int",IF(Interference!X16="Potential Interference, reading below NC/PC Blank","P-Int","-")))</f>
        <v>No Int</v>
      </c>
      <c r="H14" s="641"/>
      <c r="I14" s="277"/>
      <c r="J14" s="298"/>
      <c r="K14" s="24"/>
      <c r="L14" s="24"/>
      <c r="M14" s="24"/>
      <c r="N14" s="24"/>
      <c r="O14" s="24"/>
      <c r="P14" s="24"/>
      <c r="Q14" s="142"/>
      <c r="R14" s="278"/>
      <c r="S14" s="533">
        <v>0.3</v>
      </c>
      <c r="T14" s="318">
        <f>'NBT Depletion'!AY35</f>
        <v>0.95956986537290234</v>
      </c>
      <c r="U14" s="129">
        <f>'NBT Depletion'!AZ35</f>
        <v>2.0371504678104134E-2</v>
      </c>
      <c r="V14" s="280">
        <v>0.98322769257262776</v>
      </c>
      <c r="W14" s="280">
        <v>0.92574244733854405</v>
      </c>
      <c r="X14" s="319" t="str">
        <f t="shared" si="1"/>
        <v>Pass</v>
      </c>
      <c r="Y14" s="277"/>
      <c r="Z14" s="533">
        <v>9.3749999999999997E-3</v>
      </c>
      <c r="AA14" s="319">
        <v>2</v>
      </c>
      <c r="AB14" s="319">
        <f>'680 nm (Bubble) Outlier'!V10</f>
        <v>3</v>
      </c>
      <c r="AC14" s="319" t="str">
        <f>IF(AB14&lt;AA14,"Fail","Pass")</f>
        <v>Pass</v>
      </c>
      <c r="AD14" s="22"/>
      <c r="AE14" s="22"/>
      <c r="AF14" s="24"/>
    </row>
    <row r="15" spans="1:32" ht="19" thickBot="1" x14ac:dyDescent="0.5">
      <c r="A15" s="296">
        <v>35</v>
      </c>
      <c r="B15" s="311">
        <f>IF('NBT Depletion'!BW5="","n/a",'NBT Depletion'!BW5)</f>
        <v>1.552310671481652E-2</v>
      </c>
      <c r="C15" s="301" t="str">
        <f>IF(B15="n/a","n/a",'T-test'!AD24)</f>
        <v>Positive</v>
      </c>
      <c r="D15" s="383" t="str">
        <f>IF(AND(B15&lt;0.1,C15="Positive"),"R","-")</f>
        <v>R</v>
      </c>
      <c r="E15" s="383" t="str">
        <f>IF(C15="Positive","-",IF(AND(B15&gt;0.03,C15="Negative"),"R",IF('NBT Depletion'!BC24+'NBT Depletion'!BD24&gt;'NBT Depletion'!BV19,"R","-")))</f>
        <v>-</v>
      </c>
      <c r="F15" s="383" t="str">
        <f>IF(OR(B15&gt;1.1,B15&lt;-0.1),"R","-")</f>
        <v>-</v>
      </c>
      <c r="G15" s="640" t="str">
        <f>IF(Interference!X26="Interference Detected","Int",IF(Interference!X26="No Interference Detected","No Int",IF(Interference!X26="Potential Interference, reading below NC/PC Blank","P-Int","-")))</f>
        <v>No Int</v>
      </c>
      <c r="H15" s="641"/>
      <c r="I15" s="277"/>
      <c r="J15" s="293" t="str">
        <f>'NBT Depletion'!CC2</f>
        <v>5-Amino-o-cresol</v>
      </c>
      <c r="K15" s="24"/>
      <c r="L15" s="24"/>
      <c r="M15" s="24"/>
      <c r="N15" s="24"/>
      <c r="O15" s="24"/>
      <c r="P15" s="299" t="s">
        <v>86</v>
      </c>
      <c r="Q15" s="300" t="str">
        <f>'Study Information'!C17</f>
        <v>10 mM</v>
      </c>
      <c r="R15" s="270"/>
      <c r="S15" s="533">
        <v>0.15</v>
      </c>
      <c r="T15" s="318">
        <f>'NBT Depletion'!AY36</f>
        <v>0.86841828912271846</v>
      </c>
      <c r="U15" s="129">
        <f>'NBT Depletion'!AZ36</f>
        <v>2.4720130535590874E-2</v>
      </c>
      <c r="V15" s="280">
        <v>0.9191567137618577</v>
      </c>
      <c r="W15" s="280">
        <v>0.71078538623772913</v>
      </c>
      <c r="X15" s="319" t="str">
        <f t="shared" si="1"/>
        <v>Pass</v>
      </c>
      <c r="Y15" s="277"/>
      <c r="Z15" s="24"/>
      <c r="AA15" s="24"/>
      <c r="AB15" s="24"/>
      <c r="AC15" s="24"/>
      <c r="AD15" s="22"/>
      <c r="AE15" s="22"/>
      <c r="AF15" s="24"/>
    </row>
    <row r="16" spans="1:32" ht="15" thickBot="1" x14ac:dyDescent="0.4">
      <c r="A16" s="297">
        <v>50</v>
      </c>
      <c r="B16" s="312">
        <f>IF('NBT Depletion'!BW6="","n/a",'NBT Depletion'!BW6)</f>
        <v>1.5709995169386592E-2</v>
      </c>
      <c r="C16" s="304" t="str">
        <f>IF(B16="n/a","n/a",'T-test'!AD34)</f>
        <v>Negative</v>
      </c>
      <c r="D16" s="390" t="str">
        <f>IF(AND(B16&lt;0.1,C16="Positive"),"R","-")</f>
        <v>-</v>
      </c>
      <c r="E16" s="304" t="str">
        <f>IF(C16="Positive","-",IF(AND(B16&gt;0.03,C16="Negative"),"R",IF('NBT Depletion'!BC34+'NBT Depletion'!BD34&gt;'NBT Depletion'!BV20,"R","-")))</f>
        <v>R</v>
      </c>
      <c r="F16" s="304" t="str">
        <f>IF(OR(B16&gt;1.1,B16&lt;-0.1),"R","-")</f>
        <v>-</v>
      </c>
      <c r="G16" s="642" t="str">
        <f>IF(Interference!X36="Interference Detected","Int",IF(Interference!X36="No Interference Detected","No Int",IF(Interference!X36="Potential Interference, reading below NC/PC Blank","P-Int","-")))</f>
        <v>Int</v>
      </c>
      <c r="H16" s="643"/>
      <c r="I16" s="277"/>
      <c r="J16" s="537" t="s">
        <v>28</v>
      </c>
      <c r="K16" s="539" t="s">
        <v>165</v>
      </c>
      <c r="L16" s="540" t="s">
        <v>159</v>
      </c>
      <c r="M16" s="541" t="s">
        <v>168</v>
      </c>
      <c r="N16" s="541" t="s">
        <v>169</v>
      </c>
      <c r="O16" s="541" t="s">
        <v>171</v>
      </c>
      <c r="P16" s="676" t="s">
        <v>149</v>
      </c>
      <c r="Q16" s="677"/>
      <c r="R16" s="278"/>
      <c r="S16" s="533">
        <v>7.4999999999999997E-2</v>
      </c>
      <c r="T16" s="318">
        <f>'NBT Depletion'!AY37</f>
        <v>0.6126058009367189</v>
      </c>
      <c r="U16" s="129">
        <f>'NBT Depletion'!AZ37</f>
        <v>2.8245956258890551E-2</v>
      </c>
      <c r="V16" s="280">
        <v>0.67041418200948688</v>
      </c>
      <c r="W16" s="280">
        <v>0.4323365670391211</v>
      </c>
      <c r="X16" s="319" t="str">
        <f t="shared" si="1"/>
        <v>Pass</v>
      </c>
      <c r="Y16" s="277"/>
      <c r="Z16" s="22"/>
      <c r="AA16" s="673" t="s">
        <v>64</v>
      </c>
      <c r="AB16" s="674"/>
      <c r="AC16" s="675"/>
      <c r="AD16" s="673" t="s">
        <v>65</v>
      </c>
      <c r="AE16" s="674"/>
      <c r="AF16" s="675"/>
    </row>
    <row r="17" spans="1:33" x14ac:dyDescent="0.35">
      <c r="A17" s="298"/>
      <c r="B17" s="305"/>
      <c r="C17" s="306"/>
      <c r="D17" s="306"/>
      <c r="E17" s="306"/>
      <c r="F17" s="306"/>
      <c r="G17" s="142"/>
      <c r="H17" s="142"/>
      <c r="I17" s="278"/>
      <c r="J17" s="295">
        <v>5</v>
      </c>
      <c r="K17" s="309">
        <f>IF('NBT Depletion'!CC3="","n/a",'NBT Depletion'!CC3)</f>
        <v>3.0754946904198166E-3</v>
      </c>
      <c r="L17" s="308" t="str">
        <f>IF(K17="n/a","n/a",'T-test'!AD10)</f>
        <v>Negative</v>
      </c>
      <c r="M17" s="308" t="str">
        <f>IF(AND(K17&lt;0.1,L17="Positive"),"R","-")</f>
        <v>-</v>
      </c>
      <c r="N17" s="413" t="str">
        <f>IF(L17="Positive","-",IF(AND(K17&gt;0.03,L17="Negative"),"R",IF('NBT Depletion'!BG7+'NBT Depletion'!BH7&gt;'NBT Depletion'!BV17,"R","-")))</f>
        <v>-</v>
      </c>
      <c r="O17" s="413" t="str">
        <f>IF(OR(K17&gt;1.1,K17&lt;-0.1),"R","-")</f>
        <v>-</v>
      </c>
      <c r="P17" s="654" t="str">
        <f>IF(Interference!X12="Interference Detected","Int",IF(Interference!X12="No Interference Detected","No Int",IF(Interference!X12="Potential Interference, reading below NC/PC Blank","P-Int","-")))</f>
        <v>Int</v>
      </c>
      <c r="Q17" s="616"/>
      <c r="R17" s="278"/>
      <c r="S17" s="533">
        <v>3.7499999999999999E-2</v>
      </c>
      <c r="T17" s="318">
        <f>'NBT Depletion'!AY38</f>
        <v>0.37502362800075612</v>
      </c>
      <c r="U17" s="129">
        <f>'NBT Depletion'!AZ38</f>
        <v>2.6108131840121309E-2</v>
      </c>
      <c r="V17" s="280">
        <v>0.42335715437344479</v>
      </c>
      <c r="W17" s="280">
        <v>0.2195689760472759</v>
      </c>
      <c r="X17" s="319" t="str">
        <f t="shared" si="1"/>
        <v>Pass</v>
      </c>
      <c r="Y17" s="277"/>
      <c r="Z17" s="24"/>
      <c r="AA17" s="530" t="s">
        <v>62</v>
      </c>
      <c r="AB17" s="530" t="s">
        <v>55</v>
      </c>
      <c r="AC17" s="530" t="s">
        <v>63</v>
      </c>
      <c r="AD17" s="530" t="s">
        <v>62</v>
      </c>
      <c r="AE17" s="530" t="s">
        <v>55</v>
      </c>
      <c r="AF17" s="530" t="s">
        <v>63</v>
      </c>
    </row>
    <row r="18" spans="1:33" ht="19" thickBot="1" x14ac:dyDescent="0.5">
      <c r="A18" s="293" t="str">
        <f>'NBT Depletion'!BX2</f>
        <v>Dicyclohexylcarbodiimide</v>
      </c>
      <c r="B18" s="22"/>
      <c r="C18" s="24"/>
      <c r="D18" s="24"/>
      <c r="E18" s="24"/>
      <c r="F18" s="24"/>
      <c r="G18" s="299" t="s">
        <v>86</v>
      </c>
      <c r="H18" s="300" t="str">
        <f>'Study Information'!C12</f>
        <v>10 mM</v>
      </c>
      <c r="I18" s="270"/>
      <c r="J18" s="296">
        <v>20</v>
      </c>
      <c r="K18" s="302">
        <f>IF('NBT Depletion'!CC4="","n/a",'NBT Depletion'!CC4)</f>
        <v>2.6584867075664625E-2</v>
      </c>
      <c r="L18" s="301" t="str">
        <f>IF(K18="n/a","n/a",'T-test'!AD20)</f>
        <v>Positive</v>
      </c>
      <c r="M18" s="383" t="str">
        <f>IF(AND(K18&lt;0.1,L18="Positive"),"R","-")</f>
        <v>R</v>
      </c>
      <c r="N18" s="383" t="str">
        <f>IF(L18="Positive","-",IF(AND(K18&gt;0.03,L18="Negative"),"R",IF('NBT Depletion'!BG17+'NBT Depletion'!BH17&gt;'NBT Depletion'!BV18,"R","-")))</f>
        <v>-</v>
      </c>
      <c r="O18" s="383" t="str">
        <f>IF(OR(K18&gt;1.1,K18&lt;-0.1),"R","-")</f>
        <v>-</v>
      </c>
      <c r="P18" s="640" t="str">
        <f>IF(Interference!X22="Interference Detected","Int",IF(Interference!X22="No Interference Detected","No Int",IF(Interference!X22="Potential Interference, reading below NC/PC Blank","P-Int","-")))</f>
        <v>Int</v>
      </c>
      <c r="Q18" s="641"/>
      <c r="R18" s="277"/>
      <c r="S18" s="533">
        <v>1.8749999999999999E-2</v>
      </c>
      <c r="T18" s="318">
        <f>'NBT Depletion'!AY39</f>
        <v>0.20448196921008963</v>
      </c>
      <c r="U18" s="129">
        <f>'NBT Depletion'!AZ39</f>
        <v>1.676786457575585E-2</v>
      </c>
      <c r="V18" s="280">
        <v>0.25247300442783277</v>
      </c>
      <c r="W18" s="280">
        <v>0.10088338912362882</v>
      </c>
      <c r="X18" s="319" t="str">
        <f t="shared" si="1"/>
        <v>Pass</v>
      </c>
      <c r="Y18" s="277"/>
      <c r="Z18" s="531" t="str">
        <f>'680 nm (Bubble) Outlier'!U14</f>
        <v>Tri-n-octylphospine oxide</v>
      </c>
      <c r="AA18" s="319">
        <v>3</v>
      </c>
      <c r="AB18" s="319">
        <f>'680 nm (Bubble) Outlier'!V14</f>
        <v>4</v>
      </c>
      <c r="AC18" s="319" t="str">
        <f>IF(AB18&lt;AA18,"Fail","Pass")</f>
        <v>Pass</v>
      </c>
      <c r="AD18" s="319">
        <v>2</v>
      </c>
      <c r="AE18" s="319">
        <f>'680 nm (Bubble) Outlier'!V24</f>
        <v>3</v>
      </c>
      <c r="AF18" s="319" t="str">
        <f>IF(AE18&lt;AD18,"Fail","Pass")</f>
        <v>Pass</v>
      </c>
    </row>
    <row r="19" spans="1:33" ht="15" thickBot="1" x14ac:dyDescent="0.4">
      <c r="A19" s="538" t="s">
        <v>28</v>
      </c>
      <c r="B19" s="539" t="s">
        <v>165</v>
      </c>
      <c r="C19" s="540" t="s">
        <v>159</v>
      </c>
      <c r="D19" s="541" t="s">
        <v>168</v>
      </c>
      <c r="E19" s="541" t="s">
        <v>169</v>
      </c>
      <c r="F19" s="541" t="s">
        <v>171</v>
      </c>
      <c r="G19" s="664" t="s">
        <v>149</v>
      </c>
      <c r="H19" s="665"/>
      <c r="I19" s="284"/>
      <c r="J19" s="296">
        <v>35</v>
      </c>
      <c r="K19" s="302">
        <f>IF('NBT Depletion'!CC5="","n/a",'NBT Depletion'!CC5)</f>
        <v>5.7434448108023173E-2</v>
      </c>
      <c r="L19" s="301" t="str">
        <f>IF(K19="n/a","n/a",'T-test'!AD30)</f>
        <v>Positive</v>
      </c>
      <c r="M19" s="383" t="str">
        <f>IF(AND(K19&lt;0.1,L19="Positive"),"R","-")</f>
        <v>R</v>
      </c>
      <c r="N19" s="383" t="str">
        <f>IF(L19="Positive","-",IF(AND(K19&gt;0.03,L19="Negative"),"R",IF('NBT Depletion'!BG27+'NBT Depletion'!BH27&gt;'NBT Depletion'!BV19,"R","-")))</f>
        <v>-</v>
      </c>
      <c r="O19" s="383" t="str">
        <f>IF(OR(K19&gt;1.1,K19&lt;-0.1),"R","-")</f>
        <v>-</v>
      </c>
      <c r="P19" s="640" t="str">
        <f>IF(Interference!X32="Interference Detected","Int",IF(Interference!X32="No Interference Detected","No Int",IF(Interference!X32="Potential Interference, reading below NC/PC Blank","P-Int","-")))</f>
        <v>Int</v>
      </c>
      <c r="Q19" s="641"/>
      <c r="R19" s="270"/>
      <c r="S19" s="533">
        <v>9.3749999999999997E-3</v>
      </c>
      <c r="T19" s="318">
        <f>'NBT Depletion'!AY40</f>
        <v>0.10450927267763011</v>
      </c>
      <c r="U19" s="129">
        <f>'NBT Depletion'!AZ40</f>
        <v>1.00318026391636E-2</v>
      </c>
      <c r="V19" s="280">
        <v>0.14594423464936812</v>
      </c>
      <c r="W19" s="280">
        <v>3.8608663352973818E-2</v>
      </c>
      <c r="X19" s="319" t="str">
        <f t="shared" si="1"/>
        <v>Pass</v>
      </c>
      <c r="Z19" s="531" t="str">
        <f>'680 nm (Bubble) Outlier'!U15</f>
        <v>Dicyclohexylcarbodiimide</v>
      </c>
      <c r="AA19" s="319">
        <v>3</v>
      </c>
      <c r="AB19" s="319">
        <f>'680 nm (Bubble) Outlier'!V15</f>
        <v>4</v>
      </c>
      <c r="AC19" s="319" t="str">
        <f t="shared" ref="AC19:AC24" si="2">IF(AB19&lt;AA19,"Fail","Pass")</f>
        <v>Pass</v>
      </c>
      <c r="AD19" s="319">
        <v>2</v>
      </c>
      <c r="AE19" s="319">
        <f>'680 nm (Bubble) Outlier'!V25</f>
        <v>3</v>
      </c>
      <c r="AF19" s="319" t="str">
        <f t="shared" ref="AF19:AF24" si="3">IF(AE19&lt;AD19,"Fail","Pass")</f>
        <v>Pass</v>
      </c>
    </row>
    <row r="20" spans="1:33" ht="15" customHeight="1" thickBot="1" x14ac:dyDescent="0.4">
      <c r="A20" s="307">
        <v>5</v>
      </c>
      <c r="B20" s="309">
        <f>IF('NBT Depletion'!BX3="","n/a",'NBT Depletion'!BX3)</f>
        <v>1.1054372424998765E-2</v>
      </c>
      <c r="C20" s="308" t="str">
        <f>IF(B20="n/a","n/a",'T-test'!AD5)</f>
        <v>Negative</v>
      </c>
      <c r="D20" s="308" t="str">
        <f>IF(AND(B20&lt;0.1,C20="Positive"),"R","-")</f>
        <v>-</v>
      </c>
      <c r="E20" s="413" t="str">
        <f>IF(C20="Positive","-",IF(AND(B20&gt;0.03,C20="Negative"),"R",IF('NBT Depletion'!BE4+'NBT Depletion'!BF4&gt;'NBT Depletion'!BV17,"R","-")))</f>
        <v>-</v>
      </c>
      <c r="F20" s="413" t="str">
        <f>IF(OR(B20&gt;1.1,B20&lt;-0.1),"R","-")</f>
        <v>-</v>
      </c>
      <c r="G20" s="654" t="str">
        <f>IF(Interference!X7="Interference Detected","Int",IF(Interference!X7="No Interference Detected","No Int",IF(Interference!X7="Potential Interference, reading below NC/PC Blank","P-Int","-")))</f>
        <v>No Int</v>
      </c>
      <c r="H20" s="616"/>
      <c r="I20" s="277"/>
      <c r="J20" s="297">
        <v>50</v>
      </c>
      <c r="K20" s="303">
        <f>IF('NBT Depletion'!CC6="","n/a",'NBT Depletion'!CC6)</f>
        <v>8.6572994770335837E-2</v>
      </c>
      <c r="L20" s="304" t="str">
        <f>IF(K20="n/a","n/a",'T-test'!AD40)</f>
        <v>Positive</v>
      </c>
      <c r="M20" s="390" t="str">
        <f>IF(AND(K20&lt;0.1,L20="Positive"),"R","-")</f>
        <v>R</v>
      </c>
      <c r="N20" s="304" t="str">
        <f>IF(L20="Positive","-",IF(AND(K20&gt;0.03,L20="Negative"),"R",IF('NBT Depletion'!BG37+'NBT Depletion'!BH37&gt;'NBT Depletion'!BV20,"R","-")))</f>
        <v>-</v>
      </c>
      <c r="O20" s="304" t="str">
        <f>IF(OR(K20&gt;1.1,K20&lt;-0.1),"R","-")</f>
        <v>-</v>
      </c>
      <c r="P20" s="642" t="str">
        <f>IF(Interference!X42="Interference Detected","Int",IF(Interference!X42="No Interference Detected","No Int",IF(Interference!X42="Potential Interference, reading below NC/PC Blank","P-Int","-")))</f>
        <v>Int</v>
      </c>
      <c r="Q20" s="643"/>
      <c r="R20" s="278"/>
      <c r="S20" s="285"/>
      <c r="T20" s="286"/>
      <c r="Z20" s="531" t="str">
        <f>'680 nm (Bubble) Outlier'!U16</f>
        <v>Triethanolamine</v>
      </c>
      <c r="AA20" s="319">
        <v>3</v>
      </c>
      <c r="AB20" s="319">
        <f>'680 nm (Bubble) Outlier'!V16</f>
        <v>4</v>
      </c>
      <c r="AC20" s="319" t="str">
        <f t="shared" si="2"/>
        <v>Pass</v>
      </c>
      <c r="AD20" s="319">
        <v>2</v>
      </c>
      <c r="AE20" s="319">
        <f>'680 nm (Bubble) Outlier'!V26</f>
        <v>3</v>
      </c>
      <c r="AF20" s="319" t="str">
        <f t="shared" si="3"/>
        <v>Pass</v>
      </c>
    </row>
    <row r="21" spans="1:33" ht="15" thickBot="1" x14ac:dyDescent="0.4">
      <c r="A21" s="296">
        <v>20</v>
      </c>
      <c r="B21" s="302">
        <f>IF('NBT Depletion'!BX4="","n/a",'NBT Depletion'!BX4)</f>
        <v>4.6304411335086199E-2</v>
      </c>
      <c r="C21" s="383" t="str">
        <f>IF(B21="n/a","n/a",'T-test'!AD15)</f>
        <v>Positive</v>
      </c>
      <c r="D21" s="383" t="str">
        <f>IF(AND(B21&lt;0.1,C21="Positive"),"R","-")</f>
        <v>R</v>
      </c>
      <c r="E21" s="383" t="str">
        <f>IF(C21="Positive","-",IF(AND(B21&gt;0.03,C21="Negative"),"R",IF('NBT Depletion'!BE14+'NBT Depletion'!BF14&gt;'NBT Depletion'!BV18,"R","-")))</f>
        <v>-</v>
      </c>
      <c r="F21" s="383" t="str">
        <f>IF(OR(B21&gt;1.1,B21&lt;-0.1),"R","-")</f>
        <v>-</v>
      </c>
      <c r="G21" s="640" t="str">
        <f>IF(Interference!X17="Interference Detected","Int",IF(Interference!X17="No Interference Detected","No Int",IF(Interference!X17="Potential Interference, reading below NC/PC Blank","P-Int","-")))</f>
        <v>No Int</v>
      </c>
      <c r="H21" s="641"/>
      <c r="I21" s="277"/>
      <c r="J21" s="277"/>
      <c r="Q21" s="278"/>
      <c r="R21" s="278"/>
      <c r="S21" s="680" t="s">
        <v>232</v>
      </c>
      <c r="T21" s="681"/>
      <c r="U21" s="681"/>
      <c r="V21" s="681"/>
      <c r="W21" s="681"/>
      <c r="X21" s="682"/>
      <c r="Z21" s="531" t="str">
        <f>'680 nm (Bubble) Outlier'!U17</f>
        <v>Pentaerythritol triacrylate</v>
      </c>
      <c r="AA21" s="319">
        <v>3</v>
      </c>
      <c r="AB21" s="319">
        <f>'680 nm (Bubble) Outlier'!V17</f>
        <v>4</v>
      </c>
      <c r="AC21" s="319" t="str">
        <f t="shared" si="2"/>
        <v>Pass</v>
      </c>
      <c r="AD21" s="319">
        <v>2</v>
      </c>
      <c r="AE21" s="319">
        <f>'680 nm (Bubble) Outlier'!V27</f>
        <v>3</v>
      </c>
      <c r="AF21" s="319" t="str">
        <f t="shared" si="3"/>
        <v>Pass</v>
      </c>
    </row>
    <row r="22" spans="1:33" ht="15" customHeight="1" x14ac:dyDescent="0.35">
      <c r="A22" s="296">
        <v>35</v>
      </c>
      <c r="B22" s="302">
        <f>IF('NBT Depletion'!BX5="","n/a",'NBT Depletion'!BX5)</f>
        <v>5.9192965928717284E-2</v>
      </c>
      <c r="C22" s="383" t="str">
        <f>IF(B22="n/a","n/a",'T-test'!AD25)</f>
        <v>Positive</v>
      </c>
      <c r="D22" s="383" t="str">
        <f>IF(AND(B22&lt;0.1,C22="Positive"),"R","-")</f>
        <v>R</v>
      </c>
      <c r="E22" s="383" t="str">
        <f>IF(C22="Positive","-",IF(AND(B22&gt;0.03,C22="Negative"),"R",IF('NBT Depletion'!BE24+'NBT Depletion'!BF24&gt;'NBT Depletion'!BV19,"R","-")))</f>
        <v>-</v>
      </c>
      <c r="F22" s="383" t="str">
        <f>IF(OR(B22&gt;1.1,B22&lt;-0.1),"R","-")</f>
        <v>-</v>
      </c>
      <c r="G22" s="640" t="str">
        <f>IF(Interference!X27="Interference Detected","Int",IF(Interference!X27="No Interference Detected","No Int",IF(Interference!X27="Potential Interference, reading below NC/PC Blank","P-Int","-")))</f>
        <v>No Int</v>
      </c>
      <c r="H22" s="641"/>
      <c r="I22" s="277"/>
      <c r="J22" s="646" t="s">
        <v>126</v>
      </c>
      <c r="K22" s="647"/>
      <c r="L22" s="647"/>
      <c r="M22" s="648"/>
      <c r="N22" s="648"/>
      <c r="O22" s="648"/>
      <c r="P22" s="649"/>
      <c r="Q22" s="278"/>
      <c r="R22" s="278"/>
      <c r="S22" s="683"/>
      <c r="T22" s="684"/>
      <c r="U22" s="684"/>
      <c r="V22" s="684"/>
      <c r="W22" s="684"/>
      <c r="X22" s="685"/>
      <c r="Z22" s="531" t="str">
        <f>'680 nm (Bubble) Outlier'!U18</f>
        <v>Clarithromycin</v>
      </c>
      <c r="AA22" s="319">
        <v>3</v>
      </c>
      <c r="AB22" s="319">
        <f>'680 nm (Bubble) Outlier'!V18</f>
        <v>4</v>
      </c>
      <c r="AC22" s="319" t="str">
        <f t="shared" si="2"/>
        <v>Pass</v>
      </c>
      <c r="AD22" s="319">
        <v>2</v>
      </c>
      <c r="AE22" s="319">
        <f>'680 nm (Bubble) Outlier'!V28</f>
        <v>3</v>
      </c>
      <c r="AF22" s="319" t="str">
        <f t="shared" si="3"/>
        <v>Pass</v>
      </c>
    </row>
    <row r="23" spans="1:33" ht="15" thickBot="1" x14ac:dyDescent="0.4">
      <c r="A23" s="297">
        <v>50</v>
      </c>
      <c r="B23" s="303">
        <f>IF('NBT Depletion'!BX6="","n/a",'NBT Depletion'!BX6)</f>
        <v>5.8786465881166899E-2</v>
      </c>
      <c r="C23" s="390" t="str">
        <f>IF(B23="n/a","n/a",'T-test'!AD35)</f>
        <v>Positive</v>
      </c>
      <c r="D23" s="390" t="str">
        <f>IF(AND(B23&lt;0.1,C23="Positive"),"R","-")</f>
        <v>R</v>
      </c>
      <c r="E23" s="304" t="str">
        <f>IF(C23="Positive","-",IF(AND(B23&gt;0.03,C23="Negative"),"R",IF('NBT Depletion'!BE34+'NBT Depletion'!BF34&gt;'NBT Depletion'!BV20,"R","-")))</f>
        <v>-</v>
      </c>
      <c r="F23" s="304" t="str">
        <f>IF(OR(B23&gt;1.1,B23&lt;-0.1),"R","-")</f>
        <v>-</v>
      </c>
      <c r="G23" s="642" t="str">
        <f>IF(Interference!X37="Interference Detected","Int",IF(Interference!X37="No Interference Detected","No Int",IF(Interference!X37="Potential Interference, reading below NC/PC Blank","P-Int","-")))</f>
        <v>No Int</v>
      </c>
      <c r="H23" s="643"/>
      <c r="I23" s="277"/>
      <c r="J23" s="650"/>
      <c r="K23" s="651"/>
      <c r="L23" s="651"/>
      <c r="M23" s="652"/>
      <c r="N23" s="652"/>
      <c r="O23" s="652"/>
      <c r="P23" s="653"/>
      <c r="Q23" s="278"/>
      <c r="R23" s="278"/>
      <c r="S23" s="686"/>
      <c r="T23" s="687"/>
      <c r="U23" s="687"/>
      <c r="V23" s="687"/>
      <c r="W23" s="687"/>
      <c r="X23" s="688"/>
      <c r="Z23" s="531" t="str">
        <f>'680 nm (Bubble) Outlier'!U19</f>
        <v>o-Benzyl-p-chlorophenol</v>
      </c>
      <c r="AA23" s="319">
        <v>3</v>
      </c>
      <c r="AB23" s="319">
        <f>'680 nm (Bubble) Outlier'!V19</f>
        <v>4</v>
      </c>
      <c r="AC23" s="319" t="str">
        <f t="shared" si="2"/>
        <v>Pass</v>
      </c>
      <c r="AD23" s="319">
        <v>2</v>
      </c>
      <c r="AE23" s="319">
        <f>'680 nm (Bubble) Outlier'!V29</f>
        <v>3</v>
      </c>
      <c r="AF23" s="319" t="str">
        <f t="shared" si="3"/>
        <v>Pass</v>
      </c>
    </row>
    <row r="24" spans="1:33" x14ac:dyDescent="0.35">
      <c r="A24" s="298"/>
      <c r="B24" s="305"/>
      <c r="C24" s="306"/>
      <c r="D24" s="306"/>
      <c r="E24" s="306"/>
      <c r="F24" s="306"/>
      <c r="G24" s="142"/>
      <c r="H24" s="142"/>
      <c r="I24" s="278"/>
      <c r="J24" s="278"/>
      <c r="K24" s="631" t="s">
        <v>178</v>
      </c>
      <c r="L24" s="632"/>
      <c r="M24" s="632"/>
      <c r="N24" s="633"/>
      <c r="O24" s="384"/>
      <c r="P24" s="385"/>
      <c r="Q24" s="278"/>
      <c r="R24" s="278"/>
      <c r="Z24" s="531" t="str">
        <f>'680 nm (Bubble) Outlier'!U20</f>
        <v>5-Amino-o-cresol</v>
      </c>
      <c r="AA24" s="319">
        <v>3</v>
      </c>
      <c r="AB24" s="319">
        <f>'680 nm (Bubble) Outlier'!V20</f>
        <v>4</v>
      </c>
      <c r="AC24" s="319" t="str">
        <f t="shared" si="2"/>
        <v>Pass</v>
      </c>
      <c r="AD24" s="319">
        <v>2</v>
      </c>
      <c r="AE24" s="319">
        <f>'680 nm (Bubble) Outlier'!V30</f>
        <v>3</v>
      </c>
      <c r="AF24" s="319" t="str">
        <f t="shared" si="3"/>
        <v>Pass</v>
      </c>
    </row>
    <row r="25" spans="1:33" ht="19" thickBot="1" x14ac:dyDescent="0.5">
      <c r="A25" s="293" t="str">
        <f>'NBT Depletion'!BY2</f>
        <v>Triethanolamine</v>
      </c>
      <c r="B25" s="24"/>
      <c r="C25" s="24"/>
      <c r="D25" s="24"/>
      <c r="E25" s="24"/>
      <c r="F25" s="24"/>
      <c r="G25" s="299" t="s">
        <v>86</v>
      </c>
      <c r="H25" s="300" t="str">
        <f>'Study Information'!C13</f>
        <v>10 mM</v>
      </c>
      <c r="I25" s="270"/>
      <c r="K25" s="634" t="s">
        <v>179</v>
      </c>
      <c r="L25" s="635"/>
      <c r="M25" s="635"/>
      <c r="N25" s="636"/>
      <c r="O25" s="392"/>
      <c r="P25" s="392"/>
    </row>
    <row r="26" spans="1:33" ht="15" thickBot="1" x14ac:dyDescent="0.4">
      <c r="A26" s="538" t="s">
        <v>28</v>
      </c>
      <c r="B26" s="539" t="s">
        <v>165</v>
      </c>
      <c r="C26" s="540" t="s">
        <v>159</v>
      </c>
      <c r="D26" s="541" t="s">
        <v>168</v>
      </c>
      <c r="E26" s="541" t="s">
        <v>169</v>
      </c>
      <c r="F26" s="541" t="s">
        <v>171</v>
      </c>
      <c r="G26" s="644" t="s">
        <v>149</v>
      </c>
      <c r="H26" s="645"/>
      <c r="I26" s="283"/>
      <c r="K26" s="637" t="s">
        <v>180</v>
      </c>
      <c r="L26" s="638"/>
      <c r="M26" s="638"/>
      <c r="N26" s="639"/>
      <c r="Q26" s="270"/>
      <c r="R26" s="270"/>
      <c r="Z26" s="655" t="s">
        <v>233</v>
      </c>
      <c r="AA26" s="656"/>
      <c r="AB26" s="656"/>
      <c r="AC26" s="656"/>
      <c r="AD26" s="656"/>
      <c r="AE26" s="656"/>
      <c r="AF26" s="656"/>
      <c r="AG26" s="657"/>
    </row>
    <row r="27" spans="1:33" ht="15" thickBot="1" x14ac:dyDescent="0.4">
      <c r="A27" s="307">
        <v>5</v>
      </c>
      <c r="B27" s="309">
        <f>IF('NBT Depletion'!BY3="","n/a",'NBT Depletion'!BY3)</f>
        <v>3.9459177160102166E-3</v>
      </c>
      <c r="C27" s="308" t="str">
        <f>IF(B27="n/a","n/a",'T-test'!AD6)</f>
        <v>Negative</v>
      </c>
      <c r="D27" s="308" t="str">
        <f>IF(AND(B27&lt;0.1,C27="Positive"),"R","-")</f>
        <v>-</v>
      </c>
      <c r="E27" s="413" t="str">
        <f>IF(C27="Positive","-",IF(AND(B27&gt;0.03,C27="Negative"),"R",IF('NBT Depletion'!BG4+'NBT Depletion'!BH4&gt;'NBT Depletion'!BH4,"R","-")))</f>
        <v>R</v>
      </c>
      <c r="F27" s="413" t="str">
        <f>IF(OR(B27&gt;1.1,B27&lt;-0.1),"R","-")</f>
        <v>-</v>
      </c>
      <c r="G27" s="654" t="str">
        <f>IF(Interference!X8="Interference Detected","Int",IF(Interference!X8="No Interference Detected","No Int",IF(Interference!X8="Potential Interference, reading below NC/PC Blank","P-Int","-")))</f>
        <v>No Int</v>
      </c>
      <c r="H27" s="616"/>
      <c r="I27" s="277"/>
      <c r="Q27" s="278"/>
      <c r="R27" s="278"/>
      <c r="Z27" s="658"/>
      <c r="AA27" s="659"/>
      <c r="AB27" s="659"/>
      <c r="AC27" s="659"/>
      <c r="AD27" s="659"/>
      <c r="AE27" s="659"/>
      <c r="AF27" s="659"/>
      <c r="AG27" s="660"/>
    </row>
    <row r="28" spans="1:33" ht="15" thickBot="1" x14ac:dyDescent="0.4">
      <c r="A28" s="296">
        <v>20</v>
      </c>
      <c r="B28" s="302">
        <f>IF('NBT Depletion'!BY4="","n/a",'NBT Depletion'!BY4)</f>
        <v>-2.9214139643587711E-3</v>
      </c>
      <c r="C28" s="383" t="str">
        <f>IF(B28="n/a","n/a",'T-test'!AD16)</f>
        <v>Negative</v>
      </c>
      <c r="D28" s="383" t="str">
        <f>IF(AND(B28&lt;0.1,C28="Positive"),"R","-")</f>
        <v>-</v>
      </c>
      <c r="E28" s="383" t="str">
        <f>IF(C28="Positive","-",IF(AND(B28&gt;0.03,C28="Negative"),"R",IF('NBT Depletion'!BG14+'NBT Depletion'!BH14&gt;'NBT Depletion'!BV18,"R","-")))</f>
        <v>-</v>
      </c>
      <c r="F28" s="383" t="str">
        <f>IF(OR(B28&gt;1.1,B28&lt;-0.1),"R","-")</f>
        <v>-</v>
      </c>
      <c r="G28" s="640" t="str">
        <f>IF(Interference!X18="Interference Detected","Int",IF(Interference!X18="No Interference Detected","No Int",IF(Interference!X18="Potential Interference, reading below NC/PC Blank","P-Int","-")))</f>
        <v>No Int</v>
      </c>
      <c r="H28" s="641"/>
      <c r="I28" s="277"/>
      <c r="J28" s="424" t="s">
        <v>166</v>
      </c>
      <c r="K28" s="666" t="s">
        <v>200</v>
      </c>
      <c r="L28" s="667"/>
      <c r="M28" s="667"/>
      <c r="N28" s="667"/>
      <c r="O28" s="667"/>
      <c r="P28" s="668"/>
      <c r="Q28" s="278"/>
      <c r="R28" s="278"/>
      <c r="Z28" s="661"/>
      <c r="AA28" s="662"/>
      <c r="AB28" s="662"/>
      <c r="AC28" s="662"/>
      <c r="AD28" s="662"/>
      <c r="AE28" s="662"/>
      <c r="AF28" s="662"/>
      <c r="AG28" s="663"/>
    </row>
    <row r="29" spans="1:33" x14ac:dyDescent="0.35">
      <c r="A29" s="296">
        <v>35</v>
      </c>
      <c r="B29" s="302">
        <f>IF('NBT Depletion'!BY5="","n/a",'NBT Depletion'!BY5)</f>
        <v>-1.9155283403987089E-3</v>
      </c>
      <c r="C29" s="383" t="str">
        <f>IF(B29="n/a","n/a",'T-test'!AD26)</f>
        <v>Negative</v>
      </c>
      <c r="D29" s="383" t="str">
        <f>IF(AND(B29&lt;0.1,C29="Positive"),"R","-")</f>
        <v>-</v>
      </c>
      <c r="E29" s="383" t="str">
        <f>IF(C29="Positive","-",IF(AND(B29&gt;0.03,C29="Negative"),"R",IF('NBT Depletion'!BG24+'NBT Depletion'!BH24&gt;'NBT Depletion'!BV19,"R","-")))</f>
        <v>-</v>
      </c>
      <c r="F29" s="383" t="str">
        <f>IF(OR(B29&gt;1.1,B29&lt;-0.1),"R","-")</f>
        <v>-</v>
      </c>
      <c r="G29" s="640" t="str">
        <f>IF(Interference!X28="Interference Detected","Int",IF(Interference!X28="No Interference Detected","No Int",IF(Interference!X28="Potential Interference, reading below NC/PC Blank","P-Int","-")))</f>
        <v>No Int</v>
      </c>
      <c r="H29" s="641"/>
      <c r="I29" s="277"/>
      <c r="J29" s="277"/>
      <c r="K29" s="669"/>
      <c r="L29" s="635"/>
      <c r="M29" s="635"/>
      <c r="N29" s="635"/>
      <c r="O29" s="635"/>
      <c r="P29" s="636"/>
      <c r="Q29" s="278"/>
      <c r="R29" s="278"/>
    </row>
    <row r="30" spans="1:33" ht="15" thickBot="1" x14ac:dyDescent="0.4">
      <c r="A30" s="297">
        <v>50</v>
      </c>
      <c r="B30" s="303">
        <f>IF('NBT Depletion'!BY6="","n/a",'NBT Depletion'!BY6)</f>
        <v>-6.0907735282378361E-4</v>
      </c>
      <c r="C30" s="390" t="str">
        <f>IF(B30="n/a","n/a",'T-test'!AD36)</f>
        <v>Negative</v>
      </c>
      <c r="D30" s="390" t="str">
        <f>IF(AND(B30&lt;0.1,C30="Positive"),"R","-")</f>
        <v>-</v>
      </c>
      <c r="E30" s="304" t="str">
        <f>IF(C30="Positive","-",IF(AND(B30&gt;0.03,C30="Negative"),"R",IF('NBT Depletion'!BG34+'NBT Depletion'!BG34&gt;'NBT Depletion'!BV20,"R","-")))</f>
        <v>-</v>
      </c>
      <c r="F30" s="304" t="str">
        <f>IF(OR(B30&gt;1.1,B30&lt;-0.1),"R","-")</f>
        <v>-</v>
      </c>
      <c r="G30" s="642" t="str">
        <f>IF(Interference!X38="Interference Detected","Int",IF(Interference!X38="No Interference Detected","No Int",IF(Interference!X38="Potential Interference, reading below NC/PC Blank","P-Int","-")))</f>
        <v>No Int</v>
      </c>
      <c r="H30" s="643"/>
      <c r="I30" s="277"/>
      <c r="J30" s="277"/>
      <c r="K30" s="669"/>
      <c r="L30" s="635"/>
      <c r="M30" s="635"/>
      <c r="N30" s="635"/>
      <c r="O30" s="635"/>
      <c r="P30" s="636"/>
      <c r="Q30" s="278"/>
      <c r="R30" s="278"/>
    </row>
    <row r="31" spans="1:33" ht="15" thickBot="1" x14ac:dyDescent="0.4">
      <c r="A31" s="298"/>
      <c r="B31" s="305"/>
      <c r="C31" s="306"/>
      <c r="D31" s="306"/>
      <c r="E31" s="306"/>
      <c r="F31" s="306"/>
      <c r="G31" s="142"/>
      <c r="H31" s="142"/>
      <c r="I31" s="278"/>
      <c r="J31" s="277"/>
      <c r="K31" s="669"/>
      <c r="L31" s="635"/>
      <c r="M31" s="635"/>
      <c r="N31" s="635"/>
      <c r="O31" s="635"/>
      <c r="P31" s="636"/>
      <c r="Q31" s="278"/>
      <c r="R31" s="278"/>
    </row>
    <row r="32" spans="1:33" ht="19" thickBot="1" x14ac:dyDescent="0.5">
      <c r="A32" s="293" t="str">
        <f>'NBT Depletion'!BZ2</f>
        <v>Pentaerythritol triacrylate</v>
      </c>
      <c r="B32" s="24"/>
      <c r="C32" s="24"/>
      <c r="D32" s="24"/>
      <c r="E32" s="24"/>
      <c r="F32" s="24"/>
      <c r="G32" s="299" t="s">
        <v>86</v>
      </c>
      <c r="H32" s="300" t="str">
        <f>'Study Information'!C14</f>
        <v>10 mM</v>
      </c>
      <c r="I32" s="270"/>
      <c r="J32" s="430" t="s">
        <v>175</v>
      </c>
      <c r="K32" s="425" t="s">
        <v>172</v>
      </c>
      <c r="L32" s="426"/>
      <c r="M32" s="426"/>
      <c r="N32" s="426"/>
      <c r="O32" s="426"/>
      <c r="P32" s="427"/>
    </row>
    <row r="33" spans="1:32" ht="15" thickBot="1" x14ac:dyDescent="0.4">
      <c r="A33" s="538" t="s">
        <v>28</v>
      </c>
      <c r="B33" s="539" t="s">
        <v>165</v>
      </c>
      <c r="C33" s="540" t="s">
        <v>159</v>
      </c>
      <c r="D33" s="541" t="s">
        <v>168</v>
      </c>
      <c r="E33" s="541" t="s">
        <v>169</v>
      </c>
      <c r="F33" s="541" t="s">
        <v>171</v>
      </c>
      <c r="G33" s="664" t="s">
        <v>149</v>
      </c>
      <c r="H33" s="665"/>
      <c r="I33" s="284"/>
      <c r="J33" s="431" t="s">
        <v>176</v>
      </c>
      <c r="K33" s="428" t="s">
        <v>173</v>
      </c>
      <c r="L33" s="408"/>
      <c r="M33" s="408"/>
      <c r="N33" s="408"/>
      <c r="O33" s="408"/>
      <c r="P33" s="409"/>
    </row>
    <row r="34" spans="1:32" x14ac:dyDescent="0.35">
      <c r="A34" s="307">
        <v>5</v>
      </c>
      <c r="B34" s="309">
        <f>IF('NBT Depletion'!BZ3="","n/a",'NBT Depletion'!BZ3)</f>
        <v>1.3085359484709819E-2</v>
      </c>
      <c r="C34" s="308" t="str">
        <f>IF(B34="n/a","n/a",'T-test'!AD7)</f>
        <v>Negative</v>
      </c>
      <c r="D34" s="308" t="str">
        <f>IF(AND(B34&lt;0.1,C34="Positive"),"R","-")</f>
        <v>-</v>
      </c>
      <c r="E34" s="413" t="str">
        <f>IF(C34="Positive","-",IF(AND(B34&gt;0.03,C34="Negative"),"R",IF('NBT Depletion'!BA7+'NBT Depletion'!BB7&gt;'NBT Depletion'!BV17,"R","-")))</f>
        <v>-</v>
      </c>
      <c r="F34" s="413" t="str">
        <f>IF(OR(B34&gt;1.1,B34&lt;-0.1),"R","-")</f>
        <v>-</v>
      </c>
      <c r="G34" s="654" t="str">
        <f>IF(Interference!X9="Interference Detected","Int",IF(Interference!X9="No Interference Detected","No Int",IF(Interference!X9="Potential Interference, reading below NC/PC Blank","P-Int","-")))</f>
        <v>No Int</v>
      </c>
      <c r="H34" s="616"/>
      <c r="I34" s="277"/>
      <c r="J34" s="433"/>
      <c r="K34" s="434"/>
      <c r="L34" s="670" t="s">
        <v>181</v>
      </c>
      <c r="M34" s="671"/>
      <c r="N34" s="671"/>
      <c r="O34" s="671"/>
      <c r="P34" s="672"/>
    </row>
    <row r="35" spans="1:32" x14ac:dyDescent="0.35">
      <c r="A35" s="296">
        <v>20</v>
      </c>
      <c r="B35" s="302">
        <f>IF('NBT Depletion'!BZ4="","n/a",'NBT Depletion'!BZ4)</f>
        <v>2.527023079170318E-2</v>
      </c>
      <c r="C35" s="383" t="str">
        <f>IF(B35="n/a","n/a",'T-test'!AD17)</f>
        <v>Positive</v>
      </c>
      <c r="D35" s="383" t="str">
        <f>IF(AND(B35&lt;0.1,C35="Positive"),"R","-")</f>
        <v>R</v>
      </c>
      <c r="E35" s="383" t="str">
        <f>IF(C35="Positive","-",IF(AND(B35&gt;0.03,C35="Negative"),"R",IF('NBT Depletion'!BA17+'NBT Depletion'!BB17&gt;'NBT Depletion'!BV18,"R","-")))</f>
        <v>-</v>
      </c>
      <c r="F35" s="383" t="str">
        <f>IF(OR(B35&gt;1.1,B35&lt;-0.1),"R","-")</f>
        <v>-</v>
      </c>
      <c r="G35" s="640" t="str">
        <f>IF(Interference!X19="Interference Detected","Int",IF(Interference!X19="No Interference Detected","No Int",IF(Interference!X19="Potential Interference, reading below NC/PC Blank","P-Int","-")))</f>
        <v>No Int</v>
      </c>
      <c r="H35" s="641"/>
      <c r="I35" s="277"/>
      <c r="J35" s="433"/>
      <c r="K35" s="434"/>
      <c r="L35" s="671"/>
      <c r="M35" s="671"/>
      <c r="N35" s="671"/>
      <c r="O35" s="671"/>
      <c r="P35" s="672"/>
    </row>
    <row r="36" spans="1:32" ht="15" thickBot="1" x14ac:dyDescent="0.4">
      <c r="A36" s="296">
        <v>35</v>
      </c>
      <c r="B36" s="302">
        <f>IF('NBT Depletion'!BZ5="","n/a",'NBT Depletion'!BZ5)</f>
        <v>4.1168158266603888E-2</v>
      </c>
      <c r="C36" s="383" t="str">
        <f>IF(B36="n/a","n/a",'T-test'!AD27)</f>
        <v>Positive</v>
      </c>
      <c r="D36" s="383" t="str">
        <f>IF(AND(B36&lt;0.1,C36="Positive"),"R","-")</f>
        <v>R</v>
      </c>
      <c r="E36" s="383" t="str">
        <f>IF(C36="Positive","-",IF(AND(B36&gt;0.03,C36="Negative"),"R",IF('NBT Depletion'!BA27+'NBT Depletion'!BB27&gt;'NBT Depletion'!BV19,"R","-")))</f>
        <v>-</v>
      </c>
      <c r="F36" s="383" t="str">
        <f>IF(OR(B36&gt;1.1,B36&lt;-0.1),"R","-")</f>
        <v>-</v>
      </c>
      <c r="G36" s="640" t="str">
        <f>IF(Interference!X29="Interference Detected","Int",IF(Interference!X29="No Interference Detected","No Int",IF(Interference!X29="Potential Interference, reading below NC/PC Blank","P-Int","-")))</f>
        <v>No Int</v>
      </c>
      <c r="H36" s="641"/>
      <c r="I36" s="277"/>
      <c r="J36" s="432" t="s">
        <v>177</v>
      </c>
      <c r="K36" s="429" t="s">
        <v>186</v>
      </c>
      <c r="L36" s="410"/>
      <c r="M36" s="410"/>
      <c r="N36" s="410"/>
      <c r="O36" s="410"/>
      <c r="P36" s="411"/>
    </row>
    <row r="37" spans="1:32" ht="15" thickBot="1" x14ac:dyDescent="0.4">
      <c r="A37" s="297">
        <v>50</v>
      </c>
      <c r="B37" s="303">
        <f>IF('NBT Depletion'!BZ6="","n/a",'NBT Depletion'!BZ6)</f>
        <v>5.8933484552538273E-2</v>
      </c>
      <c r="C37" s="390" t="str">
        <f>IF(B37="n/a","n/a",'T-test'!AD37)</f>
        <v>Positive</v>
      </c>
      <c r="D37" s="390" t="str">
        <f>IF(AND(B37&lt;0.1,C37="Positive"),"R","-")</f>
        <v>R</v>
      </c>
      <c r="E37" s="304" t="str">
        <f>IF(C37="Positive","-",IF(AND(B37&gt;0.03,C37="Negative"),"R",IF('NBT Depletion'!BA37+'NBT Depletion'!BB37&gt;'NBT Depletion'!BV20,"R","-")))</f>
        <v>-</v>
      </c>
      <c r="F37" s="304" t="str">
        <f>IF(OR(B37&gt;1.1,B37&lt;-0.1),"R","-")</f>
        <v>-</v>
      </c>
      <c r="G37" s="642" t="str">
        <f>IF(Interference!X39="Interference Detected","Int",IF(Interference!X39="No Interference Detected","No Int",IF(Interference!X39="Potential Interference, reading below NC/PC Blank","P-Int","-")))</f>
        <v>No Int</v>
      </c>
      <c r="H37" s="643"/>
      <c r="I37" s="277"/>
      <c r="J37" s="289"/>
      <c r="K37" s="407" t="s">
        <v>174</v>
      </c>
      <c r="L37" s="407"/>
      <c r="M37" s="407"/>
      <c r="N37" s="407"/>
      <c r="O37" s="407"/>
      <c r="P37" s="407"/>
    </row>
    <row r="38" spans="1:32" x14ac:dyDescent="0.35">
      <c r="A38" s="24"/>
      <c r="B38" s="24"/>
      <c r="C38" s="24"/>
      <c r="D38" s="24"/>
      <c r="E38" s="24"/>
      <c r="F38" s="24"/>
      <c r="G38" s="24"/>
      <c r="H38" s="24"/>
      <c r="Q38" s="288"/>
      <c r="R38" s="288"/>
    </row>
    <row r="39" spans="1:32" x14ac:dyDescent="0.35">
      <c r="A39" s="24"/>
      <c r="B39" s="24"/>
      <c r="C39" s="24"/>
      <c r="D39" s="24"/>
      <c r="E39" s="24"/>
      <c r="F39" s="24"/>
      <c r="G39" s="24"/>
      <c r="H39" s="24"/>
      <c r="Q39" s="288"/>
      <c r="R39" s="288"/>
      <c r="Z39" s="499" t="s">
        <v>35</v>
      </c>
      <c r="AA39" s="287"/>
      <c r="AB39" s="287"/>
      <c r="AC39" s="287"/>
      <c r="AE39" s="269" t="s">
        <v>29</v>
      </c>
      <c r="AF39" s="287"/>
    </row>
    <row r="40" spans="1:32" x14ac:dyDescent="0.35">
      <c r="Q40" s="288"/>
      <c r="R40" s="288"/>
      <c r="Z40" s="498"/>
    </row>
    <row r="41" spans="1:32" x14ac:dyDescent="0.35">
      <c r="Q41" s="288"/>
      <c r="R41" s="288"/>
      <c r="Z41" s="498"/>
    </row>
    <row r="42" spans="1:32" x14ac:dyDescent="0.35">
      <c r="H42" s="289"/>
      <c r="I42" s="289"/>
      <c r="Q42" s="290"/>
      <c r="R42" s="290"/>
      <c r="Z42" s="497"/>
    </row>
    <row r="43" spans="1:32" x14ac:dyDescent="0.35">
      <c r="Z43" s="499" t="s">
        <v>30</v>
      </c>
      <c r="AA43" s="287"/>
      <c r="AB43" s="287"/>
      <c r="AC43" s="287"/>
      <c r="AE43" s="269" t="s">
        <v>29</v>
      </c>
      <c r="AF43" s="287"/>
    </row>
    <row r="45" spans="1:32" x14ac:dyDescent="0.35">
      <c r="H45" s="289"/>
      <c r="I45" s="289"/>
      <c r="J45" s="289"/>
    </row>
  </sheetData>
  <sheetProtection algorithmName="SHA-512" hashValue="KDPyAio7NKk/eM3MxmGAa0AAQb1nyjKAY/TfoRKGpql3e8W6w0d77aRhDmxc21aW9KNoeUGWznM1Q2c9LaXaLA==" saltValue="WT/aqkwktuQc8HS5nU1Pow==" spinCount="100000" sheet="1" objects="1" scenarios="1"/>
  <mergeCells count="45">
    <mergeCell ref="S21:X23"/>
    <mergeCell ref="G19:H19"/>
    <mergeCell ref="G20:H20"/>
    <mergeCell ref="P17:Q17"/>
    <mergeCell ref="P18:Q18"/>
    <mergeCell ref="P19:Q19"/>
    <mergeCell ref="P20:Q20"/>
    <mergeCell ref="G12:H12"/>
    <mergeCell ref="G13:H13"/>
    <mergeCell ref="G14:H14"/>
    <mergeCell ref="G15:H15"/>
    <mergeCell ref="G16:H16"/>
    <mergeCell ref="AA16:AC16"/>
    <mergeCell ref="AD16:AF16"/>
    <mergeCell ref="P2:Q2"/>
    <mergeCell ref="P3:Q3"/>
    <mergeCell ref="P4:Q4"/>
    <mergeCell ref="P5:Q5"/>
    <mergeCell ref="P6:Q6"/>
    <mergeCell ref="P9:Q9"/>
    <mergeCell ref="P10:Q10"/>
    <mergeCell ref="P11:Q11"/>
    <mergeCell ref="P12:Q12"/>
    <mergeCell ref="P13:Q13"/>
    <mergeCell ref="P16:Q16"/>
    <mergeCell ref="G27:H27"/>
    <mergeCell ref="Z26:AG28"/>
    <mergeCell ref="G35:H35"/>
    <mergeCell ref="G36:H36"/>
    <mergeCell ref="G37:H37"/>
    <mergeCell ref="G28:H28"/>
    <mergeCell ref="G29:H29"/>
    <mergeCell ref="G30:H30"/>
    <mergeCell ref="G33:H33"/>
    <mergeCell ref="G34:H34"/>
    <mergeCell ref="K28:P31"/>
    <mergeCell ref="L34:P35"/>
    <mergeCell ref="K24:N24"/>
    <mergeCell ref="K25:N25"/>
    <mergeCell ref="K26:N26"/>
    <mergeCell ref="G21:H21"/>
    <mergeCell ref="G22:H22"/>
    <mergeCell ref="G23:H23"/>
    <mergeCell ref="G26:H26"/>
    <mergeCell ref="J22:P23"/>
  </mergeCells>
  <conditionalFormatting sqref="H11:I11 C12:F12">
    <cfRule type="top10" priority="441" rank="10"/>
  </conditionalFormatting>
  <conditionalFormatting sqref="G17:I17 G24:J24 G31:I31 Q27:R31 Q14:R14 Q21:R24 R16:R17 R20 G13:G16">
    <cfRule type="containsText" dxfId="172" priority="422" operator="containsText" text="Y">
      <formula>NOT(ISERROR(SEARCH("Y",G13)))</formula>
    </cfRule>
  </conditionalFormatting>
  <conditionalFormatting sqref="O24 L3:L6 L10:L13 L17:L20 C17:F17 C13:D16 F13:F16">
    <cfRule type="containsText" dxfId="171" priority="329" operator="containsText" text="n">
      <formula>NOT(ISERROR(SEARCH("n",C3)))</formula>
    </cfRule>
    <cfRule type="containsText" dxfId="170" priority="330" operator="containsText" text="p">
      <formula>NOT(ISERROR(SEARCH("p",C3)))</formula>
    </cfRule>
  </conditionalFormatting>
  <conditionalFormatting sqref="O24 L3:L6 L10:L13 L17:L20 C17:F17 C13:D16 F13:F16">
    <cfRule type="containsText" dxfId="169" priority="328" operator="containsText" text="n/a">
      <formula>NOT(ISERROR(SEARCH("n/a",C3)))</formula>
    </cfRule>
  </conditionalFormatting>
  <conditionalFormatting sqref="R19">
    <cfRule type="top10" priority="275" rank="10"/>
  </conditionalFormatting>
  <conditionalFormatting sqref="Q26:R26">
    <cfRule type="top10" priority="272" rank="10"/>
  </conditionalFormatting>
  <conditionalFormatting sqref="Y11:Y18 Y5:Y6 X13:X19 X3:X5">
    <cfRule type="containsText" dxfId="168" priority="269" operator="containsText" text="Pass">
      <formula>NOT(ISERROR(SEARCH("Pass",X3)))</formula>
    </cfRule>
    <cfRule type="containsText" dxfId="167" priority="270" operator="containsText" text="Fail">
      <formula>NOT(ISERROR(SEARCH("Fail",X3)))</formula>
    </cfRule>
  </conditionalFormatting>
  <conditionalFormatting sqref="AC18:AC24 AF18:AF24">
    <cfRule type="containsText" dxfId="166" priority="267" operator="containsText" text="Pass">
      <formula>NOT(ISERROR(SEARCH("Pass",AC18)))</formula>
    </cfRule>
    <cfRule type="containsText" dxfId="165" priority="268" operator="containsText" text="Fail">
      <formula>NOT(ISERROR(SEARCH("Fail",AC18)))</formula>
    </cfRule>
  </conditionalFormatting>
  <conditionalFormatting sqref="AC3:AC4">
    <cfRule type="containsText" dxfId="164" priority="265" operator="containsText" text="Pass">
      <formula>NOT(ISERROR(SEARCH("Pass",AC3)))</formula>
    </cfRule>
    <cfRule type="containsText" dxfId="163" priority="266" operator="containsText" text="Fail">
      <formula>NOT(ISERROR(SEARCH("Fail",AC3)))</formula>
    </cfRule>
  </conditionalFormatting>
  <conditionalFormatting sqref="AC8:AC14">
    <cfRule type="containsText" dxfId="162" priority="263" operator="containsText" text="Pass">
      <formula>NOT(ISERROR(SEARCH("Pass",AC8)))</formula>
    </cfRule>
    <cfRule type="containsText" dxfId="161" priority="264" operator="containsText" text="Fail">
      <formula>NOT(ISERROR(SEARCH("Fail",AC8)))</formula>
    </cfRule>
  </conditionalFormatting>
  <conditionalFormatting sqref="C24:F24 C20:C23">
    <cfRule type="containsText" dxfId="160" priority="235" operator="containsText" text="n">
      <formula>NOT(ISERROR(SEARCH("n",C20)))</formula>
    </cfRule>
    <cfRule type="containsText" dxfId="159" priority="236" operator="containsText" text="p">
      <formula>NOT(ISERROR(SEARCH("p",C20)))</formula>
    </cfRule>
  </conditionalFormatting>
  <conditionalFormatting sqref="C24:F24 C20:C23">
    <cfRule type="containsText" dxfId="158" priority="234" operator="containsText" text="n/a">
      <formula>NOT(ISERROR(SEARCH("n/a",C20)))</formula>
    </cfRule>
  </conditionalFormatting>
  <conditionalFormatting sqref="C31:F31 C27:C30">
    <cfRule type="containsText" dxfId="157" priority="226" operator="containsText" text="n">
      <formula>NOT(ISERROR(SEARCH("n",C27)))</formula>
    </cfRule>
    <cfRule type="containsText" dxfId="156" priority="227" operator="containsText" text="p">
      <formula>NOT(ISERROR(SEARCH("p",C27)))</formula>
    </cfRule>
  </conditionalFormatting>
  <conditionalFormatting sqref="C31:F31 C27:C30">
    <cfRule type="containsText" dxfId="155" priority="225" operator="containsText" text="n/a">
      <formula>NOT(ISERROR(SEARCH("n/a",C27)))</formula>
    </cfRule>
  </conditionalFormatting>
  <conditionalFormatting sqref="C34:C37">
    <cfRule type="containsText" dxfId="154" priority="220" operator="containsText" text="n">
      <formula>NOT(ISERROR(SEARCH("n",C34)))</formula>
    </cfRule>
    <cfRule type="containsText" dxfId="153" priority="221" operator="containsText" text="p">
      <formula>NOT(ISERROR(SEARCH("p",C34)))</formula>
    </cfRule>
  </conditionalFormatting>
  <conditionalFormatting sqref="C34:C37">
    <cfRule type="containsText" dxfId="152" priority="219" operator="containsText" text="n/a">
      <formula>NOT(ISERROR(SEARCH("n/a",C34)))</formula>
    </cfRule>
  </conditionalFormatting>
  <conditionalFormatting sqref="O24 C24:F24 C31:F31 C34:C37 L3:L6 L10:L13 L17:L20 C17:F17 C20:C23 C27:C30 C13:D16 F13:F16">
    <cfRule type="containsText" dxfId="151" priority="218" operator="containsText" text="Strong Positive">
      <formula>NOT(ISERROR(SEARCH("Strong Positive",C3)))</formula>
    </cfRule>
  </conditionalFormatting>
  <conditionalFormatting sqref="C24:F24 C20:C23">
    <cfRule type="containsText" dxfId="150" priority="213" operator="containsText" text="n">
      <formula>NOT(ISERROR(SEARCH("n",C20)))</formula>
    </cfRule>
    <cfRule type="containsText" dxfId="149" priority="214" operator="containsText" text="p">
      <formula>NOT(ISERROR(SEARCH("p",C20)))</formula>
    </cfRule>
  </conditionalFormatting>
  <conditionalFormatting sqref="C24:F24 C20:C23">
    <cfRule type="containsText" dxfId="148" priority="212" operator="containsText" text="n/a">
      <formula>NOT(ISERROR(SEARCH("n/a",C20)))</formula>
    </cfRule>
  </conditionalFormatting>
  <conditionalFormatting sqref="C31:F31 C27:C30">
    <cfRule type="containsText" dxfId="147" priority="207" operator="containsText" text="n">
      <formula>NOT(ISERROR(SEARCH("n",C27)))</formula>
    </cfRule>
    <cfRule type="containsText" dxfId="146" priority="208" operator="containsText" text="p">
      <formula>NOT(ISERROR(SEARCH("p",C27)))</formula>
    </cfRule>
  </conditionalFormatting>
  <conditionalFormatting sqref="C31:F31 C27:C30">
    <cfRule type="containsText" dxfId="145" priority="206" operator="containsText" text="n/a">
      <formula>NOT(ISERROR(SEARCH("n/a",C27)))</formula>
    </cfRule>
  </conditionalFormatting>
  <conditionalFormatting sqref="C34:C37">
    <cfRule type="containsText" dxfId="144" priority="201" operator="containsText" text="n">
      <formula>NOT(ISERROR(SEARCH("n",C34)))</formula>
    </cfRule>
    <cfRule type="containsText" dxfId="143" priority="202" operator="containsText" text="p">
      <formula>NOT(ISERROR(SEARCH("p",C34)))</formula>
    </cfRule>
  </conditionalFormatting>
  <conditionalFormatting sqref="C34:C37">
    <cfRule type="containsText" dxfId="142" priority="200" operator="containsText" text="n/a">
      <formula>NOT(ISERROR(SEARCH("n/a",C34)))</formula>
    </cfRule>
  </conditionalFormatting>
  <conditionalFormatting sqref="O24 C24:F24 C31:F31 C34:C37 L3:L6 L10:L13 L17:L20 C17:F17 C20:C23 C27:C30 C13:D16 F13:F16">
    <cfRule type="containsText" dxfId="141" priority="199" operator="containsText" text="Strong">
      <formula>NOT(ISERROR(SEARCH("Strong",C3)))</formula>
    </cfRule>
  </conditionalFormatting>
  <conditionalFormatting sqref="C24:F24 C20:C23">
    <cfRule type="containsText" dxfId="140" priority="191" operator="containsText" text="n">
      <formula>NOT(ISERROR(SEARCH("n",C20)))</formula>
    </cfRule>
    <cfRule type="containsText" dxfId="139" priority="192" operator="containsText" text="p">
      <formula>NOT(ISERROR(SEARCH("p",C20)))</formula>
    </cfRule>
  </conditionalFormatting>
  <conditionalFormatting sqref="C24:F24 C20:C23">
    <cfRule type="containsText" dxfId="138" priority="190" operator="containsText" text="n/a">
      <formula>NOT(ISERROR(SEARCH("n/a",C20)))</formula>
    </cfRule>
  </conditionalFormatting>
  <conditionalFormatting sqref="C31:F31 C27:C30">
    <cfRule type="containsText" dxfId="137" priority="188" operator="containsText" text="n">
      <formula>NOT(ISERROR(SEARCH("n",C27)))</formula>
    </cfRule>
    <cfRule type="containsText" dxfId="136" priority="189" operator="containsText" text="p">
      <formula>NOT(ISERROR(SEARCH("p",C27)))</formula>
    </cfRule>
  </conditionalFormatting>
  <conditionalFormatting sqref="C31:F31 C27:C30">
    <cfRule type="containsText" dxfId="135" priority="187" operator="containsText" text="n/a">
      <formula>NOT(ISERROR(SEARCH("n/a",C27)))</formula>
    </cfRule>
  </conditionalFormatting>
  <conditionalFormatting sqref="C34:C37">
    <cfRule type="containsText" dxfId="134" priority="182" operator="containsText" text="n">
      <formula>NOT(ISERROR(SEARCH("n",C34)))</formula>
    </cfRule>
    <cfRule type="containsText" dxfId="133" priority="183" operator="containsText" text="p">
      <formula>NOT(ISERROR(SEARCH("p",C34)))</formula>
    </cfRule>
  </conditionalFormatting>
  <conditionalFormatting sqref="C34:C37">
    <cfRule type="containsText" dxfId="132" priority="181" operator="containsText" text="n/a">
      <formula>NOT(ISERROR(SEARCH("n/a",C34)))</formula>
    </cfRule>
  </conditionalFormatting>
  <conditionalFormatting sqref="C24:F24 C20:C23">
    <cfRule type="containsText" dxfId="131" priority="176" operator="containsText" text="n">
      <formula>NOT(ISERROR(SEARCH("n",C20)))</formula>
    </cfRule>
    <cfRule type="containsText" dxfId="130" priority="177" operator="containsText" text="p">
      <formula>NOT(ISERROR(SEARCH("p",C20)))</formula>
    </cfRule>
  </conditionalFormatting>
  <conditionalFormatting sqref="C24:F24 C20:C23">
    <cfRule type="containsText" dxfId="129" priority="175" operator="containsText" text="n/a">
      <formula>NOT(ISERROR(SEARCH("n/a",C20)))</formula>
    </cfRule>
  </conditionalFormatting>
  <conditionalFormatting sqref="C31:F31 C27:C30">
    <cfRule type="containsText" dxfId="128" priority="167" operator="containsText" text="n">
      <formula>NOT(ISERROR(SEARCH("n",C27)))</formula>
    </cfRule>
    <cfRule type="containsText" dxfId="127" priority="168" operator="containsText" text="p">
      <formula>NOT(ISERROR(SEARCH("p",C27)))</formula>
    </cfRule>
  </conditionalFormatting>
  <conditionalFormatting sqref="C31:F31 C27:C30">
    <cfRule type="containsText" dxfId="126" priority="166" operator="containsText" text="n/a">
      <formula>NOT(ISERROR(SEARCH("n/a",C27)))</formula>
    </cfRule>
  </conditionalFormatting>
  <conditionalFormatting sqref="C34:C37">
    <cfRule type="containsText" dxfId="125" priority="164" operator="containsText" text="n">
      <formula>NOT(ISERROR(SEARCH("n",C34)))</formula>
    </cfRule>
    <cfRule type="containsText" dxfId="124" priority="165" operator="containsText" text="p">
      <formula>NOT(ISERROR(SEARCH("p",C34)))</formula>
    </cfRule>
  </conditionalFormatting>
  <conditionalFormatting sqref="C34:C37">
    <cfRule type="containsText" dxfId="123" priority="163" operator="containsText" text="n/a">
      <formula>NOT(ISERROR(SEARCH("n/a",C34)))</formula>
    </cfRule>
  </conditionalFormatting>
  <conditionalFormatting sqref="G12">
    <cfRule type="top10" priority="520" rank="10"/>
  </conditionalFormatting>
  <conditionalFormatting sqref="G19">
    <cfRule type="top10" priority="161" rank="10"/>
  </conditionalFormatting>
  <conditionalFormatting sqref="G26">
    <cfRule type="top10" priority="160" rank="10"/>
  </conditionalFormatting>
  <conditionalFormatting sqref="G33">
    <cfRule type="top10" priority="159" rank="10"/>
  </conditionalFormatting>
  <conditionalFormatting sqref="P2">
    <cfRule type="top10" priority="156" rank="10"/>
  </conditionalFormatting>
  <conditionalFormatting sqref="X8:X9">
    <cfRule type="containsText" dxfId="122" priority="154" operator="containsText" text="Pass">
      <formula>NOT(ISERROR(SEARCH("Pass",X8)))</formula>
    </cfRule>
    <cfRule type="containsText" dxfId="121" priority="155" operator="containsText" text="Fail">
      <formula>NOT(ISERROR(SEARCH("Fail",X8)))</formula>
    </cfRule>
  </conditionalFormatting>
  <conditionalFormatting sqref="G13:G16">
    <cfRule type="containsText" dxfId="120" priority="145" operator="containsText" text="No">
      <formula>NOT(ISERROR(SEARCH("No",G13)))</formula>
    </cfRule>
    <cfRule type="containsText" dxfId="119" priority="146" operator="containsText" text="Interference Detected">
      <formula>NOT(ISERROR(SEARCH("Interference Detected",G13)))</formula>
    </cfRule>
    <cfRule type="containsText" dxfId="118" priority="147" operator="containsText" text="Potential Interference">
      <formula>NOT(ISERROR(SEARCH("Potential Interference",G13)))</formula>
    </cfRule>
  </conditionalFormatting>
  <conditionalFormatting sqref="C20:C23 C27:C30 C34:C37 L3:L6 L10:L13 L17:L20 C13:D16 F13:F16">
    <cfRule type="containsText" dxfId="117" priority="144" operator="containsText" text="Strong">
      <formula>NOT(ISERROR(SEARCH("Strong",C3)))</formula>
    </cfRule>
  </conditionalFormatting>
  <conditionalFormatting sqref="L2">
    <cfRule type="top10" priority="143" rank="10"/>
  </conditionalFormatting>
  <conditionalFormatting sqref="L9">
    <cfRule type="top10" priority="142" rank="10"/>
  </conditionalFormatting>
  <conditionalFormatting sqref="L16">
    <cfRule type="top10" priority="141" rank="10"/>
  </conditionalFormatting>
  <conditionalFormatting sqref="C19">
    <cfRule type="top10" priority="140" rank="10"/>
  </conditionalFormatting>
  <conditionalFormatting sqref="C26">
    <cfRule type="top10" priority="139" rank="10"/>
  </conditionalFormatting>
  <conditionalFormatting sqref="C33">
    <cfRule type="top10" priority="136" rank="10"/>
  </conditionalFormatting>
  <conditionalFormatting sqref="J33">
    <cfRule type="containsText" dxfId="116" priority="128" operator="containsText" text="Y">
      <formula>NOT(ISERROR(SEARCH("Y",J33)))</formula>
    </cfRule>
  </conditionalFormatting>
  <conditionalFormatting sqref="P17:P20">
    <cfRule type="containsText" dxfId="115" priority="104" operator="containsText" text="No">
      <formula>NOT(ISERROR(SEARCH("No",P17)))</formula>
    </cfRule>
    <cfRule type="containsText" dxfId="114" priority="105" operator="containsText" text="Interference Detected">
      <formula>NOT(ISERROR(SEARCH("Interference Detected",P17)))</formula>
    </cfRule>
    <cfRule type="containsText" dxfId="113" priority="106" operator="containsText" text="Potential Interference">
      <formula>NOT(ISERROR(SEARCH("Potential Interference",P17)))</formula>
    </cfRule>
  </conditionalFormatting>
  <conditionalFormatting sqref="G20:G23">
    <cfRule type="containsText" dxfId="112" priority="127" operator="containsText" text="Y">
      <formula>NOT(ISERROR(SEARCH("Y",G20)))</formula>
    </cfRule>
  </conditionalFormatting>
  <conditionalFormatting sqref="G20:G23">
    <cfRule type="containsText" dxfId="111" priority="124" operator="containsText" text="No">
      <formula>NOT(ISERROR(SEARCH("No",G20)))</formula>
    </cfRule>
    <cfRule type="containsText" dxfId="110" priority="125" operator="containsText" text="Interference Detected">
      <formula>NOT(ISERROR(SEARCH("Interference Detected",G20)))</formula>
    </cfRule>
    <cfRule type="containsText" dxfId="109" priority="126" operator="containsText" text="Potential Interference">
      <formula>NOT(ISERROR(SEARCH("Potential Interference",G20)))</formula>
    </cfRule>
  </conditionalFormatting>
  <conditionalFormatting sqref="G27:G30">
    <cfRule type="containsText" dxfId="108" priority="123" operator="containsText" text="Y">
      <formula>NOT(ISERROR(SEARCH("Y",G27)))</formula>
    </cfRule>
  </conditionalFormatting>
  <conditionalFormatting sqref="G27:G30">
    <cfRule type="containsText" dxfId="107" priority="120" operator="containsText" text="No">
      <formula>NOT(ISERROR(SEARCH("No",G27)))</formula>
    </cfRule>
    <cfRule type="containsText" dxfId="106" priority="121" operator="containsText" text="Interference Detected">
      <formula>NOT(ISERROR(SEARCH("Interference Detected",G27)))</formula>
    </cfRule>
    <cfRule type="containsText" dxfId="105" priority="122" operator="containsText" text="Potential Interference">
      <formula>NOT(ISERROR(SEARCH("Potential Interference",G27)))</formula>
    </cfRule>
  </conditionalFormatting>
  <conditionalFormatting sqref="G34:G37">
    <cfRule type="containsText" dxfId="104" priority="119" operator="containsText" text="Y">
      <formula>NOT(ISERROR(SEARCH("Y",G34)))</formula>
    </cfRule>
  </conditionalFormatting>
  <conditionalFormatting sqref="G34:G37">
    <cfRule type="containsText" dxfId="103" priority="116" operator="containsText" text="No">
      <formula>NOT(ISERROR(SEARCH("No",G34)))</formula>
    </cfRule>
    <cfRule type="containsText" dxfId="102" priority="117" operator="containsText" text="Interference Detected">
      <formula>NOT(ISERROR(SEARCH("Interference Detected",G34)))</formula>
    </cfRule>
    <cfRule type="containsText" dxfId="101" priority="118" operator="containsText" text="Potential Interference">
      <formula>NOT(ISERROR(SEARCH("Potential Interference",G34)))</formula>
    </cfRule>
  </conditionalFormatting>
  <conditionalFormatting sqref="P3:P6">
    <cfRule type="containsText" dxfId="100" priority="115" operator="containsText" text="Y">
      <formula>NOT(ISERROR(SEARCH("Y",P3)))</formula>
    </cfRule>
  </conditionalFormatting>
  <conditionalFormatting sqref="P3:P6">
    <cfRule type="containsText" dxfId="99" priority="112" operator="containsText" text="No">
      <formula>NOT(ISERROR(SEARCH("No",P3)))</formula>
    </cfRule>
    <cfRule type="containsText" dxfId="98" priority="113" operator="containsText" text="Interference Detected">
      <formula>NOT(ISERROR(SEARCH("Interference Detected",P3)))</formula>
    </cfRule>
    <cfRule type="containsText" dxfId="97" priority="114" operator="containsText" text="Potential Interference">
      <formula>NOT(ISERROR(SEARCH("Potential Interference",P3)))</formula>
    </cfRule>
  </conditionalFormatting>
  <conditionalFormatting sqref="P10:P13">
    <cfRule type="containsText" dxfId="96" priority="111" operator="containsText" text="Y">
      <formula>NOT(ISERROR(SEARCH("Y",P10)))</formula>
    </cfRule>
  </conditionalFormatting>
  <conditionalFormatting sqref="P10:P13">
    <cfRule type="containsText" dxfId="95" priority="108" operator="containsText" text="No">
      <formula>NOT(ISERROR(SEARCH("No",P10)))</formula>
    </cfRule>
    <cfRule type="containsText" dxfId="94" priority="109" operator="containsText" text="Interference Detected">
      <formula>NOT(ISERROR(SEARCH("Interference Detected",P10)))</formula>
    </cfRule>
    <cfRule type="containsText" dxfId="93" priority="110" operator="containsText" text="Potential Interference">
      <formula>NOT(ISERROR(SEARCH("Potential Interference",P10)))</formula>
    </cfRule>
  </conditionalFormatting>
  <conditionalFormatting sqref="P17:P20">
    <cfRule type="containsText" dxfId="92" priority="107" operator="containsText" text="Y">
      <formula>NOT(ISERROR(SEARCH("Y",P17)))</formula>
    </cfRule>
  </conditionalFormatting>
  <conditionalFormatting sqref="D19:E19">
    <cfRule type="top10" priority="103" rank="10"/>
  </conditionalFormatting>
  <conditionalFormatting sqref="D20:E23">
    <cfRule type="containsText" dxfId="91" priority="101" operator="containsText" text="n">
      <formula>NOT(ISERROR(SEARCH("n",D20)))</formula>
    </cfRule>
    <cfRule type="containsText" dxfId="90" priority="102" operator="containsText" text="p">
      <formula>NOT(ISERROR(SEARCH("p",D20)))</formula>
    </cfRule>
  </conditionalFormatting>
  <conditionalFormatting sqref="D20:E23">
    <cfRule type="containsText" dxfId="89" priority="100" operator="containsText" text="n/a">
      <formula>NOT(ISERROR(SEARCH("n/a",D20)))</formula>
    </cfRule>
  </conditionalFormatting>
  <conditionalFormatting sqref="D20:E23">
    <cfRule type="containsText" dxfId="88" priority="99" operator="containsText" text="Strong Positive">
      <formula>NOT(ISERROR(SEARCH("Strong Positive",D20)))</formula>
    </cfRule>
  </conditionalFormatting>
  <conditionalFormatting sqref="D20:E23">
    <cfRule type="containsText" dxfId="87" priority="98" operator="containsText" text="Strong">
      <formula>NOT(ISERROR(SEARCH("Strong",D20)))</formula>
    </cfRule>
  </conditionalFormatting>
  <conditionalFormatting sqref="D20:E23">
    <cfRule type="containsText" dxfId="86" priority="97" operator="containsText" text="Strong">
      <formula>NOT(ISERROR(SEARCH("Strong",D20)))</formula>
    </cfRule>
  </conditionalFormatting>
  <conditionalFormatting sqref="D26:E26">
    <cfRule type="top10" priority="96" rank="10"/>
  </conditionalFormatting>
  <conditionalFormatting sqref="D27:E30">
    <cfRule type="containsText" dxfId="85" priority="94" operator="containsText" text="n">
      <formula>NOT(ISERROR(SEARCH("n",D27)))</formula>
    </cfRule>
    <cfRule type="containsText" dxfId="84" priority="95" operator="containsText" text="p">
      <formula>NOT(ISERROR(SEARCH("p",D27)))</formula>
    </cfRule>
  </conditionalFormatting>
  <conditionalFormatting sqref="D27:E30">
    <cfRule type="containsText" dxfId="83" priority="93" operator="containsText" text="n/a">
      <formula>NOT(ISERROR(SEARCH("n/a",D27)))</formula>
    </cfRule>
  </conditionalFormatting>
  <conditionalFormatting sqref="D27:E30">
    <cfRule type="containsText" dxfId="82" priority="92" operator="containsText" text="Strong Positive">
      <formula>NOT(ISERROR(SEARCH("Strong Positive",D27)))</formula>
    </cfRule>
  </conditionalFormatting>
  <conditionalFormatting sqref="D27:E30">
    <cfRule type="containsText" dxfId="81" priority="91" operator="containsText" text="Strong">
      <formula>NOT(ISERROR(SEARCH("Strong",D27)))</formula>
    </cfRule>
  </conditionalFormatting>
  <conditionalFormatting sqref="D27:E30">
    <cfRule type="containsText" dxfId="80" priority="90" operator="containsText" text="Strong">
      <formula>NOT(ISERROR(SEARCH("Strong",D27)))</formula>
    </cfRule>
  </conditionalFormatting>
  <conditionalFormatting sqref="E13:E16">
    <cfRule type="containsText" dxfId="79" priority="88" operator="containsText" text="n">
      <formula>NOT(ISERROR(SEARCH("n",E13)))</formula>
    </cfRule>
    <cfRule type="containsText" dxfId="78" priority="89" operator="containsText" text="p">
      <formula>NOT(ISERROR(SEARCH("p",E13)))</formula>
    </cfRule>
  </conditionalFormatting>
  <conditionalFormatting sqref="E13:E16">
    <cfRule type="containsText" dxfId="77" priority="87" operator="containsText" text="n/a">
      <formula>NOT(ISERROR(SEARCH("n/a",E13)))</formula>
    </cfRule>
  </conditionalFormatting>
  <conditionalFormatting sqref="E13:E16">
    <cfRule type="containsText" dxfId="76" priority="86" operator="containsText" text="Strong Positive">
      <formula>NOT(ISERROR(SEARCH("Strong Positive",E13)))</formula>
    </cfRule>
  </conditionalFormatting>
  <conditionalFormatting sqref="E13:E16">
    <cfRule type="containsText" dxfId="75" priority="85" operator="containsText" text="Strong">
      <formula>NOT(ISERROR(SEARCH("Strong",E13)))</formula>
    </cfRule>
  </conditionalFormatting>
  <conditionalFormatting sqref="E13:E16">
    <cfRule type="containsText" dxfId="74" priority="84" operator="containsText" text="Strong">
      <formula>NOT(ISERROR(SEARCH("Strong",E13)))</formula>
    </cfRule>
  </conditionalFormatting>
  <conditionalFormatting sqref="D20:E23 D27:E30 D13:F16">
    <cfRule type="containsText" dxfId="73" priority="83" operator="containsText" text="R">
      <formula>NOT(ISERROR(SEARCH("R",D13)))</formula>
    </cfRule>
  </conditionalFormatting>
  <conditionalFormatting sqref="F19">
    <cfRule type="top10" priority="82" rank="10"/>
  </conditionalFormatting>
  <conditionalFormatting sqref="F20:F23">
    <cfRule type="containsText" dxfId="72" priority="80" operator="containsText" text="n">
      <formula>NOT(ISERROR(SEARCH("n",F20)))</formula>
    </cfRule>
    <cfRule type="containsText" dxfId="71" priority="81" operator="containsText" text="p">
      <formula>NOT(ISERROR(SEARCH("p",F20)))</formula>
    </cfRule>
  </conditionalFormatting>
  <conditionalFormatting sqref="F20:F23">
    <cfRule type="containsText" dxfId="70" priority="79" operator="containsText" text="n/a">
      <formula>NOT(ISERROR(SEARCH("n/a",F20)))</formula>
    </cfRule>
  </conditionalFormatting>
  <conditionalFormatting sqref="F20:F23">
    <cfRule type="containsText" dxfId="69" priority="78" operator="containsText" text="Strong Positive">
      <formula>NOT(ISERROR(SEARCH("Strong Positive",F20)))</formula>
    </cfRule>
  </conditionalFormatting>
  <conditionalFormatting sqref="F20:F23">
    <cfRule type="containsText" dxfId="68" priority="77" operator="containsText" text="Strong">
      <formula>NOT(ISERROR(SEARCH("Strong",F20)))</formula>
    </cfRule>
  </conditionalFormatting>
  <conditionalFormatting sqref="F20:F23">
    <cfRule type="containsText" dxfId="67" priority="76" operator="containsText" text="Strong">
      <formula>NOT(ISERROR(SEARCH("Strong",F20)))</formula>
    </cfRule>
  </conditionalFormatting>
  <conditionalFormatting sqref="F20:F23">
    <cfRule type="containsText" dxfId="66" priority="75" operator="containsText" text="R">
      <formula>NOT(ISERROR(SEARCH("R",F20)))</formula>
    </cfRule>
  </conditionalFormatting>
  <conditionalFormatting sqref="F26">
    <cfRule type="top10" priority="74" rank="10"/>
  </conditionalFormatting>
  <conditionalFormatting sqref="F27:F30">
    <cfRule type="containsText" dxfId="65" priority="72" operator="containsText" text="n">
      <formula>NOT(ISERROR(SEARCH("n",F27)))</formula>
    </cfRule>
    <cfRule type="containsText" dxfId="64" priority="73" operator="containsText" text="p">
      <formula>NOT(ISERROR(SEARCH("p",F27)))</formula>
    </cfRule>
  </conditionalFormatting>
  <conditionalFormatting sqref="F27:F30">
    <cfRule type="containsText" dxfId="63" priority="71" operator="containsText" text="n/a">
      <formula>NOT(ISERROR(SEARCH("n/a",F27)))</formula>
    </cfRule>
  </conditionalFormatting>
  <conditionalFormatting sqref="F27:F30">
    <cfRule type="containsText" dxfId="62" priority="70" operator="containsText" text="Strong Positive">
      <formula>NOT(ISERROR(SEARCH("Strong Positive",F27)))</formula>
    </cfRule>
  </conditionalFormatting>
  <conditionalFormatting sqref="F27:F30">
    <cfRule type="containsText" dxfId="61" priority="69" operator="containsText" text="Strong">
      <formula>NOT(ISERROR(SEARCH("Strong",F27)))</formula>
    </cfRule>
  </conditionalFormatting>
  <conditionalFormatting sqref="F27:F30">
    <cfRule type="containsText" dxfId="60" priority="68" operator="containsText" text="Strong">
      <formula>NOT(ISERROR(SEARCH("Strong",F27)))</formula>
    </cfRule>
  </conditionalFormatting>
  <conditionalFormatting sqref="F27:F30">
    <cfRule type="containsText" dxfId="59" priority="67" operator="containsText" text="R">
      <formula>NOT(ISERROR(SEARCH("R",F27)))</formula>
    </cfRule>
  </conditionalFormatting>
  <conditionalFormatting sqref="D33:E33">
    <cfRule type="top10" priority="66" rank="10"/>
  </conditionalFormatting>
  <conditionalFormatting sqref="D34:E37">
    <cfRule type="containsText" dxfId="58" priority="64" operator="containsText" text="n">
      <formula>NOT(ISERROR(SEARCH("n",D34)))</formula>
    </cfRule>
    <cfRule type="containsText" dxfId="57" priority="65" operator="containsText" text="p">
      <formula>NOT(ISERROR(SEARCH("p",D34)))</formula>
    </cfRule>
  </conditionalFormatting>
  <conditionalFormatting sqref="D34:E37">
    <cfRule type="containsText" dxfId="56" priority="63" operator="containsText" text="n/a">
      <formula>NOT(ISERROR(SEARCH("n/a",D34)))</formula>
    </cfRule>
  </conditionalFormatting>
  <conditionalFormatting sqref="D34:E37">
    <cfRule type="containsText" dxfId="55" priority="62" operator="containsText" text="Strong Positive">
      <formula>NOT(ISERROR(SEARCH("Strong Positive",D34)))</formula>
    </cfRule>
  </conditionalFormatting>
  <conditionalFormatting sqref="D34:E37">
    <cfRule type="containsText" dxfId="54" priority="61" operator="containsText" text="Strong">
      <formula>NOT(ISERROR(SEARCH("Strong",D34)))</formula>
    </cfRule>
  </conditionalFormatting>
  <conditionalFormatting sqref="D34:E37">
    <cfRule type="containsText" dxfId="53" priority="60" operator="containsText" text="Strong">
      <formula>NOT(ISERROR(SEARCH("Strong",D34)))</formula>
    </cfRule>
  </conditionalFormatting>
  <conditionalFormatting sqref="D34:E37">
    <cfRule type="containsText" dxfId="52" priority="59" operator="containsText" text="R">
      <formula>NOT(ISERROR(SEARCH("R",D34)))</formula>
    </cfRule>
  </conditionalFormatting>
  <conditionalFormatting sqref="F33">
    <cfRule type="top10" priority="58" rank="10"/>
  </conditionalFormatting>
  <conditionalFormatting sqref="F34:F37">
    <cfRule type="containsText" dxfId="51" priority="56" operator="containsText" text="n">
      <formula>NOT(ISERROR(SEARCH("n",F34)))</formula>
    </cfRule>
    <cfRule type="containsText" dxfId="50" priority="57" operator="containsText" text="p">
      <formula>NOT(ISERROR(SEARCH("p",F34)))</formula>
    </cfRule>
  </conditionalFormatting>
  <conditionalFormatting sqref="F34:F37">
    <cfRule type="containsText" dxfId="49" priority="55" operator="containsText" text="n/a">
      <formula>NOT(ISERROR(SEARCH("n/a",F34)))</formula>
    </cfRule>
  </conditionalFormatting>
  <conditionalFormatting sqref="F34:F37">
    <cfRule type="containsText" dxfId="48" priority="54" operator="containsText" text="Strong Positive">
      <formula>NOT(ISERROR(SEARCH("Strong Positive",F34)))</formula>
    </cfRule>
  </conditionalFormatting>
  <conditionalFormatting sqref="F34:F37">
    <cfRule type="containsText" dxfId="47" priority="53" operator="containsText" text="Strong">
      <formula>NOT(ISERROR(SEARCH("Strong",F34)))</formula>
    </cfRule>
  </conditionalFormatting>
  <conditionalFormatting sqref="F34:F37">
    <cfRule type="containsText" dxfId="46" priority="52" operator="containsText" text="Strong">
      <formula>NOT(ISERROR(SEARCH("Strong",F34)))</formula>
    </cfRule>
  </conditionalFormatting>
  <conditionalFormatting sqref="F34:F37">
    <cfRule type="containsText" dxfId="45" priority="51" operator="containsText" text="R">
      <formula>NOT(ISERROR(SEARCH("R",F34)))</formula>
    </cfRule>
  </conditionalFormatting>
  <conditionalFormatting sqref="P9">
    <cfRule type="top10" priority="50" rank="10"/>
  </conditionalFormatting>
  <conditionalFormatting sqref="P16">
    <cfRule type="top10" priority="49" rank="10"/>
  </conditionalFormatting>
  <conditionalFormatting sqref="M2:O2">
    <cfRule type="top10" priority="48" rank="10"/>
  </conditionalFormatting>
  <conditionalFormatting sqref="M3:M6 O3:O6">
    <cfRule type="containsText" dxfId="44" priority="46" operator="containsText" text="n">
      <formula>NOT(ISERROR(SEARCH("n",M3)))</formula>
    </cfRule>
    <cfRule type="containsText" dxfId="43" priority="47" operator="containsText" text="p">
      <formula>NOT(ISERROR(SEARCH("p",M3)))</formula>
    </cfRule>
  </conditionalFormatting>
  <conditionalFormatting sqref="M3:M6 O3:O6">
    <cfRule type="containsText" dxfId="42" priority="45" operator="containsText" text="n/a">
      <formula>NOT(ISERROR(SEARCH("n/a",M3)))</formula>
    </cfRule>
  </conditionalFormatting>
  <conditionalFormatting sqref="M3:M6 O3:O6">
    <cfRule type="containsText" dxfId="41" priority="44" operator="containsText" text="Strong Positive">
      <formula>NOT(ISERROR(SEARCH("Strong Positive",M3)))</formula>
    </cfRule>
  </conditionalFormatting>
  <conditionalFormatting sqref="M3:M6 O3:O6">
    <cfRule type="containsText" dxfId="40" priority="43" operator="containsText" text="Strong">
      <formula>NOT(ISERROR(SEARCH("Strong",M3)))</formula>
    </cfRule>
  </conditionalFormatting>
  <conditionalFormatting sqref="M3:M6 O3:O6">
    <cfRule type="containsText" dxfId="39" priority="42" operator="containsText" text="Strong">
      <formula>NOT(ISERROR(SEARCH("Strong",M3)))</formula>
    </cfRule>
  </conditionalFormatting>
  <conditionalFormatting sqref="N3:N6">
    <cfRule type="containsText" dxfId="38" priority="40" operator="containsText" text="n">
      <formula>NOT(ISERROR(SEARCH("n",N3)))</formula>
    </cfRule>
    <cfRule type="containsText" dxfId="37" priority="41" operator="containsText" text="p">
      <formula>NOT(ISERROR(SEARCH("p",N3)))</formula>
    </cfRule>
  </conditionalFormatting>
  <conditionalFormatting sqref="N3:N6">
    <cfRule type="containsText" dxfId="36" priority="39" operator="containsText" text="n/a">
      <formula>NOT(ISERROR(SEARCH("n/a",N3)))</formula>
    </cfRule>
  </conditionalFormatting>
  <conditionalFormatting sqref="N3:N6">
    <cfRule type="containsText" dxfId="35" priority="38" operator="containsText" text="Strong Positive">
      <formula>NOT(ISERROR(SEARCH("Strong Positive",N3)))</formula>
    </cfRule>
  </conditionalFormatting>
  <conditionalFormatting sqref="N3:N6">
    <cfRule type="containsText" dxfId="34" priority="37" operator="containsText" text="Strong">
      <formula>NOT(ISERROR(SEARCH("Strong",N3)))</formula>
    </cfRule>
  </conditionalFormatting>
  <conditionalFormatting sqref="N3:N6">
    <cfRule type="containsText" dxfId="33" priority="36" operator="containsText" text="Strong">
      <formula>NOT(ISERROR(SEARCH("Strong",N3)))</formula>
    </cfRule>
  </conditionalFormatting>
  <conditionalFormatting sqref="M3:O6">
    <cfRule type="containsText" dxfId="32" priority="35" operator="containsText" text="R">
      <formula>NOT(ISERROR(SEARCH("R",M3)))</formula>
    </cfRule>
  </conditionalFormatting>
  <conditionalFormatting sqref="M9:O9">
    <cfRule type="top10" priority="34" rank="10"/>
  </conditionalFormatting>
  <conditionalFormatting sqref="M10:M13 O10:O13">
    <cfRule type="containsText" dxfId="31" priority="32" operator="containsText" text="n">
      <formula>NOT(ISERROR(SEARCH("n",M10)))</formula>
    </cfRule>
    <cfRule type="containsText" dxfId="30" priority="33" operator="containsText" text="p">
      <formula>NOT(ISERROR(SEARCH("p",M10)))</formula>
    </cfRule>
  </conditionalFormatting>
  <conditionalFormatting sqref="M10:M13 O10:O13">
    <cfRule type="containsText" dxfId="29" priority="31" operator="containsText" text="n/a">
      <formula>NOT(ISERROR(SEARCH("n/a",M10)))</formula>
    </cfRule>
  </conditionalFormatting>
  <conditionalFormatting sqref="M10:M13 O10:O13">
    <cfRule type="containsText" dxfId="28" priority="30" operator="containsText" text="Strong Positive">
      <formula>NOT(ISERROR(SEARCH("Strong Positive",M10)))</formula>
    </cfRule>
  </conditionalFormatting>
  <conditionalFormatting sqref="M10:M13 O10:O13">
    <cfRule type="containsText" dxfId="27" priority="29" operator="containsText" text="Strong">
      <formula>NOT(ISERROR(SEARCH("Strong",M10)))</formula>
    </cfRule>
  </conditionalFormatting>
  <conditionalFormatting sqref="M10:M13 O10:O13">
    <cfRule type="containsText" dxfId="26" priority="28" operator="containsText" text="Strong">
      <formula>NOT(ISERROR(SEARCH("Strong",M10)))</formula>
    </cfRule>
  </conditionalFormatting>
  <conditionalFormatting sqref="N10:N13">
    <cfRule type="containsText" dxfId="25" priority="26" operator="containsText" text="n">
      <formula>NOT(ISERROR(SEARCH("n",N10)))</formula>
    </cfRule>
    <cfRule type="containsText" dxfId="24" priority="27" operator="containsText" text="p">
      <formula>NOT(ISERROR(SEARCH("p",N10)))</formula>
    </cfRule>
  </conditionalFormatting>
  <conditionalFormatting sqref="N10:N13">
    <cfRule type="containsText" dxfId="23" priority="25" operator="containsText" text="n/a">
      <formula>NOT(ISERROR(SEARCH("n/a",N10)))</formula>
    </cfRule>
  </conditionalFormatting>
  <conditionalFormatting sqref="N10:N13">
    <cfRule type="containsText" dxfId="22" priority="24" operator="containsText" text="Strong Positive">
      <formula>NOT(ISERROR(SEARCH("Strong Positive",N10)))</formula>
    </cfRule>
  </conditionalFormatting>
  <conditionalFormatting sqref="N10:N13">
    <cfRule type="containsText" dxfId="21" priority="23" operator="containsText" text="Strong">
      <formula>NOT(ISERROR(SEARCH("Strong",N10)))</formula>
    </cfRule>
  </conditionalFormatting>
  <conditionalFormatting sqref="N10:N13">
    <cfRule type="containsText" dxfId="20" priority="22" operator="containsText" text="Strong">
      <formula>NOT(ISERROR(SEARCH("Strong",N10)))</formula>
    </cfRule>
  </conditionalFormatting>
  <conditionalFormatting sqref="M10:O13">
    <cfRule type="containsText" dxfId="19" priority="21" operator="containsText" text="R">
      <formula>NOT(ISERROR(SEARCH("R",M10)))</formula>
    </cfRule>
  </conditionalFormatting>
  <conditionalFormatting sqref="M16:O16">
    <cfRule type="top10" priority="20" rank="10"/>
  </conditionalFormatting>
  <conditionalFormatting sqref="M17:M20 O17:O20">
    <cfRule type="containsText" dxfId="18" priority="18" operator="containsText" text="n">
      <formula>NOT(ISERROR(SEARCH("n",M17)))</formula>
    </cfRule>
    <cfRule type="containsText" dxfId="17" priority="19" operator="containsText" text="p">
      <formula>NOT(ISERROR(SEARCH("p",M17)))</formula>
    </cfRule>
  </conditionalFormatting>
  <conditionalFormatting sqref="M17:M20 O17:O20">
    <cfRule type="containsText" dxfId="16" priority="17" operator="containsText" text="n/a">
      <formula>NOT(ISERROR(SEARCH("n/a",M17)))</formula>
    </cfRule>
  </conditionalFormatting>
  <conditionalFormatting sqref="M17:M20 O17:O20">
    <cfRule type="containsText" dxfId="15" priority="16" operator="containsText" text="Strong Positive">
      <formula>NOT(ISERROR(SEARCH("Strong Positive",M17)))</formula>
    </cfRule>
  </conditionalFormatting>
  <conditionalFormatting sqref="M17:M20 O17:O20">
    <cfRule type="containsText" dxfId="14" priority="15" operator="containsText" text="Strong">
      <formula>NOT(ISERROR(SEARCH("Strong",M17)))</formula>
    </cfRule>
  </conditionalFormatting>
  <conditionalFormatting sqref="M17:M20 O17:O20">
    <cfRule type="containsText" dxfId="13" priority="14" operator="containsText" text="Strong">
      <formula>NOT(ISERROR(SEARCH("Strong",M17)))</formula>
    </cfRule>
  </conditionalFormatting>
  <conditionalFormatting sqref="N17:N20">
    <cfRule type="containsText" dxfId="12" priority="12" operator="containsText" text="n">
      <formula>NOT(ISERROR(SEARCH("n",N17)))</formula>
    </cfRule>
    <cfRule type="containsText" dxfId="11" priority="13" operator="containsText" text="p">
      <formula>NOT(ISERROR(SEARCH("p",N17)))</formula>
    </cfRule>
  </conditionalFormatting>
  <conditionalFormatting sqref="N17:N20">
    <cfRule type="containsText" dxfId="10" priority="11" operator="containsText" text="n/a">
      <formula>NOT(ISERROR(SEARCH("n/a",N17)))</formula>
    </cfRule>
  </conditionalFormatting>
  <conditionalFormatting sqref="N17:N20">
    <cfRule type="containsText" dxfId="9" priority="10" operator="containsText" text="Strong Positive">
      <formula>NOT(ISERROR(SEARCH("Strong Positive",N17)))</formula>
    </cfRule>
  </conditionalFormatting>
  <conditionalFormatting sqref="N17:N20">
    <cfRule type="containsText" dxfId="8" priority="9" operator="containsText" text="Strong">
      <formula>NOT(ISERROR(SEARCH("Strong",N17)))</formula>
    </cfRule>
  </conditionalFormatting>
  <conditionalFormatting sqref="N17:N20">
    <cfRule type="containsText" dxfId="7" priority="8" operator="containsText" text="Strong">
      <formula>NOT(ISERROR(SEARCH("Strong",N17)))</formula>
    </cfRule>
  </conditionalFormatting>
  <conditionalFormatting sqref="M17:O20">
    <cfRule type="containsText" dxfId="6" priority="7" operator="containsText" text="R">
      <formula>NOT(ISERROR(SEARCH("R",M17)))</formula>
    </cfRule>
  </conditionalFormatting>
  <conditionalFormatting sqref="G13:H16 G20:H23 G27:H30 G34:H37 P3:Q6 P10:Q13 P17:Q20">
    <cfRule type="containsText" dxfId="5" priority="4" operator="containsText" text="P-Int">
      <formula>NOT(ISERROR(SEARCH("P-Int",G3)))</formula>
    </cfRule>
    <cfRule type="containsText" dxfId="4" priority="5" operator="containsText" text="No Int">
      <formula>NOT(ISERROR(SEARCH("No Int",G3)))</formula>
    </cfRule>
    <cfRule type="containsText" dxfId="3" priority="6" operator="containsText" text="Int">
      <formula>NOT(ISERROR(SEARCH("Int",G3)))</formula>
    </cfRule>
  </conditionalFormatting>
  <conditionalFormatting sqref="K24:N26">
    <cfRule type="containsText" dxfId="2" priority="2" operator="containsText" text="No">
      <formula>NOT(ISERROR(SEARCH("No",K24)))</formula>
    </cfRule>
    <cfRule type="containsText" dxfId="1" priority="3" operator="containsText" text="Int">
      <formula>NOT(ISERROR(SEARCH("Int",K24)))</formula>
    </cfRule>
  </conditionalFormatting>
  <conditionalFormatting sqref="D13:F16 D20:F23 D27:F30 D34:F37 M3:O6 M10:O13 M17:O20">
    <cfRule type="containsText" dxfId="0" priority="1" operator="containsText" text="R">
      <formula>NOT(ISERROR(SEARCH("R",D3)))</formula>
    </cfRule>
  </conditionalFormatting>
  <pageMargins left="0.7" right="0.7" top="0.75" bottom="0.75" header="0.3" footer="0.3"/>
  <pageSetup orientation="portrait" r:id="rId1"/>
  <headerFooter>
    <oddHeader xml:space="preserve">&amp;C&amp;"-,Bold"&amp;18NBT Report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70"/>
  <sheetViews>
    <sheetView workbookViewId="0">
      <selection sqref="A1:Q1048576"/>
    </sheetView>
  </sheetViews>
  <sheetFormatPr defaultColWidth="8.90625" defaultRowHeight="14.5" x14ac:dyDescent="0.35"/>
  <cols>
    <col min="1" max="17" width="8.7265625" customWidth="1"/>
    <col min="18" max="19" width="8.7265625"/>
    <col min="20" max="27" width="8.90625" style="404"/>
    <col min="28" max="16384" width="8.90625" style="282"/>
  </cols>
  <sheetData>
    <row r="1" spans="1:19" x14ac:dyDescent="0.35">
      <c r="A1" s="689" t="s">
        <v>241</v>
      </c>
      <c r="B1" s="690">
        <v>1</v>
      </c>
      <c r="C1" s="690">
        <v>2</v>
      </c>
      <c r="D1" s="690">
        <v>3</v>
      </c>
      <c r="E1" s="690">
        <v>4</v>
      </c>
      <c r="F1" s="690">
        <v>5</v>
      </c>
      <c r="G1" s="690">
        <v>6</v>
      </c>
      <c r="H1" s="690">
        <v>7</v>
      </c>
      <c r="I1" s="690">
        <v>8</v>
      </c>
      <c r="J1" s="690">
        <v>9</v>
      </c>
      <c r="K1" s="690">
        <v>10</v>
      </c>
      <c r="L1" s="690">
        <v>11</v>
      </c>
      <c r="M1" s="690">
        <v>12</v>
      </c>
    </row>
    <row r="2" spans="1:19" s="404" customFormat="1" x14ac:dyDescent="0.35">
      <c r="A2" s="690" t="s">
        <v>0</v>
      </c>
      <c r="B2" s="691">
        <v>6.6000000000000003E-2</v>
      </c>
      <c r="C2" s="692">
        <v>6.6000000000000003E-2</v>
      </c>
      <c r="D2" s="693">
        <v>6.7000000000000004E-2</v>
      </c>
      <c r="E2" s="694">
        <v>6.8000000000000005E-2</v>
      </c>
      <c r="F2" s="693">
        <v>6.7000000000000004E-2</v>
      </c>
      <c r="G2" s="691">
        <v>6.6000000000000003E-2</v>
      </c>
      <c r="H2" s="691">
        <v>6.6000000000000003E-2</v>
      </c>
      <c r="I2" s="691">
        <v>6.6000000000000003E-2</v>
      </c>
      <c r="J2" s="695">
        <v>6.7000000000000004E-2</v>
      </c>
      <c r="K2" s="695">
        <v>6.7000000000000004E-2</v>
      </c>
      <c r="L2" s="695">
        <v>6.7000000000000004E-2</v>
      </c>
      <c r="M2" s="694">
        <v>6.8000000000000005E-2</v>
      </c>
      <c r="N2" s="696" t="s">
        <v>242</v>
      </c>
      <c r="O2"/>
      <c r="P2"/>
      <c r="Q2"/>
      <c r="R2"/>
      <c r="S2"/>
    </row>
    <row r="3" spans="1:19" s="404" customFormat="1" x14ac:dyDescent="0.35">
      <c r="A3" s="690" t="s">
        <v>1</v>
      </c>
      <c r="B3" s="694">
        <v>6.8000000000000005E-2</v>
      </c>
      <c r="C3" s="695">
        <v>6.7000000000000004E-2</v>
      </c>
      <c r="D3" s="697">
        <v>6.8000000000000005E-2</v>
      </c>
      <c r="E3" s="694">
        <v>6.9000000000000006E-2</v>
      </c>
      <c r="F3" s="695">
        <v>6.6000000000000003E-2</v>
      </c>
      <c r="G3" s="695">
        <v>6.7000000000000004E-2</v>
      </c>
      <c r="H3" s="693">
        <v>6.7000000000000004E-2</v>
      </c>
      <c r="I3" s="694">
        <v>6.8000000000000005E-2</v>
      </c>
      <c r="J3" s="693">
        <v>6.7000000000000004E-2</v>
      </c>
      <c r="K3" s="694">
        <v>6.8000000000000005E-2</v>
      </c>
      <c r="L3" s="697">
        <v>6.8000000000000005E-2</v>
      </c>
      <c r="M3" s="697">
        <v>6.8000000000000005E-2</v>
      </c>
      <c r="N3" s="696" t="s">
        <v>242</v>
      </c>
      <c r="O3" t="s">
        <v>243</v>
      </c>
      <c r="P3"/>
      <c r="Q3"/>
      <c r="R3"/>
      <c r="S3"/>
    </row>
    <row r="4" spans="1:19" s="404" customFormat="1" x14ac:dyDescent="0.35">
      <c r="A4" s="690" t="s">
        <v>2</v>
      </c>
      <c r="B4" s="695">
        <v>6.6000000000000003E-2</v>
      </c>
      <c r="C4" s="697">
        <v>6.8000000000000005E-2</v>
      </c>
      <c r="D4" s="691">
        <v>6.6000000000000003E-2</v>
      </c>
      <c r="E4" s="698">
        <v>7.2999999999999995E-2</v>
      </c>
      <c r="F4" s="695">
        <v>6.7000000000000004E-2</v>
      </c>
      <c r="G4" s="697">
        <v>6.8000000000000005E-2</v>
      </c>
      <c r="H4" s="697">
        <v>6.8000000000000005E-2</v>
      </c>
      <c r="I4" s="695">
        <v>6.7000000000000004E-2</v>
      </c>
      <c r="J4" s="693">
        <v>6.7000000000000004E-2</v>
      </c>
      <c r="K4" s="691">
        <v>6.6000000000000003E-2</v>
      </c>
      <c r="L4" s="695">
        <v>6.7000000000000004E-2</v>
      </c>
      <c r="M4" s="693">
        <v>6.7000000000000004E-2</v>
      </c>
      <c r="N4" s="696" t="s">
        <v>242</v>
      </c>
      <c r="O4" t="s">
        <v>244</v>
      </c>
      <c r="P4"/>
      <c r="Q4"/>
      <c r="R4"/>
      <c r="S4"/>
    </row>
    <row r="5" spans="1:19" s="404" customFormat="1" x14ac:dyDescent="0.35">
      <c r="A5" s="690" t="s">
        <v>3</v>
      </c>
      <c r="B5" s="699">
        <v>6.5000000000000002E-2</v>
      </c>
      <c r="C5" s="692">
        <v>6.6000000000000003E-2</v>
      </c>
      <c r="D5" s="691">
        <v>6.6000000000000003E-2</v>
      </c>
      <c r="E5" s="692">
        <v>6.6000000000000003E-2</v>
      </c>
      <c r="F5" s="691">
        <v>6.6000000000000003E-2</v>
      </c>
      <c r="G5" s="695">
        <v>6.6000000000000003E-2</v>
      </c>
      <c r="H5" s="691">
        <v>6.6000000000000003E-2</v>
      </c>
      <c r="I5" s="692">
        <v>6.6000000000000003E-2</v>
      </c>
      <c r="J5" s="692">
        <v>6.6000000000000003E-2</v>
      </c>
      <c r="K5" s="700">
        <v>6.9000000000000006E-2</v>
      </c>
      <c r="L5" s="695">
        <v>6.7000000000000004E-2</v>
      </c>
      <c r="M5" s="695">
        <v>6.7000000000000004E-2</v>
      </c>
      <c r="N5" s="696" t="s">
        <v>242</v>
      </c>
      <c r="O5" t="s">
        <v>245</v>
      </c>
      <c r="P5"/>
      <c r="Q5"/>
      <c r="R5"/>
      <c r="S5"/>
    </row>
    <row r="6" spans="1:19" s="404" customFormat="1" x14ac:dyDescent="0.35">
      <c r="A6" s="690" t="s">
        <v>4</v>
      </c>
      <c r="B6" s="695">
        <v>6.7000000000000004E-2</v>
      </c>
      <c r="C6" s="692">
        <v>6.5000000000000002E-2</v>
      </c>
      <c r="D6" s="692">
        <v>6.5000000000000002E-2</v>
      </c>
      <c r="E6" s="692">
        <v>6.5000000000000002E-2</v>
      </c>
      <c r="F6" s="695">
        <v>6.7000000000000004E-2</v>
      </c>
      <c r="G6" s="691">
        <v>6.6000000000000003E-2</v>
      </c>
      <c r="H6" s="691">
        <v>6.6000000000000003E-2</v>
      </c>
      <c r="I6" s="692">
        <v>6.6000000000000003E-2</v>
      </c>
      <c r="J6" s="691">
        <v>6.6000000000000003E-2</v>
      </c>
      <c r="K6" s="691">
        <v>6.6000000000000003E-2</v>
      </c>
      <c r="L6" s="693">
        <v>6.7000000000000004E-2</v>
      </c>
      <c r="M6" s="695">
        <v>6.7000000000000004E-2</v>
      </c>
      <c r="N6" s="696" t="s">
        <v>242</v>
      </c>
      <c r="O6" t="s">
        <v>246</v>
      </c>
      <c r="P6"/>
      <c r="Q6"/>
      <c r="R6"/>
      <c r="S6"/>
    </row>
    <row r="7" spans="1:19" s="404" customFormat="1" x14ac:dyDescent="0.35">
      <c r="A7" s="690" t="s">
        <v>5</v>
      </c>
      <c r="B7" s="695">
        <v>6.7000000000000004E-2</v>
      </c>
      <c r="C7" s="692">
        <v>6.5000000000000002E-2</v>
      </c>
      <c r="D7" s="699">
        <v>6.5000000000000002E-2</v>
      </c>
      <c r="E7" s="692">
        <v>6.5000000000000002E-2</v>
      </c>
      <c r="F7" s="701">
        <v>7.0999999999999994E-2</v>
      </c>
      <c r="G7" s="700">
        <v>6.9000000000000006E-2</v>
      </c>
      <c r="H7" s="693">
        <v>6.7000000000000004E-2</v>
      </c>
      <c r="I7" s="691">
        <v>6.6000000000000003E-2</v>
      </c>
      <c r="J7" s="692">
        <v>6.6000000000000003E-2</v>
      </c>
      <c r="K7" s="695">
        <v>6.6000000000000003E-2</v>
      </c>
      <c r="L7" s="695">
        <v>6.6000000000000003E-2</v>
      </c>
      <c r="M7" s="695">
        <v>6.6000000000000003E-2</v>
      </c>
      <c r="N7" s="696" t="s">
        <v>242</v>
      </c>
      <c r="O7" t="s">
        <v>247</v>
      </c>
      <c r="P7"/>
      <c r="Q7"/>
      <c r="R7"/>
      <c r="S7"/>
    </row>
    <row r="8" spans="1:19" s="404" customFormat="1" x14ac:dyDescent="0.35">
      <c r="A8" s="690" t="s">
        <v>6</v>
      </c>
      <c r="B8" s="691">
        <v>6.6000000000000003E-2</v>
      </c>
      <c r="C8" s="695">
        <v>6.6000000000000003E-2</v>
      </c>
      <c r="D8" s="699">
        <v>6.4000000000000001E-2</v>
      </c>
      <c r="E8" s="691">
        <v>6.6000000000000003E-2</v>
      </c>
      <c r="F8" s="695">
        <v>6.6000000000000003E-2</v>
      </c>
      <c r="G8" s="691">
        <v>6.6000000000000003E-2</v>
      </c>
      <c r="H8" s="695">
        <v>6.7000000000000004E-2</v>
      </c>
      <c r="I8" s="691">
        <v>6.6000000000000003E-2</v>
      </c>
      <c r="J8" s="691">
        <v>6.6000000000000003E-2</v>
      </c>
      <c r="K8" s="695">
        <v>6.7000000000000004E-2</v>
      </c>
      <c r="L8" s="702">
        <v>6.9000000000000006E-2</v>
      </c>
      <c r="M8" s="693">
        <v>6.7000000000000004E-2</v>
      </c>
      <c r="N8" s="696" t="s">
        <v>242</v>
      </c>
      <c r="O8" t="s">
        <v>248</v>
      </c>
      <c r="P8"/>
      <c r="Q8"/>
      <c r="R8"/>
      <c r="S8"/>
    </row>
    <row r="9" spans="1:19" s="404" customFormat="1" x14ac:dyDescent="0.35">
      <c r="A9" s="690" t="s">
        <v>7</v>
      </c>
      <c r="B9" s="692">
        <v>6.6000000000000003E-2</v>
      </c>
      <c r="C9" s="699">
        <v>6.5000000000000002E-2</v>
      </c>
      <c r="D9" s="695">
        <v>6.6000000000000003E-2</v>
      </c>
      <c r="E9" s="692">
        <v>6.6000000000000003E-2</v>
      </c>
      <c r="F9" s="692">
        <v>6.5000000000000002E-2</v>
      </c>
      <c r="G9" s="702">
        <v>7.0000000000000007E-2</v>
      </c>
      <c r="H9" s="691">
        <v>6.6000000000000003E-2</v>
      </c>
      <c r="I9" s="691">
        <v>6.6000000000000003E-2</v>
      </c>
      <c r="J9" s="695">
        <v>6.7000000000000004E-2</v>
      </c>
      <c r="K9" s="695">
        <v>6.7000000000000004E-2</v>
      </c>
      <c r="L9" s="695">
        <v>6.7000000000000004E-2</v>
      </c>
      <c r="M9" s="693">
        <v>6.7000000000000004E-2</v>
      </c>
      <c r="N9" s="696" t="s">
        <v>242</v>
      </c>
      <c r="O9" t="s">
        <v>249</v>
      </c>
      <c r="P9"/>
      <c r="Q9"/>
      <c r="R9"/>
      <c r="S9"/>
    </row>
    <row r="10" spans="1:19" s="404" customFormat="1" x14ac:dyDescent="0.35">
      <c r="A10"/>
      <c r="B10"/>
      <c r="C10"/>
      <c r="D10"/>
      <c r="E10"/>
      <c r="F10"/>
      <c r="G10"/>
      <c r="H10"/>
      <c r="I10"/>
      <c r="J10"/>
      <c r="K10"/>
      <c r="L10"/>
      <c r="M10"/>
      <c r="N10"/>
      <c r="O10"/>
      <c r="P10"/>
      <c r="Q10"/>
      <c r="R10"/>
      <c r="S10"/>
    </row>
    <row r="11" spans="1:19" s="404" customFormat="1" x14ac:dyDescent="0.35">
      <c r="A11" s="689" t="s">
        <v>8</v>
      </c>
      <c r="B11" s="690">
        <v>1</v>
      </c>
      <c r="C11" s="690">
        <v>2</v>
      </c>
      <c r="D11" s="690">
        <v>3</v>
      </c>
      <c r="E11" s="690">
        <v>4</v>
      </c>
      <c r="F11" s="690">
        <v>5</v>
      </c>
      <c r="G11" s="690">
        <v>6</v>
      </c>
      <c r="H11" s="690">
        <v>7</v>
      </c>
      <c r="I11" s="690">
        <v>8</v>
      </c>
      <c r="J11" s="690">
        <v>9</v>
      </c>
      <c r="K11" s="690">
        <v>10</v>
      </c>
      <c r="L11" s="690">
        <v>11</v>
      </c>
      <c r="M11" s="690">
        <v>12</v>
      </c>
      <c r="N11"/>
      <c r="O11"/>
      <c r="P11"/>
      <c r="Q11"/>
      <c r="R11"/>
      <c r="S11"/>
    </row>
    <row r="12" spans="1:19" s="404" customFormat="1" ht="18" x14ac:dyDescent="0.35">
      <c r="A12" s="690" t="s">
        <v>0</v>
      </c>
      <c r="B12" s="699">
        <v>7.0999999999999994E-2</v>
      </c>
      <c r="C12" s="698">
        <v>0.63700000000000001</v>
      </c>
      <c r="D12" s="698">
        <v>0.64300000000000002</v>
      </c>
      <c r="E12" s="698">
        <v>0.65900000000000003</v>
      </c>
      <c r="F12" s="698">
        <v>0.65200000000000002</v>
      </c>
      <c r="G12" s="698">
        <v>0.65100000000000002</v>
      </c>
      <c r="H12" s="698">
        <v>0.65</v>
      </c>
      <c r="I12" s="698">
        <v>0.65500000000000003</v>
      </c>
      <c r="J12" s="698">
        <v>0.65100000000000002</v>
      </c>
      <c r="K12" s="699">
        <v>7.1999999999999995E-2</v>
      </c>
      <c r="L12" s="699">
        <v>7.0999999999999994E-2</v>
      </c>
      <c r="M12" s="699">
        <v>7.2999999999999995E-2</v>
      </c>
      <c r="N12" s="696" t="s">
        <v>250</v>
      </c>
      <c r="O12"/>
      <c r="P12"/>
      <c r="Q12"/>
      <c r="R12"/>
      <c r="S12"/>
    </row>
    <row r="13" spans="1:19" s="404" customFormat="1" ht="18" x14ac:dyDescent="0.35">
      <c r="A13" s="690" t="s">
        <v>1</v>
      </c>
      <c r="B13" s="699">
        <v>7.3999999999999996E-2</v>
      </c>
      <c r="C13" s="698">
        <v>0.64300000000000002</v>
      </c>
      <c r="D13" s="697">
        <v>0.315</v>
      </c>
      <c r="E13" s="694">
        <v>0.35299999999999998</v>
      </c>
      <c r="F13" s="694">
        <v>0.32500000000000001</v>
      </c>
      <c r="G13" s="698">
        <v>0.63</v>
      </c>
      <c r="H13" s="698">
        <v>0.63600000000000001</v>
      </c>
      <c r="I13" s="698">
        <v>0.64</v>
      </c>
      <c r="J13" s="698">
        <v>0.63100000000000001</v>
      </c>
      <c r="K13" s="699">
        <v>7.2999999999999995E-2</v>
      </c>
      <c r="L13" s="699">
        <v>7.1999999999999995E-2</v>
      </c>
      <c r="M13" s="699">
        <v>7.2999999999999995E-2</v>
      </c>
      <c r="N13" s="696" t="s">
        <v>250</v>
      </c>
      <c r="O13" t="s">
        <v>243</v>
      </c>
      <c r="P13"/>
      <c r="Q13"/>
      <c r="R13"/>
      <c r="S13"/>
    </row>
    <row r="14" spans="1:19" s="404" customFormat="1" ht="18" x14ac:dyDescent="0.35">
      <c r="A14" s="690" t="s">
        <v>2</v>
      </c>
      <c r="B14" s="699">
        <v>7.1999999999999995E-2</v>
      </c>
      <c r="C14" s="698">
        <v>0.64400000000000002</v>
      </c>
      <c r="D14" s="702">
        <v>0.439</v>
      </c>
      <c r="E14" s="703">
        <v>0.47499999999999998</v>
      </c>
      <c r="F14" s="703">
        <v>0.45400000000000001</v>
      </c>
      <c r="G14" s="698">
        <v>0.63700000000000001</v>
      </c>
      <c r="H14" s="698">
        <v>0.63700000000000001</v>
      </c>
      <c r="I14" s="698">
        <v>0.64200000000000002</v>
      </c>
      <c r="J14" s="698">
        <v>0.64300000000000002</v>
      </c>
      <c r="K14" s="699">
        <v>7.0999999999999994E-2</v>
      </c>
      <c r="L14" s="699">
        <v>7.1999999999999995E-2</v>
      </c>
      <c r="M14" s="699">
        <v>7.1999999999999995E-2</v>
      </c>
      <c r="N14" s="696" t="s">
        <v>250</v>
      </c>
      <c r="O14" t="s">
        <v>244</v>
      </c>
      <c r="P14"/>
      <c r="Q14"/>
      <c r="R14"/>
      <c r="S14"/>
    </row>
    <row r="15" spans="1:19" s="404" customFormat="1" ht="18" x14ac:dyDescent="0.35">
      <c r="A15" s="690" t="s">
        <v>3</v>
      </c>
      <c r="B15" s="699">
        <v>7.0000000000000007E-2</v>
      </c>
      <c r="C15" s="698">
        <v>0.63500000000000001</v>
      </c>
      <c r="D15" s="704">
        <v>0.52600000000000002</v>
      </c>
      <c r="E15" s="701">
        <v>0.55100000000000005</v>
      </c>
      <c r="F15" s="701">
        <v>0.53600000000000003</v>
      </c>
      <c r="G15" s="698">
        <v>0.64500000000000002</v>
      </c>
      <c r="H15" s="698">
        <v>0.64600000000000002</v>
      </c>
      <c r="I15" s="698">
        <v>0.64700000000000002</v>
      </c>
      <c r="J15" s="698">
        <v>0.64400000000000002</v>
      </c>
      <c r="K15" s="699">
        <v>7.5999999999999998E-2</v>
      </c>
      <c r="L15" s="699">
        <v>7.1999999999999995E-2</v>
      </c>
      <c r="M15" s="699">
        <v>7.1999999999999995E-2</v>
      </c>
      <c r="N15" s="696" t="s">
        <v>250</v>
      </c>
      <c r="O15" t="s">
        <v>245</v>
      </c>
      <c r="P15"/>
      <c r="Q15"/>
      <c r="R15"/>
      <c r="S15"/>
    </row>
    <row r="16" spans="1:19" s="404" customFormat="1" ht="18" x14ac:dyDescent="0.35">
      <c r="A16" s="690" t="s">
        <v>4</v>
      </c>
      <c r="B16" s="699">
        <v>7.1999999999999995E-2</v>
      </c>
      <c r="C16" s="698">
        <v>0.64200000000000002</v>
      </c>
      <c r="D16" s="705">
        <v>0.58299999999999996</v>
      </c>
      <c r="E16" s="705">
        <v>0.60299999999999998</v>
      </c>
      <c r="F16" s="705">
        <v>0.59899999999999998</v>
      </c>
      <c r="G16" s="698">
        <v>0.63600000000000001</v>
      </c>
      <c r="H16" s="698">
        <v>0.63800000000000001</v>
      </c>
      <c r="I16" s="698">
        <v>0.64500000000000002</v>
      </c>
      <c r="J16" s="698">
        <v>0.63800000000000001</v>
      </c>
      <c r="K16" s="699">
        <v>7.0999999999999994E-2</v>
      </c>
      <c r="L16" s="699">
        <v>7.2999999999999995E-2</v>
      </c>
      <c r="M16" s="699">
        <v>7.2999999999999995E-2</v>
      </c>
      <c r="N16" s="696" t="s">
        <v>250</v>
      </c>
      <c r="O16" t="s">
        <v>246</v>
      </c>
      <c r="P16"/>
      <c r="Q16"/>
      <c r="R16"/>
      <c r="S16"/>
    </row>
    <row r="17" spans="1:19" s="404" customFormat="1" ht="18" x14ac:dyDescent="0.35">
      <c r="A17" s="690" t="s">
        <v>5</v>
      </c>
      <c r="B17" s="699">
        <v>7.1999999999999995E-2</v>
      </c>
      <c r="C17" s="698">
        <v>0.64600000000000002</v>
      </c>
      <c r="D17" s="705">
        <v>0.61099999999999999</v>
      </c>
      <c r="E17" s="698">
        <v>0.627</v>
      </c>
      <c r="F17" s="698">
        <v>0.63200000000000001</v>
      </c>
      <c r="G17" s="698">
        <v>0.65</v>
      </c>
      <c r="H17" s="698">
        <v>0.65100000000000002</v>
      </c>
      <c r="I17" s="698">
        <v>0.65400000000000003</v>
      </c>
      <c r="J17" s="698">
        <v>0.64900000000000002</v>
      </c>
      <c r="K17" s="699">
        <v>7.1999999999999995E-2</v>
      </c>
      <c r="L17" s="699">
        <v>7.1999999999999995E-2</v>
      </c>
      <c r="M17" s="699">
        <v>7.1999999999999995E-2</v>
      </c>
      <c r="N17" s="696" t="s">
        <v>250</v>
      </c>
      <c r="O17" t="s">
        <v>247</v>
      </c>
      <c r="P17"/>
      <c r="Q17"/>
      <c r="R17"/>
      <c r="S17"/>
    </row>
    <row r="18" spans="1:19" s="404" customFormat="1" ht="18" x14ac:dyDescent="0.35">
      <c r="A18" s="690" t="s">
        <v>6</v>
      </c>
      <c r="B18" s="699">
        <v>7.1999999999999995E-2</v>
      </c>
      <c r="C18" s="698">
        <v>0.64500000000000002</v>
      </c>
      <c r="D18" s="698">
        <v>0.626</v>
      </c>
      <c r="E18" s="698">
        <v>0.64300000000000002</v>
      </c>
      <c r="F18" s="698">
        <v>0.64100000000000001</v>
      </c>
      <c r="G18" s="698">
        <v>0.629</v>
      </c>
      <c r="H18" s="698">
        <v>0.629</v>
      </c>
      <c r="I18" s="698">
        <v>0.63700000000000001</v>
      </c>
      <c r="J18" s="698">
        <v>0.63200000000000001</v>
      </c>
      <c r="K18" s="699">
        <v>7.2999999999999995E-2</v>
      </c>
      <c r="L18" s="699">
        <v>7.6999999999999999E-2</v>
      </c>
      <c r="M18" s="699">
        <v>7.3999999999999996E-2</v>
      </c>
      <c r="N18" s="696" t="s">
        <v>250</v>
      </c>
      <c r="O18" t="s">
        <v>248</v>
      </c>
      <c r="P18"/>
      <c r="Q18"/>
      <c r="R18"/>
      <c r="S18"/>
    </row>
    <row r="19" spans="1:19" s="404" customFormat="1" ht="18" x14ac:dyDescent="0.35">
      <c r="A19" s="690" t="s">
        <v>7</v>
      </c>
      <c r="B19" s="699">
        <v>7.1999999999999995E-2</v>
      </c>
      <c r="C19" s="698">
        <v>0.64100000000000001</v>
      </c>
      <c r="D19" s="698">
        <v>0.63400000000000001</v>
      </c>
      <c r="E19" s="698">
        <v>0.64800000000000002</v>
      </c>
      <c r="F19" s="698">
        <v>0.64500000000000002</v>
      </c>
      <c r="G19" s="698">
        <v>0.66100000000000003</v>
      </c>
      <c r="H19" s="698">
        <v>0.65400000000000003</v>
      </c>
      <c r="I19" s="698">
        <v>0.65800000000000003</v>
      </c>
      <c r="J19" s="698">
        <v>0.65900000000000003</v>
      </c>
      <c r="K19" s="699">
        <v>8.5000000000000006E-2</v>
      </c>
      <c r="L19" s="699">
        <v>8.5000000000000006E-2</v>
      </c>
      <c r="M19" s="699">
        <v>8.5999999999999993E-2</v>
      </c>
      <c r="N19" s="696" t="s">
        <v>250</v>
      </c>
      <c r="O19" t="s">
        <v>249</v>
      </c>
      <c r="P19"/>
      <c r="Q19"/>
      <c r="R19"/>
      <c r="S19"/>
    </row>
    <row r="20" spans="1:19" s="404" customFormat="1" x14ac:dyDescent="0.35">
      <c r="A20"/>
      <c r="B20"/>
      <c r="C20"/>
      <c r="D20"/>
      <c r="E20"/>
      <c r="F20"/>
      <c r="G20"/>
      <c r="H20"/>
      <c r="I20"/>
      <c r="J20"/>
      <c r="K20"/>
      <c r="L20"/>
      <c r="M20"/>
      <c r="N20"/>
      <c r="O20"/>
      <c r="P20"/>
      <c r="Q20"/>
      <c r="R20"/>
      <c r="S20"/>
    </row>
    <row r="21" spans="1:19" s="404" customFormat="1" x14ac:dyDescent="0.35">
      <c r="A21" s="689" t="s">
        <v>10</v>
      </c>
      <c r="B21" s="690">
        <v>1</v>
      </c>
      <c r="C21" s="690">
        <v>2</v>
      </c>
      <c r="D21" s="690">
        <v>3</v>
      </c>
      <c r="E21" s="690">
        <v>4</v>
      </c>
      <c r="F21" s="690">
        <v>5</v>
      </c>
      <c r="G21" s="690">
        <v>6</v>
      </c>
      <c r="H21" s="690">
        <v>7</v>
      </c>
      <c r="I21" s="690">
        <v>8</v>
      </c>
      <c r="J21" s="690">
        <v>9</v>
      </c>
      <c r="K21" s="690">
        <v>10</v>
      </c>
      <c r="L21" s="690">
        <v>11</v>
      </c>
      <c r="M21" s="690">
        <v>12</v>
      </c>
      <c r="N21"/>
      <c r="O21"/>
      <c r="P21"/>
      <c r="Q21"/>
      <c r="R21"/>
      <c r="S21"/>
    </row>
    <row r="22" spans="1:19" s="404" customFormat="1" ht="18" x14ac:dyDescent="0.35">
      <c r="A22" s="690" t="s">
        <v>0</v>
      </c>
      <c r="B22" s="699">
        <v>6.9000000000000006E-2</v>
      </c>
      <c r="C22" s="698">
        <v>0.63300000000000001</v>
      </c>
      <c r="D22" s="698">
        <v>0.63800000000000001</v>
      </c>
      <c r="E22" s="698">
        <v>0.66100000000000003</v>
      </c>
      <c r="F22" s="698">
        <v>0.64500000000000002</v>
      </c>
      <c r="G22" s="698">
        <v>0.64500000000000002</v>
      </c>
      <c r="H22" s="698">
        <v>0.64500000000000002</v>
      </c>
      <c r="I22" s="698">
        <v>0.64900000000000002</v>
      </c>
      <c r="J22" s="698">
        <v>0.64500000000000002</v>
      </c>
      <c r="K22" s="699">
        <v>6.9000000000000006E-2</v>
      </c>
      <c r="L22" s="699">
        <v>6.9000000000000006E-2</v>
      </c>
      <c r="M22" s="699">
        <v>7.0999999999999994E-2</v>
      </c>
      <c r="N22" s="696" t="s">
        <v>251</v>
      </c>
      <c r="O22"/>
      <c r="P22"/>
      <c r="Q22"/>
      <c r="R22"/>
      <c r="S22"/>
    </row>
    <row r="23" spans="1:19" s="404" customFormat="1" ht="18" x14ac:dyDescent="0.35">
      <c r="A23" s="690" t="s">
        <v>1</v>
      </c>
      <c r="B23" s="699">
        <v>7.0999999999999994E-2</v>
      </c>
      <c r="C23" s="698">
        <v>0.63800000000000001</v>
      </c>
      <c r="D23" s="699">
        <v>9.6000000000000002E-2</v>
      </c>
      <c r="E23" s="692">
        <v>0.112</v>
      </c>
      <c r="F23" s="699">
        <v>9.1999999999999998E-2</v>
      </c>
      <c r="G23" s="698">
        <v>0.628</v>
      </c>
      <c r="H23" s="698">
        <v>0.63400000000000001</v>
      </c>
      <c r="I23" s="698">
        <v>0.63800000000000001</v>
      </c>
      <c r="J23" s="698">
        <v>0.629</v>
      </c>
      <c r="K23" s="699">
        <v>7.0999999999999994E-2</v>
      </c>
      <c r="L23" s="699">
        <v>7.0000000000000007E-2</v>
      </c>
      <c r="M23" s="699">
        <v>7.0000000000000007E-2</v>
      </c>
      <c r="N23" s="696" t="s">
        <v>251</v>
      </c>
      <c r="O23" t="s">
        <v>243</v>
      </c>
      <c r="P23"/>
      <c r="Q23"/>
      <c r="R23"/>
      <c r="S23"/>
    </row>
    <row r="24" spans="1:19" s="404" customFormat="1" ht="18" x14ac:dyDescent="0.35">
      <c r="A24" s="690" t="s">
        <v>2</v>
      </c>
      <c r="B24" s="699">
        <v>7.0000000000000007E-2</v>
      </c>
      <c r="C24" s="698">
        <v>0.63800000000000001</v>
      </c>
      <c r="D24" s="691">
        <v>0.16600000000000001</v>
      </c>
      <c r="E24" s="695">
        <v>0.20300000000000001</v>
      </c>
      <c r="F24" s="691">
        <v>0.16500000000000001</v>
      </c>
      <c r="G24" s="705">
        <v>0.61199999999999999</v>
      </c>
      <c r="H24" s="705">
        <v>0.61099999999999999</v>
      </c>
      <c r="I24" s="705">
        <v>0.61399999999999999</v>
      </c>
      <c r="J24" s="705">
        <v>0.61399999999999999</v>
      </c>
      <c r="K24" s="699">
        <v>6.8000000000000005E-2</v>
      </c>
      <c r="L24" s="699">
        <v>6.9000000000000006E-2</v>
      </c>
      <c r="M24" s="699">
        <v>6.9000000000000006E-2</v>
      </c>
      <c r="N24" s="696" t="s">
        <v>251</v>
      </c>
      <c r="O24" t="s">
        <v>244</v>
      </c>
      <c r="P24"/>
      <c r="Q24"/>
      <c r="R24"/>
      <c r="S24"/>
    </row>
    <row r="25" spans="1:19" s="404" customFormat="1" ht="18" x14ac:dyDescent="0.35">
      <c r="A25" s="690" t="s">
        <v>3</v>
      </c>
      <c r="B25" s="699">
        <v>6.8000000000000005E-2</v>
      </c>
      <c r="C25" s="698">
        <v>0.63</v>
      </c>
      <c r="D25" s="697">
        <v>0.30499999999999999</v>
      </c>
      <c r="E25" s="694">
        <v>0.33700000000000002</v>
      </c>
      <c r="F25" s="697">
        <v>0.29799999999999999</v>
      </c>
      <c r="G25" s="698">
        <v>0.64100000000000001</v>
      </c>
      <c r="H25" s="698">
        <v>0.64300000000000002</v>
      </c>
      <c r="I25" s="698">
        <v>0.64300000000000002</v>
      </c>
      <c r="J25" s="698">
        <v>0.63900000000000001</v>
      </c>
      <c r="K25" s="699">
        <v>7.0000000000000007E-2</v>
      </c>
      <c r="L25" s="699">
        <v>6.9000000000000006E-2</v>
      </c>
      <c r="M25" s="699">
        <v>6.9000000000000006E-2</v>
      </c>
      <c r="N25" s="696" t="s">
        <v>251</v>
      </c>
      <c r="O25" t="s">
        <v>245</v>
      </c>
      <c r="P25"/>
      <c r="Q25"/>
      <c r="R25"/>
      <c r="S25"/>
    </row>
    <row r="26" spans="1:19" s="404" customFormat="1" ht="18" x14ac:dyDescent="0.35">
      <c r="A26" s="690" t="s">
        <v>4</v>
      </c>
      <c r="B26" s="699">
        <v>7.0000000000000007E-2</v>
      </c>
      <c r="C26" s="698">
        <v>0.63600000000000001</v>
      </c>
      <c r="D26" s="702">
        <v>0.433</v>
      </c>
      <c r="E26" s="703">
        <v>0.46300000000000002</v>
      </c>
      <c r="F26" s="702">
        <v>0.45100000000000001</v>
      </c>
      <c r="G26" s="705">
        <v>0.624</v>
      </c>
      <c r="H26" s="705">
        <v>0.625</v>
      </c>
      <c r="I26" s="698">
        <v>0.63</v>
      </c>
      <c r="J26" s="705">
        <v>0.624</v>
      </c>
      <c r="K26" s="699">
        <v>6.9000000000000006E-2</v>
      </c>
      <c r="L26" s="699">
        <v>7.0000000000000007E-2</v>
      </c>
      <c r="M26" s="699">
        <v>7.0000000000000007E-2</v>
      </c>
      <c r="N26" s="696" t="s">
        <v>251</v>
      </c>
      <c r="O26" t="s">
        <v>246</v>
      </c>
      <c r="P26"/>
      <c r="Q26"/>
      <c r="R26"/>
      <c r="S26"/>
    </row>
    <row r="27" spans="1:19" s="404" customFormat="1" ht="18" x14ac:dyDescent="0.35">
      <c r="A27" s="690" t="s">
        <v>5</v>
      </c>
      <c r="B27" s="699">
        <v>7.0000000000000007E-2</v>
      </c>
      <c r="C27" s="698">
        <v>0.64100000000000001</v>
      </c>
      <c r="D27" s="704">
        <v>0.51900000000000002</v>
      </c>
      <c r="E27" s="701">
        <v>0.54300000000000004</v>
      </c>
      <c r="F27" s="701">
        <v>0.54200000000000004</v>
      </c>
      <c r="G27" s="698">
        <v>0.64600000000000002</v>
      </c>
      <c r="H27" s="698">
        <v>0.64700000000000002</v>
      </c>
      <c r="I27" s="698">
        <v>0.64900000000000002</v>
      </c>
      <c r="J27" s="698">
        <v>0.64500000000000002</v>
      </c>
      <c r="K27" s="699">
        <v>7.0000000000000007E-2</v>
      </c>
      <c r="L27" s="699">
        <v>6.9000000000000006E-2</v>
      </c>
      <c r="M27" s="699">
        <v>6.9000000000000006E-2</v>
      </c>
      <c r="N27" s="696" t="s">
        <v>251</v>
      </c>
      <c r="O27" t="s">
        <v>247</v>
      </c>
      <c r="P27"/>
      <c r="Q27"/>
      <c r="R27"/>
      <c r="S27"/>
    </row>
    <row r="28" spans="1:19" s="404" customFormat="1" ht="18" x14ac:dyDescent="0.35">
      <c r="A28" s="690" t="s">
        <v>6</v>
      </c>
      <c r="B28" s="699">
        <v>6.9000000000000006E-2</v>
      </c>
      <c r="C28" s="698">
        <v>0.64</v>
      </c>
      <c r="D28" s="701">
        <v>0.57399999999999995</v>
      </c>
      <c r="E28" s="705">
        <v>0.59499999999999997</v>
      </c>
      <c r="F28" s="705">
        <v>0.58799999999999997</v>
      </c>
      <c r="G28" s="705">
        <v>0.61799999999999999</v>
      </c>
      <c r="H28" s="705">
        <v>0.61499999999999999</v>
      </c>
      <c r="I28" s="705">
        <v>0.623</v>
      </c>
      <c r="J28" s="705">
        <v>0.62</v>
      </c>
      <c r="K28" s="699">
        <v>7.0000000000000007E-2</v>
      </c>
      <c r="L28" s="699">
        <v>7.3999999999999996E-2</v>
      </c>
      <c r="M28" s="699">
        <v>7.1999999999999995E-2</v>
      </c>
      <c r="N28" s="696" t="s">
        <v>251</v>
      </c>
      <c r="O28" t="s">
        <v>248</v>
      </c>
      <c r="P28"/>
      <c r="Q28"/>
      <c r="R28"/>
      <c r="S28"/>
    </row>
    <row r="29" spans="1:19" s="404" customFormat="1" ht="18" x14ac:dyDescent="0.35">
      <c r="A29" s="690" t="s">
        <v>7</v>
      </c>
      <c r="B29" s="699">
        <v>6.9000000000000006E-2</v>
      </c>
      <c r="C29" s="698">
        <v>0.63700000000000001</v>
      </c>
      <c r="D29" s="705">
        <v>0.60599999999999998</v>
      </c>
      <c r="E29" s="705">
        <v>0.61899999999999999</v>
      </c>
      <c r="F29" s="705">
        <v>0.61599999999999999</v>
      </c>
      <c r="G29" s="698">
        <v>0.64200000000000002</v>
      </c>
      <c r="H29" s="698">
        <v>0.63400000000000001</v>
      </c>
      <c r="I29" s="698">
        <v>0.63700000000000001</v>
      </c>
      <c r="J29" s="698">
        <v>0.63900000000000001</v>
      </c>
      <c r="K29" s="699">
        <v>8.2000000000000003E-2</v>
      </c>
      <c r="L29" s="699">
        <v>8.3000000000000004E-2</v>
      </c>
      <c r="M29" s="699">
        <v>8.3000000000000004E-2</v>
      </c>
      <c r="N29" s="696" t="s">
        <v>251</v>
      </c>
      <c r="O29" t="s">
        <v>249</v>
      </c>
      <c r="P29"/>
      <c r="Q29"/>
      <c r="R29"/>
      <c r="S29"/>
    </row>
    <row r="30" spans="1:19" s="404" customFormat="1" x14ac:dyDescent="0.35">
      <c r="A30"/>
      <c r="B30"/>
      <c r="C30"/>
      <c r="D30"/>
      <c r="E30"/>
      <c r="F30"/>
      <c r="G30"/>
      <c r="H30"/>
      <c r="I30"/>
      <c r="J30"/>
      <c r="K30"/>
      <c r="L30"/>
      <c r="M30"/>
      <c r="N30"/>
      <c r="O30"/>
      <c r="P30"/>
      <c r="Q30"/>
      <c r="R30"/>
      <c r="S30"/>
    </row>
    <row r="31" spans="1:19" s="404" customFormat="1" x14ac:dyDescent="0.35">
      <c r="A31" s="689" t="s">
        <v>11</v>
      </c>
      <c r="B31" s="690">
        <v>1</v>
      </c>
      <c r="C31" s="690">
        <v>2</v>
      </c>
      <c r="D31" s="690">
        <v>3</v>
      </c>
      <c r="E31" s="690">
        <v>4</v>
      </c>
      <c r="F31" s="690">
        <v>5</v>
      </c>
      <c r="G31" s="690">
        <v>6</v>
      </c>
      <c r="H31" s="690">
        <v>7</v>
      </c>
      <c r="I31" s="690">
        <v>8</v>
      </c>
      <c r="J31" s="690">
        <v>9</v>
      </c>
      <c r="K31" s="690">
        <v>10</v>
      </c>
      <c r="L31" s="690">
        <v>11</v>
      </c>
      <c r="M31" s="690">
        <v>12</v>
      </c>
      <c r="N31"/>
      <c r="O31"/>
      <c r="P31"/>
      <c r="Q31"/>
      <c r="R31"/>
      <c r="S31"/>
    </row>
    <row r="32" spans="1:19" s="404" customFormat="1" ht="18" x14ac:dyDescent="0.35">
      <c r="A32" s="690" t="s">
        <v>0</v>
      </c>
      <c r="B32" s="699">
        <v>6.9000000000000006E-2</v>
      </c>
      <c r="C32" s="698">
        <v>0.63200000000000001</v>
      </c>
      <c r="D32" s="698">
        <v>0.63600000000000001</v>
      </c>
      <c r="E32" s="698">
        <v>0.66400000000000003</v>
      </c>
      <c r="F32" s="698">
        <v>0.64400000000000002</v>
      </c>
      <c r="G32" s="698">
        <v>0.64400000000000002</v>
      </c>
      <c r="H32" s="698">
        <v>0.64400000000000002</v>
      </c>
      <c r="I32" s="698">
        <v>0.64700000000000002</v>
      </c>
      <c r="J32" s="698">
        <v>0.64400000000000002</v>
      </c>
      <c r="K32" s="699">
        <v>6.9000000000000006E-2</v>
      </c>
      <c r="L32" s="699">
        <v>6.9000000000000006E-2</v>
      </c>
      <c r="M32" s="699">
        <v>7.0999999999999994E-2</v>
      </c>
      <c r="N32" s="696" t="s">
        <v>252</v>
      </c>
      <c r="O32"/>
      <c r="P32"/>
      <c r="Q32"/>
      <c r="R32"/>
      <c r="S32"/>
    </row>
    <row r="33" spans="1:19" s="404" customFormat="1" ht="18" x14ac:dyDescent="0.35">
      <c r="A33" s="690" t="s">
        <v>1</v>
      </c>
      <c r="B33" s="699">
        <v>7.1999999999999995E-2</v>
      </c>
      <c r="C33" s="698">
        <v>0.63600000000000001</v>
      </c>
      <c r="D33" s="699">
        <v>9.0999999999999998E-2</v>
      </c>
      <c r="E33" s="699">
        <v>8.6999999999999994E-2</v>
      </c>
      <c r="F33" s="699">
        <v>8.2000000000000003E-2</v>
      </c>
      <c r="G33" s="698">
        <v>0.628</v>
      </c>
      <c r="H33" s="698">
        <v>0.63300000000000001</v>
      </c>
      <c r="I33" s="698">
        <v>0.63700000000000001</v>
      </c>
      <c r="J33" s="698">
        <v>0.628</v>
      </c>
      <c r="K33" s="699">
        <v>7.1999999999999995E-2</v>
      </c>
      <c r="L33" s="699">
        <v>7.0999999999999994E-2</v>
      </c>
      <c r="M33" s="699">
        <v>7.1999999999999995E-2</v>
      </c>
      <c r="N33" s="696" t="s">
        <v>252</v>
      </c>
      <c r="O33" t="s">
        <v>243</v>
      </c>
      <c r="P33"/>
      <c r="Q33"/>
      <c r="R33"/>
      <c r="S33"/>
    </row>
    <row r="34" spans="1:19" s="404" customFormat="1" ht="18" x14ac:dyDescent="0.35">
      <c r="A34" s="690" t="s">
        <v>2</v>
      </c>
      <c r="B34" s="699">
        <v>7.0000000000000007E-2</v>
      </c>
      <c r="C34" s="698">
        <v>0.63700000000000001</v>
      </c>
      <c r="D34" s="699">
        <v>0.1</v>
      </c>
      <c r="E34" s="692">
        <v>0.13300000000000001</v>
      </c>
      <c r="F34" s="699">
        <v>9.9000000000000005E-2</v>
      </c>
      <c r="G34" s="705">
        <v>0.60599999999999998</v>
      </c>
      <c r="H34" s="705">
        <v>0.60299999999999998</v>
      </c>
      <c r="I34" s="705">
        <v>0.60499999999999998</v>
      </c>
      <c r="J34" s="705">
        <v>0.60599999999999998</v>
      </c>
      <c r="K34" s="699">
        <v>6.9000000000000006E-2</v>
      </c>
      <c r="L34" s="699">
        <v>7.0000000000000007E-2</v>
      </c>
      <c r="M34" s="699">
        <v>7.0999999999999994E-2</v>
      </c>
      <c r="N34" s="696" t="s">
        <v>252</v>
      </c>
      <c r="O34" t="s">
        <v>244</v>
      </c>
      <c r="P34"/>
      <c r="Q34"/>
      <c r="R34"/>
      <c r="S34"/>
    </row>
    <row r="35" spans="1:19" s="404" customFormat="1" ht="18" x14ac:dyDescent="0.35">
      <c r="A35" s="690" t="s">
        <v>3</v>
      </c>
      <c r="B35" s="699">
        <v>6.9000000000000006E-2</v>
      </c>
      <c r="C35" s="698">
        <v>0.629</v>
      </c>
      <c r="D35" s="691">
        <v>0.19500000000000001</v>
      </c>
      <c r="E35" s="695">
        <v>0.222</v>
      </c>
      <c r="F35" s="691">
        <v>0.186</v>
      </c>
      <c r="G35" s="698">
        <v>0.64</v>
      </c>
      <c r="H35" s="698">
        <v>0.64100000000000001</v>
      </c>
      <c r="I35" s="698">
        <v>0.64100000000000001</v>
      </c>
      <c r="J35" s="698">
        <v>0.63700000000000001</v>
      </c>
      <c r="K35" s="699">
        <v>7.0000000000000007E-2</v>
      </c>
      <c r="L35" s="699">
        <v>7.0000000000000007E-2</v>
      </c>
      <c r="M35" s="699">
        <v>7.0000000000000007E-2</v>
      </c>
      <c r="N35" s="696" t="s">
        <v>252</v>
      </c>
      <c r="O35" t="s">
        <v>245</v>
      </c>
      <c r="P35"/>
      <c r="Q35"/>
      <c r="R35"/>
      <c r="S35"/>
    </row>
    <row r="36" spans="1:19" s="404" customFormat="1" ht="18" x14ac:dyDescent="0.35">
      <c r="A36" s="690" t="s">
        <v>4</v>
      </c>
      <c r="B36" s="699">
        <v>7.0000000000000007E-2</v>
      </c>
      <c r="C36" s="698">
        <v>0.63500000000000001</v>
      </c>
      <c r="D36" s="694">
        <v>0.33600000000000002</v>
      </c>
      <c r="E36" s="700">
        <v>0.36899999999999999</v>
      </c>
      <c r="F36" s="694">
        <v>0.35399999999999998</v>
      </c>
      <c r="G36" s="705">
        <v>0.61399999999999999</v>
      </c>
      <c r="H36" s="705">
        <v>0.61399999999999999</v>
      </c>
      <c r="I36" s="705">
        <v>0.61899999999999999</v>
      </c>
      <c r="J36" s="705">
        <v>0.61399999999999999</v>
      </c>
      <c r="K36" s="699">
        <v>6.9000000000000006E-2</v>
      </c>
      <c r="L36" s="699">
        <v>7.0000000000000007E-2</v>
      </c>
      <c r="M36" s="699">
        <v>7.0999999999999994E-2</v>
      </c>
      <c r="N36" s="696" t="s">
        <v>252</v>
      </c>
      <c r="O36" t="s">
        <v>246</v>
      </c>
      <c r="P36"/>
      <c r="Q36"/>
      <c r="R36"/>
      <c r="S36"/>
    </row>
    <row r="37" spans="1:19" s="404" customFormat="1" ht="18" x14ac:dyDescent="0.35">
      <c r="A37" s="690" t="s">
        <v>5</v>
      </c>
      <c r="B37" s="699">
        <v>7.0999999999999994E-2</v>
      </c>
      <c r="C37" s="698">
        <v>0.64</v>
      </c>
      <c r="D37" s="702">
        <v>0.45400000000000001</v>
      </c>
      <c r="E37" s="703">
        <v>0.48</v>
      </c>
      <c r="F37" s="703">
        <v>0.47699999999999998</v>
      </c>
      <c r="G37" s="698">
        <v>0.64500000000000002</v>
      </c>
      <c r="H37" s="698">
        <v>0.64400000000000002</v>
      </c>
      <c r="I37" s="698">
        <v>0.64600000000000002</v>
      </c>
      <c r="J37" s="698">
        <v>0.64200000000000002</v>
      </c>
      <c r="K37" s="699">
        <v>7.0000000000000007E-2</v>
      </c>
      <c r="L37" s="699">
        <v>7.0000000000000007E-2</v>
      </c>
      <c r="M37" s="699">
        <v>7.0000000000000007E-2</v>
      </c>
      <c r="N37" s="696" t="s">
        <v>252</v>
      </c>
      <c r="O37" t="s">
        <v>247</v>
      </c>
      <c r="P37"/>
      <c r="Q37"/>
      <c r="R37"/>
      <c r="S37"/>
    </row>
    <row r="38" spans="1:19" s="404" customFormat="1" ht="18" x14ac:dyDescent="0.35">
      <c r="A38" s="690" t="s">
        <v>6</v>
      </c>
      <c r="B38" s="699">
        <v>7.0000000000000007E-2</v>
      </c>
      <c r="C38" s="698">
        <v>0.63900000000000001</v>
      </c>
      <c r="D38" s="704">
        <v>0.53800000000000003</v>
      </c>
      <c r="E38" s="701">
        <v>0.55800000000000005</v>
      </c>
      <c r="F38" s="701">
        <v>0.55000000000000004</v>
      </c>
      <c r="G38" s="705">
        <v>0.60699999999999998</v>
      </c>
      <c r="H38" s="705">
        <v>0.60299999999999998</v>
      </c>
      <c r="I38" s="705">
        <v>0.61199999999999999</v>
      </c>
      <c r="J38" s="705">
        <v>0.60899999999999999</v>
      </c>
      <c r="K38" s="699">
        <v>7.0999999999999994E-2</v>
      </c>
      <c r="L38" s="699">
        <v>7.4999999999999997E-2</v>
      </c>
      <c r="M38" s="699">
        <v>7.2999999999999995E-2</v>
      </c>
      <c r="N38" s="696" t="s">
        <v>252</v>
      </c>
      <c r="O38" t="s">
        <v>248</v>
      </c>
      <c r="P38"/>
      <c r="Q38"/>
      <c r="R38"/>
      <c r="S38"/>
    </row>
    <row r="39" spans="1:19" s="404" customFormat="1" ht="18" x14ac:dyDescent="0.35">
      <c r="A39" s="690" t="s">
        <v>7</v>
      </c>
      <c r="B39" s="699">
        <v>7.0000000000000007E-2</v>
      </c>
      <c r="C39" s="698">
        <v>0.63600000000000001</v>
      </c>
      <c r="D39" s="705">
        <v>0.58599999999999997</v>
      </c>
      <c r="E39" s="705">
        <v>0.59799999999999998</v>
      </c>
      <c r="F39" s="705">
        <v>0.59599999999999997</v>
      </c>
      <c r="G39" s="705">
        <v>0.624</v>
      </c>
      <c r="H39" s="705">
        <v>0.61599999999999999</v>
      </c>
      <c r="I39" s="705">
        <v>0.61899999999999999</v>
      </c>
      <c r="J39" s="705">
        <v>0.621</v>
      </c>
      <c r="K39" s="699">
        <v>8.3000000000000004E-2</v>
      </c>
      <c r="L39" s="699">
        <v>8.4000000000000005E-2</v>
      </c>
      <c r="M39" s="699">
        <v>8.5000000000000006E-2</v>
      </c>
      <c r="N39" s="696" t="s">
        <v>252</v>
      </c>
      <c r="O39" t="s">
        <v>249</v>
      </c>
      <c r="P39"/>
      <c r="Q39"/>
      <c r="R39"/>
      <c r="S39"/>
    </row>
    <row r="40" spans="1:19" s="404" customFormat="1" x14ac:dyDescent="0.35">
      <c r="A40"/>
      <c r="B40"/>
      <c r="C40"/>
      <c r="D40"/>
      <c r="E40"/>
      <c r="F40"/>
      <c r="G40"/>
      <c r="H40"/>
      <c r="I40"/>
      <c r="J40"/>
      <c r="K40"/>
      <c r="L40"/>
      <c r="M40"/>
      <c r="N40"/>
      <c r="O40"/>
      <c r="P40"/>
      <c r="Q40"/>
      <c r="R40"/>
      <c r="S40"/>
    </row>
    <row r="41" spans="1:19" s="404" customFormat="1" x14ac:dyDescent="0.35">
      <c r="A41" s="689" t="s">
        <v>12</v>
      </c>
      <c r="B41" s="690">
        <v>1</v>
      </c>
      <c r="C41" s="690">
        <v>2</v>
      </c>
      <c r="D41" s="690">
        <v>3</v>
      </c>
      <c r="E41" s="690">
        <v>4</v>
      </c>
      <c r="F41" s="690">
        <v>5</v>
      </c>
      <c r="G41" s="690">
        <v>6</v>
      </c>
      <c r="H41" s="690">
        <v>7</v>
      </c>
      <c r="I41" s="690">
        <v>8</v>
      </c>
      <c r="J41" s="690">
        <v>9</v>
      </c>
      <c r="K41" s="690">
        <v>10</v>
      </c>
      <c r="L41" s="690">
        <v>11</v>
      </c>
      <c r="M41" s="690">
        <v>12</v>
      </c>
      <c r="N41"/>
      <c r="O41"/>
      <c r="P41"/>
      <c r="Q41"/>
      <c r="R41"/>
      <c r="S41"/>
    </row>
    <row r="42" spans="1:19" s="404" customFormat="1" ht="18" x14ac:dyDescent="0.35">
      <c r="A42" s="690" t="s">
        <v>0</v>
      </c>
      <c r="B42" s="699">
        <v>7.0000000000000007E-2</v>
      </c>
      <c r="C42" s="698">
        <v>0.63200000000000001</v>
      </c>
      <c r="D42" s="698">
        <v>0.63700000000000001</v>
      </c>
      <c r="E42" s="698">
        <v>0.66900000000000004</v>
      </c>
      <c r="F42" s="698">
        <v>0.64300000000000002</v>
      </c>
      <c r="G42" s="698">
        <v>0.64300000000000002</v>
      </c>
      <c r="H42" s="698">
        <v>0.64300000000000002</v>
      </c>
      <c r="I42" s="698">
        <v>0.64600000000000002</v>
      </c>
      <c r="J42" s="698">
        <v>0.64300000000000002</v>
      </c>
      <c r="K42" s="699">
        <v>7.0000000000000007E-2</v>
      </c>
      <c r="L42" s="699">
        <v>7.0000000000000007E-2</v>
      </c>
      <c r="M42" s="699">
        <v>7.1999999999999995E-2</v>
      </c>
      <c r="N42" s="696" t="s">
        <v>253</v>
      </c>
      <c r="O42"/>
      <c r="P42"/>
      <c r="Q42"/>
      <c r="R42"/>
      <c r="S42"/>
    </row>
    <row r="43" spans="1:19" s="404" customFormat="1" ht="18" x14ac:dyDescent="0.35">
      <c r="A43" s="690" t="s">
        <v>1</v>
      </c>
      <c r="B43" s="699">
        <v>7.2999999999999995E-2</v>
      </c>
      <c r="C43" s="698">
        <v>0.63600000000000001</v>
      </c>
      <c r="D43" s="699">
        <v>9.1999999999999998E-2</v>
      </c>
      <c r="E43" s="699">
        <v>8.6999999999999994E-2</v>
      </c>
      <c r="F43" s="699">
        <v>8.4000000000000005E-2</v>
      </c>
      <c r="G43" s="698">
        <v>0.629</v>
      </c>
      <c r="H43" s="698">
        <v>0.63400000000000001</v>
      </c>
      <c r="I43" s="698">
        <v>0.63800000000000001</v>
      </c>
      <c r="J43" s="698">
        <v>0.628</v>
      </c>
      <c r="K43" s="699">
        <v>7.3999999999999996E-2</v>
      </c>
      <c r="L43" s="699">
        <v>7.3999999999999996E-2</v>
      </c>
      <c r="M43" s="699">
        <v>7.4999999999999997E-2</v>
      </c>
      <c r="N43" s="696" t="s">
        <v>253</v>
      </c>
      <c r="O43" t="s">
        <v>243</v>
      </c>
      <c r="P43"/>
      <c r="Q43"/>
      <c r="R43"/>
      <c r="S43"/>
    </row>
    <row r="44" spans="1:19" s="404" customFormat="1" ht="18" x14ac:dyDescent="0.35">
      <c r="A44" s="690" t="s">
        <v>2</v>
      </c>
      <c r="B44" s="699">
        <v>7.1999999999999995E-2</v>
      </c>
      <c r="C44" s="698">
        <v>0.63700000000000001</v>
      </c>
      <c r="D44" s="699">
        <v>8.7999999999999995E-2</v>
      </c>
      <c r="E44" s="699">
        <v>0.108</v>
      </c>
      <c r="F44" s="699">
        <v>8.7999999999999995E-2</v>
      </c>
      <c r="G44" s="705">
        <v>0.60799999999999998</v>
      </c>
      <c r="H44" s="705">
        <v>0.60299999999999998</v>
      </c>
      <c r="I44" s="705">
        <v>0.60499999999999998</v>
      </c>
      <c r="J44" s="705">
        <v>0.60599999999999998</v>
      </c>
      <c r="K44" s="699">
        <v>7.0999999999999994E-2</v>
      </c>
      <c r="L44" s="699">
        <v>7.1999999999999995E-2</v>
      </c>
      <c r="M44" s="699">
        <v>7.2999999999999995E-2</v>
      </c>
      <c r="N44" s="696" t="s">
        <v>253</v>
      </c>
      <c r="O44" t="s">
        <v>244</v>
      </c>
      <c r="P44"/>
      <c r="Q44"/>
      <c r="R44"/>
      <c r="S44"/>
    </row>
    <row r="45" spans="1:19" s="404" customFormat="1" ht="18" x14ac:dyDescent="0.35">
      <c r="A45" s="690" t="s">
        <v>3</v>
      </c>
      <c r="B45" s="699">
        <v>7.0000000000000007E-2</v>
      </c>
      <c r="C45" s="698">
        <v>0.629</v>
      </c>
      <c r="D45" s="692">
        <v>0.14199999999999999</v>
      </c>
      <c r="E45" s="691">
        <v>0.16200000000000001</v>
      </c>
      <c r="F45" s="692">
        <v>0.13500000000000001</v>
      </c>
      <c r="G45" s="698">
        <v>0.64</v>
      </c>
      <c r="H45" s="698">
        <v>0.64</v>
      </c>
      <c r="I45" s="698">
        <v>0.64100000000000001</v>
      </c>
      <c r="J45" s="698">
        <v>0.63700000000000001</v>
      </c>
      <c r="K45" s="699">
        <v>7.0999999999999994E-2</v>
      </c>
      <c r="L45" s="699">
        <v>7.2999999999999995E-2</v>
      </c>
      <c r="M45" s="699">
        <v>7.2999999999999995E-2</v>
      </c>
      <c r="N45" s="696" t="s">
        <v>253</v>
      </c>
      <c r="O45" t="s">
        <v>245</v>
      </c>
      <c r="P45"/>
      <c r="Q45"/>
      <c r="R45"/>
      <c r="S45"/>
    </row>
    <row r="46" spans="1:19" s="404" customFormat="1" ht="18" x14ac:dyDescent="0.35">
      <c r="A46" s="690" t="s">
        <v>4</v>
      </c>
      <c r="B46" s="699">
        <v>7.1999999999999995E-2</v>
      </c>
      <c r="C46" s="698">
        <v>0.63500000000000001</v>
      </c>
      <c r="D46" s="693">
        <v>0.27500000000000002</v>
      </c>
      <c r="E46" s="697">
        <v>0.307</v>
      </c>
      <c r="F46" s="697">
        <v>0.29199999999999998</v>
      </c>
      <c r="G46" s="705">
        <v>0.60599999999999998</v>
      </c>
      <c r="H46" s="705">
        <v>0.60299999999999998</v>
      </c>
      <c r="I46" s="705">
        <v>0.60899999999999999</v>
      </c>
      <c r="J46" s="705">
        <v>0.60499999999999998</v>
      </c>
      <c r="K46" s="699">
        <v>7.0999999999999994E-2</v>
      </c>
      <c r="L46" s="699">
        <v>7.1999999999999995E-2</v>
      </c>
      <c r="M46" s="699">
        <v>7.3999999999999996E-2</v>
      </c>
      <c r="N46" s="696" t="s">
        <v>253</v>
      </c>
      <c r="O46" t="s">
        <v>246</v>
      </c>
      <c r="P46"/>
      <c r="Q46"/>
      <c r="R46"/>
      <c r="S46"/>
    </row>
    <row r="47" spans="1:19" s="404" customFormat="1" ht="18" x14ac:dyDescent="0.35">
      <c r="A47" s="690" t="s">
        <v>5</v>
      </c>
      <c r="B47" s="699">
        <v>7.2999999999999995E-2</v>
      </c>
      <c r="C47" s="698">
        <v>0.64</v>
      </c>
      <c r="D47" s="700">
        <v>0.40899999999999997</v>
      </c>
      <c r="E47" s="702">
        <v>0.436</v>
      </c>
      <c r="F47" s="702">
        <v>0.433</v>
      </c>
      <c r="G47" s="698">
        <v>0.64400000000000002</v>
      </c>
      <c r="H47" s="698">
        <v>0.64300000000000002</v>
      </c>
      <c r="I47" s="698">
        <v>0.64500000000000002</v>
      </c>
      <c r="J47" s="698">
        <v>0.64100000000000001</v>
      </c>
      <c r="K47" s="699">
        <v>7.0999999999999994E-2</v>
      </c>
      <c r="L47" s="699">
        <v>7.0000000000000007E-2</v>
      </c>
      <c r="M47" s="699">
        <v>7.1999999999999995E-2</v>
      </c>
      <c r="N47" s="696" t="s">
        <v>253</v>
      </c>
      <c r="O47" t="s">
        <v>247</v>
      </c>
      <c r="P47"/>
      <c r="Q47"/>
      <c r="R47"/>
      <c r="S47"/>
    </row>
    <row r="48" spans="1:19" s="404" customFormat="1" ht="18" x14ac:dyDescent="0.35">
      <c r="A48" s="690" t="s">
        <v>6</v>
      </c>
      <c r="B48" s="699">
        <v>7.1999999999999995E-2</v>
      </c>
      <c r="C48" s="698">
        <v>0.63900000000000001</v>
      </c>
      <c r="D48" s="704">
        <v>0.51300000000000001</v>
      </c>
      <c r="E48" s="704">
        <v>0.53200000000000003</v>
      </c>
      <c r="F48" s="704">
        <v>0.52300000000000002</v>
      </c>
      <c r="G48" s="705">
        <v>0.59799999999999998</v>
      </c>
      <c r="H48" s="705">
        <v>0.59199999999999997</v>
      </c>
      <c r="I48" s="705">
        <v>0.60199999999999998</v>
      </c>
      <c r="J48" s="705">
        <v>0.60099999999999998</v>
      </c>
      <c r="K48" s="699">
        <v>7.2999999999999995E-2</v>
      </c>
      <c r="L48" s="699">
        <v>7.6999999999999999E-2</v>
      </c>
      <c r="M48" s="699">
        <v>7.4999999999999997E-2</v>
      </c>
      <c r="N48" s="696" t="s">
        <v>253</v>
      </c>
      <c r="O48" t="s">
        <v>248</v>
      </c>
      <c r="P48"/>
      <c r="Q48"/>
      <c r="R48"/>
      <c r="S48"/>
    </row>
    <row r="49" spans="1:19" s="404" customFormat="1" ht="18" x14ac:dyDescent="0.35">
      <c r="A49" s="690" t="s">
        <v>7</v>
      </c>
      <c r="B49" s="699">
        <v>7.1999999999999995E-2</v>
      </c>
      <c r="C49" s="698">
        <v>0.63700000000000001</v>
      </c>
      <c r="D49" s="701">
        <v>0.57299999999999995</v>
      </c>
      <c r="E49" s="705">
        <v>0.58399999999999996</v>
      </c>
      <c r="F49" s="701">
        <v>0.58099999999999996</v>
      </c>
      <c r="G49" s="705">
        <v>0.60799999999999998</v>
      </c>
      <c r="H49" s="705">
        <v>0.59899999999999998</v>
      </c>
      <c r="I49" s="705">
        <v>0.60299999999999998</v>
      </c>
      <c r="J49" s="705">
        <v>0.60499999999999998</v>
      </c>
      <c r="K49" s="699">
        <v>8.5000000000000006E-2</v>
      </c>
      <c r="L49" s="699">
        <v>8.5999999999999993E-2</v>
      </c>
      <c r="M49" s="699">
        <v>8.6999999999999994E-2</v>
      </c>
      <c r="N49" s="696" t="s">
        <v>253</v>
      </c>
      <c r="O49" t="s">
        <v>249</v>
      </c>
      <c r="P49"/>
      <c r="Q49"/>
      <c r="R49"/>
      <c r="S49"/>
    </row>
    <row r="50" spans="1:19" s="404" customFormat="1" x14ac:dyDescent="0.35">
      <c r="A50"/>
      <c r="B50"/>
      <c r="C50"/>
      <c r="D50"/>
      <c r="E50"/>
      <c r="F50"/>
      <c r="G50"/>
      <c r="H50"/>
      <c r="I50"/>
      <c r="J50"/>
      <c r="K50"/>
      <c r="L50"/>
      <c r="M50"/>
      <c r="N50"/>
      <c r="O50"/>
      <c r="P50"/>
      <c r="Q50"/>
      <c r="R50"/>
      <c r="S50"/>
    </row>
    <row r="51" spans="1:19" s="404" customFormat="1" x14ac:dyDescent="0.35">
      <c r="A51"/>
      <c r="B51"/>
      <c r="C51"/>
      <c r="D51"/>
      <c r="E51"/>
      <c r="F51"/>
      <c r="G51"/>
      <c r="H51"/>
      <c r="I51"/>
      <c r="J51"/>
      <c r="K51"/>
      <c r="L51"/>
      <c r="M51"/>
      <c r="N51"/>
      <c r="O51"/>
      <c r="P51"/>
      <c r="Q51"/>
      <c r="R51"/>
      <c r="S51"/>
    </row>
    <row r="52" spans="1:19" s="404" customFormat="1" x14ac:dyDescent="0.35">
      <c r="A52"/>
      <c r="B52"/>
      <c r="C52"/>
      <c r="D52"/>
      <c r="E52"/>
      <c r="F52"/>
      <c r="G52"/>
      <c r="H52"/>
      <c r="I52"/>
      <c r="J52"/>
      <c r="K52"/>
      <c r="L52"/>
      <c r="M52"/>
      <c r="N52"/>
      <c r="O52"/>
      <c r="P52"/>
      <c r="Q52"/>
      <c r="R52"/>
      <c r="S52"/>
    </row>
    <row r="53" spans="1:19" s="404" customFormat="1" x14ac:dyDescent="0.35">
      <c r="A53"/>
      <c r="B53"/>
      <c r="C53"/>
      <c r="D53"/>
      <c r="E53"/>
      <c r="F53"/>
      <c r="G53"/>
      <c r="H53"/>
      <c r="I53"/>
      <c r="J53"/>
      <c r="K53"/>
      <c r="L53"/>
      <c r="M53"/>
      <c r="N53"/>
      <c r="O53"/>
      <c r="P53"/>
      <c r="Q53"/>
      <c r="R53"/>
      <c r="S53"/>
    </row>
    <row r="54" spans="1:19" s="404" customFormat="1" x14ac:dyDescent="0.35">
      <c r="A54"/>
      <c r="B54"/>
      <c r="C54"/>
      <c r="D54"/>
      <c r="E54"/>
      <c r="F54"/>
      <c r="G54"/>
      <c r="H54"/>
      <c r="I54"/>
      <c r="J54"/>
      <c r="K54"/>
      <c r="L54"/>
      <c r="M54"/>
      <c r="N54"/>
      <c r="O54"/>
      <c r="P54"/>
      <c r="Q54"/>
      <c r="R54"/>
      <c r="S54"/>
    </row>
    <row r="55" spans="1:19" s="404" customFormat="1" x14ac:dyDescent="0.35">
      <c r="A55"/>
      <c r="B55"/>
      <c r="C55"/>
      <c r="D55"/>
      <c r="E55"/>
      <c r="F55"/>
      <c r="G55"/>
      <c r="H55"/>
      <c r="I55"/>
      <c r="J55"/>
      <c r="K55"/>
      <c r="L55"/>
      <c r="M55"/>
      <c r="N55"/>
      <c r="O55"/>
      <c r="P55"/>
      <c r="Q55"/>
      <c r="R55"/>
      <c r="S55"/>
    </row>
    <row r="56" spans="1:19" s="404" customFormat="1" x14ac:dyDescent="0.35">
      <c r="A56"/>
      <c r="B56"/>
      <c r="C56"/>
      <c r="D56"/>
      <c r="E56"/>
      <c r="F56"/>
      <c r="G56"/>
      <c r="H56"/>
      <c r="I56"/>
      <c r="J56"/>
      <c r="K56"/>
      <c r="L56"/>
      <c r="M56"/>
      <c r="N56"/>
      <c r="O56"/>
      <c r="P56"/>
      <c r="Q56"/>
      <c r="R56"/>
      <c r="S56"/>
    </row>
    <row r="57" spans="1:19" s="404" customFormat="1" x14ac:dyDescent="0.35">
      <c r="A57"/>
      <c r="B57"/>
      <c r="C57"/>
      <c r="D57"/>
      <c r="E57"/>
      <c r="F57"/>
      <c r="G57"/>
      <c r="H57"/>
      <c r="I57"/>
      <c r="J57"/>
      <c r="K57"/>
      <c r="L57"/>
      <c r="M57"/>
      <c r="N57"/>
      <c r="O57"/>
      <c r="P57"/>
      <c r="Q57"/>
      <c r="R57"/>
      <c r="S57"/>
    </row>
    <row r="58" spans="1:19" s="404" customFormat="1" x14ac:dyDescent="0.35">
      <c r="A58"/>
      <c r="B58"/>
      <c r="C58"/>
      <c r="D58"/>
      <c r="E58"/>
      <c r="F58"/>
      <c r="G58"/>
      <c r="H58"/>
      <c r="I58"/>
      <c r="J58"/>
      <c r="K58"/>
      <c r="L58"/>
      <c r="M58"/>
      <c r="N58"/>
      <c r="O58"/>
      <c r="P58"/>
      <c r="Q58"/>
      <c r="R58"/>
      <c r="S58"/>
    </row>
    <row r="59" spans="1:19" s="404" customFormat="1" x14ac:dyDescent="0.35">
      <c r="A59"/>
      <c r="B59"/>
      <c r="C59"/>
      <c r="D59"/>
      <c r="E59"/>
      <c r="F59"/>
      <c r="G59"/>
      <c r="H59"/>
      <c r="I59"/>
      <c r="J59"/>
      <c r="K59"/>
      <c r="L59"/>
      <c r="M59"/>
      <c r="N59"/>
      <c r="O59"/>
      <c r="P59"/>
      <c r="Q59"/>
      <c r="R59"/>
      <c r="S59"/>
    </row>
    <row r="60" spans="1:19" s="404" customFormat="1" x14ac:dyDescent="0.35">
      <c r="A60"/>
      <c r="B60"/>
      <c r="C60"/>
      <c r="D60"/>
      <c r="E60"/>
      <c r="F60"/>
      <c r="G60"/>
      <c r="H60"/>
      <c r="I60"/>
      <c r="J60"/>
      <c r="K60"/>
      <c r="L60"/>
      <c r="M60"/>
      <c r="N60"/>
      <c r="O60"/>
      <c r="P60"/>
      <c r="Q60"/>
      <c r="R60"/>
      <c r="S60"/>
    </row>
    <row r="61" spans="1:19" s="404" customFormat="1" x14ac:dyDescent="0.35">
      <c r="A61"/>
      <c r="B61"/>
      <c r="C61"/>
      <c r="D61"/>
      <c r="E61"/>
      <c r="F61"/>
      <c r="G61"/>
      <c r="H61"/>
      <c r="I61"/>
      <c r="J61"/>
      <c r="K61"/>
      <c r="L61"/>
      <c r="M61"/>
      <c r="N61"/>
      <c r="O61"/>
      <c r="P61"/>
      <c r="Q61"/>
      <c r="R61"/>
      <c r="S61"/>
    </row>
    <row r="62" spans="1:19" s="404" customFormat="1" x14ac:dyDescent="0.35">
      <c r="A62"/>
      <c r="B62"/>
      <c r="C62"/>
      <c r="D62"/>
      <c r="E62"/>
      <c r="F62"/>
      <c r="G62"/>
      <c r="H62"/>
      <c r="I62"/>
      <c r="J62"/>
      <c r="K62"/>
      <c r="L62"/>
      <c r="M62"/>
      <c r="N62"/>
      <c r="O62"/>
      <c r="P62"/>
      <c r="Q62"/>
      <c r="R62"/>
      <c r="S62"/>
    </row>
    <row r="63" spans="1:19" s="404" customFormat="1" x14ac:dyDescent="0.35">
      <c r="A63"/>
      <c r="B63"/>
      <c r="C63"/>
      <c r="D63"/>
      <c r="E63"/>
      <c r="F63"/>
      <c r="G63"/>
      <c r="H63"/>
      <c r="I63"/>
      <c r="J63"/>
      <c r="K63"/>
      <c r="L63"/>
      <c r="M63"/>
      <c r="N63"/>
      <c r="O63"/>
      <c r="P63"/>
      <c r="Q63"/>
      <c r="R63"/>
      <c r="S63"/>
    </row>
    <row r="64" spans="1:19" s="404" customFormat="1" x14ac:dyDescent="0.35">
      <c r="A64"/>
      <c r="B64"/>
      <c r="C64"/>
      <c r="D64"/>
      <c r="E64"/>
      <c r="F64"/>
      <c r="G64"/>
      <c r="H64"/>
      <c r="I64"/>
      <c r="J64"/>
      <c r="K64"/>
      <c r="L64"/>
      <c r="M64"/>
      <c r="N64"/>
      <c r="O64"/>
      <c r="P64"/>
      <c r="Q64"/>
      <c r="R64"/>
      <c r="S64"/>
    </row>
    <row r="65" spans="1:19" s="404" customFormat="1" x14ac:dyDescent="0.35">
      <c r="A65"/>
      <c r="B65"/>
      <c r="C65"/>
      <c r="D65"/>
      <c r="E65"/>
      <c r="F65"/>
      <c r="G65"/>
      <c r="H65"/>
      <c r="I65"/>
      <c r="J65"/>
      <c r="K65"/>
      <c r="L65"/>
      <c r="M65"/>
      <c r="N65"/>
      <c r="O65"/>
      <c r="P65"/>
      <c r="Q65"/>
      <c r="R65"/>
      <c r="S65"/>
    </row>
    <row r="66" spans="1:19" s="404" customFormat="1" x14ac:dyDescent="0.35">
      <c r="A66"/>
      <c r="B66"/>
      <c r="C66"/>
      <c r="D66"/>
      <c r="E66"/>
      <c r="F66"/>
      <c r="G66"/>
      <c r="H66"/>
      <c r="I66"/>
      <c r="J66"/>
      <c r="K66"/>
      <c r="L66"/>
      <c r="M66"/>
      <c r="N66"/>
      <c r="O66"/>
      <c r="P66"/>
      <c r="Q66"/>
      <c r="R66"/>
      <c r="S66"/>
    </row>
    <row r="67" spans="1:19" s="404" customFormat="1" x14ac:dyDescent="0.35">
      <c r="A67"/>
      <c r="B67"/>
      <c r="C67"/>
      <c r="D67"/>
      <c r="E67"/>
      <c r="F67"/>
      <c r="G67"/>
      <c r="H67"/>
      <c r="I67"/>
      <c r="J67"/>
      <c r="K67"/>
      <c r="L67"/>
      <c r="M67"/>
      <c r="N67"/>
      <c r="O67"/>
      <c r="P67"/>
      <c r="Q67"/>
      <c r="R67"/>
      <c r="S67"/>
    </row>
    <row r="68" spans="1:19" s="404" customFormat="1" x14ac:dyDescent="0.35">
      <c r="A68"/>
      <c r="B68"/>
      <c r="C68"/>
      <c r="D68"/>
      <c r="E68"/>
      <c r="F68"/>
      <c r="G68"/>
      <c r="H68"/>
      <c r="I68"/>
      <c r="J68"/>
      <c r="K68"/>
      <c r="L68"/>
      <c r="M68"/>
      <c r="N68"/>
      <c r="O68"/>
      <c r="P68"/>
      <c r="Q68"/>
      <c r="R68"/>
      <c r="S68"/>
    </row>
    <row r="69" spans="1:19" s="404" customFormat="1" x14ac:dyDescent="0.35">
      <c r="A69"/>
      <c r="B69"/>
      <c r="C69"/>
      <c r="D69"/>
      <c r="E69"/>
      <c r="F69"/>
      <c r="G69"/>
      <c r="H69"/>
      <c r="I69"/>
      <c r="J69"/>
      <c r="K69"/>
      <c r="L69"/>
      <c r="M69"/>
      <c r="N69"/>
      <c r="O69"/>
      <c r="P69"/>
      <c r="Q69"/>
      <c r="R69"/>
      <c r="S69"/>
    </row>
    <row r="70" spans="1:19" s="404" customFormat="1" x14ac:dyDescent="0.35">
      <c r="A70"/>
      <c r="B70"/>
      <c r="C70"/>
      <c r="D70"/>
      <c r="E70"/>
      <c r="F70"/>
      <c r="G70"/>
      <c r="H70"/>
      <c r="I70"/>
      <c r="J70"/>
      <c r="K70"/>
      <c r="L70"/>
      <c r="M70"/>
      <c r="N70"/>
      <c r="O70"/>
      <c r="P70"/>
      <c r="Q70"/>
      <c r="R70"/>
      <c r="S70"/>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2"/>
  <sheetViews>
    <sheetView view="pageLayout" zoomScaleNormal="100" workbookViewId="0">
      <selection activeCell="C10" sqref="C10"/>
    </sheetView>
  </sheetViews>
  <sheetFormatPr defaultRowHeight="14.5" x14ac:dyDescent="0.35"/>
  <cols>
    <col min="1" max="1" width="20.90625" customWidth="1"/>
    <col min="2" max="2" width="33.81640625" customWidth="1"/>
    <col min="3" max="3" width="13.54296875" customWidth="1"/>
    <col min="4" max="4" width="17" customWidth="1"/>
  </cols>
  <sheetData>
    <row r="1" spans="1:4" ht="23.5" x14ac:dyDescent="0.55000000000000004">
      <c r="A1" s="8" t="s">
        <v>183</v>
      </c>
    </row>
    <row r="2" spans="1:4" x14ac:dyDescent="0.35">
      <c r="C2" s="4" t="s">
        <v>123</v>
      </c>
      <c r="D2" s="3"/>
    </row>
    <row r="3" spans="1:4" x14ac:dyDescent="0.35">
      <c r="A3" s="197" t="s">
        <v>40</v>
      </c>
      <c r="B3" s="3" t="s">
        <v>254</v>
      </c>
    </row>
    <row r="4" spans="1:4" x14ac:dyDescent="0.35">
      <c r="A4" s="197" t="s">
        <v>26</v>
      </c>
      <c r="B4" s="180" t="s">
        <v>255</v>
      </c>
    </row>
    <row r="5" spans="1:4" x14ac:dyDescent="0.35">
      <c r="A5" s="197" t="s">
        <v>239</v>
      </c>
      <c r="B5" s="3" t="s">
        <v>237</v>
      </c>
    </row>
    <row r="6" spans="1:4" x14ac:dyDescent="0.35">
      <c r="A6" s="197" t="s">
        <v>41</v>
      </c>
      <c r="B6" s="3" t="s">
        <v>238</v>
      </c>
    </row>
    <row r="7" spans="1:4" x14ac:dyDescent="0.35">
      <c r="A7" s="197" t="s">
        <v>35</v>
      </c>
      <c r="B7" s="198" t="s">
        <v>43</v>
      </c>
    </row>
    <row r="8" spans="1:4" x14ac:dyDescent="0.35">
      <c r="A8" s="2"/>
    </row>
    <row r="9" spans="1:4" x14ac:dyDescent="0.35">
      <c r="A9" s="2" t="s">
        <v>42</v>
      </c>
    </row>
    <row r="10" spans="1:4" ht="58" x14ac:dyDescent="0.35">
      <c r="B10" s="11" t="s">
        <v>43</v>
      </c>
      <c r="C10" s="12" t="s">
        <v>51</v>
      </c>
      <c r="D10" s="12" t="s">
        <v>236</v>
      </c>
    </row>
    <row r="11" spans="1:4" x14ac:dyDescent="0.35">
      <c r="A11" s="13">
        <v>1</v>
      </c>
      <c r="B11" s="14" t="str">
        <f>'Raw Data'!O3</f>
        <v>Tri-n-octylphospine oxide</v>
      </c>
      <c r="C11" s="471" t="s">
        <v>256</v>
      </c>
      <c r="D11" s="542" t="s">
        <v>257</v>
      </c>
    </row>
    <row r="12" spans="1:4" x14ac:dyDescent="0.35">
      <c r="A12" s="13">
        <v>2</v>
      </c>
      <c r="B12" s="14" t="str">
        <f>'Raw Data'!O4</f>
        <v>Dicyclohexylcarbodiimide</v>
      </c>
      <c r="C12" s="542" t="s">
        <v>256</v>
      </c>
      <c r="D12" s="542" t="s">
        <v>257</v>
      </c>
    </row>
    <row r="13" spans="1:4" x14ac:dyDescent="0.35">
      <c r="A13" s="13">
        <v>3</v>
      </c>
      <c r="B13" s="14" t="str">
        <f>'Raw Data'!O5</f>
        <v>Triethanolamine</v>
      </c>
      <c r="C13" s="542" t="s">
        <v>256</v>
      </c>
      <c r="D13" s="542" t="s">
        <v>257</v>
      </c>
    </row>
    <row r="14" spans="1:4" x14ac:dyDescent="0.35">
      <c r="A14" s="13">
        <v>4</v>
      </c>
      <c r="B14" s="14" t="str">
        <f>'Raw Data'!O6</f>
        <v>Pentaerythritol triacrylate</v>
      </c>
      <c r="C14" s="542" t="s">
        <v>256</v>
      </c>
      <c r="D14" s="542" t="s">
        <v>257</v>
      </c>
    </row>
    <row r="15" spans="1:4" x14ac:dyDescent="0.35">
      <c r="A15" s="13">
        <v>5</v>
      </c>
      <c r="B15" s="14" t="str">
        <f>'Raw Data'!O7</f>
        <v>Clarithromycin</v>
      </c>
      <c r="C15" s="542" t="s">
        <v>256</v>
      </c>
      <c r="D15" s="542" t="s">
        <v>257</v>
      </c>
    </row>
    <row r="16" spans="1:4" x14ac:dyDescent="0.35">
      <c r="A16" s="13">
        <v>6</v>
      </c>
      <c r="B16" s="14" t="str">
        <f>'Raw Data'!O8</f>
        <v>o-Benzyl-p-chlorophenol</v>
      </c>
      <c r="C16" s="542" t="s">
        <v>256</v>
      </c>
      <c r="D16" s="542" t="s">
        <v>257</v>
      </c>
    </row>
    <row r="17" spans="1:4" x14ac:dyDescent="0.35">
      <c r="A17" s="13">
        <v>7</v>
      </c>
      <c r="B17" s="14" t="str">
        <f>'Raw Data'!O9</f>
        <v>5-Amino-o-cresol</v>
      </c>
      <c r="C17" s="542" t="s">
        <v>256</v>
      </c>
      <c r="D17" s="542" t="s">
        <v>257</v>
      </c>
    </row>
    <row r="19" spans="1:4" ht="15" thickBot="1" x14ac:dyDescent="0.4">
      <c r="A19" t="s">
        <v>44</v>
      </c>
    </row>
    <row r="20" spans="1:4" x14ac:dyDescent="0.35">
      <c r="A20" s="577"/>
      <c r="B20" s="578"/>
      <c r="C20" s="578"/>
      <c r="D20" s="579"/>
    </row>
    <row r="21" spans="1:4" x14ac:dyDescent="0.35">
      <c r="A21" s="580"/>
      <c r="B21" s="581"/>
      <c r="C21" s="581"/>
      <c r="D21" s="582"/>
    </row>
    <row r="22" spans="1:4" x14ac:dyDescent="0.35">
      <c r="A22" s="580"/>
      <c r="B22" s="581"/>
      <c r="C22" s="581"/>
      <c r="D22" s="582"/>
    </row>
    <row r="23" spans="1:4" x14ac:dyDescent="0.35">
      <c r="A23" s="580"/>
      <c r="B23" s="581"/>
      <c r="C23" s="581"/>
      <c r="D23" s="582"/>
    </row>
    <row r="24" spans="1:4" x14ac:dyDescent="0.35">
      <c r="A24" s="580"/>
      <c r="B24" s="581"/>
      <c r="C24" s="581"/>
      <c r="D24" s="582"/>
    </row>
    <row r="25" spans="1:4" ht="15" thickBot="1" x14ac:dyDescent="0.4">
      <c r="A25" s="583"/>
      <c r="B25" s="584"/>
      <c r="C25" s="584"/>
      <c r="D25" s="585"/>
    </row>
    <row r="28" spans="1:4" x14ac:dyDescent="0.35">
      <c r="A28" t="s">
        <v>35</v>
      </c>
      <c r="B28" s="3"/>
      <c r="C28" s="4" t="s">
        <v>29</v>
      </c>
      <c r="D28" s="3"/>
    </row>
    <row r="32" spans="1:4" x14ac:dyDescent="0.35">
      <c r="A32" t="s">
        <v>30</v>
      </c>
      <c r="B32" s="3"/>
      <c r="C32" s="4" t="s">
        <v>29</v>
      </c>
      <c r="D32" s="3"/>
    </row>
  </sheetData>
  <mergeCells count="1">
    <mergeCell ref="A20:D2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55"/>
  <sheetViews>
    <sheetView zoomScale="80" zoomScaleNormal="80" workbookViewId="0">
      <selection activeCell="A11" sqref="A11:M14"/>
    </sheetView>
  </sheetViews>
  <sheetFormatPr defaultRowHeight="14.5" x14ac:dyDescent="0.35"/>
  <cols>
    <col min="1" max="13" width="11.6328125" style="1" customWidth="1"/>
    <col min="14" max="14" width="11.6328125" style="145" customWidth="1"/>
    <col min="15" max="15" width="34.08984375" customWidth="1"/>
    <col min="16" max="16" width="2.08984375" customWidth="1"/>
    <col min="17" max="17" width="6" customWidth="1"/>
    <col min="18" max="18" width="5.453125" style="1" customWidth="1"/>
    <col min="19" max="19" width="8.90625" customWidth="1"/>
    <col min="20" max="20" width="1.6328125" customWidth="1"/>
    <col min="21" max="21" width="13" customWidth="1"/>
    <col min="22" max="22" width="9.453125" customWidth="1"/>
    <col min="23" max="23" width="10.81640625" customWidth="1"/>
    <col min="24" max="24" width="2.54296875" customWidth="1"/>
    <col min="25" max="25" width="8.54296875" customWidth="1"/>
  </cols>
  <sheetData>
    <row r="1" spans="1:24" x14ac:dyDescent="0.35">
      <c r="A1" s="5" t="s">
        <v>69</v>
      </c>
    </row>
    <row r="2" spans="1:24" x14ac:dyDescent="0.35">
      <c r="A2" s="144" t="str">
        <f>'Raw Data'!A1</f>
        <v>Bubble</v>
      </c>
      <c r="B2" s="144">
        <f>'Raw Data'!B1</f>
        <v>1</v>
      </c>
      <c r="C2" s="144">
        <f>'Raw Data'!C1</f>
        <v>2</v>
      </c>
      <c r="D2" s="144">
        <f>'Raw Data'!D1</f>
        <v>3</v>
      </c>
      <c r="E2" s="144">
        <f>'Raw Data'!E1</f>
        <v>4</v>
      </c>
      <c r="F2" s="144">
        <f>'Raw Data'!F1</f>
        <v>5</v>
      </c>
      <c r="G2" s="144">
        <f>'Raw Data'!G1</f>
        <v>6</v>
      </c>
      <c r="H2" s="144">
        <f>'Raw Data'!H1</f>
        <v>7</v>
      </c>
      <c r="I2" s="144">
        <f>'Raw Data'!I1</f>
        <v>8</v>
      </c>
      <c r="J2" s="144">
        <f>'Raw Data'!J1</f>
        <v>9</v>
      </c>
      <c r="K2" s="144">
        <f>'Raw Data'!K1</f>
        <v>10</v>
      </c>
      <c r="L2" s="144">
        <f>'Raw Data'!L1</f>
        <v>11</v>
      </c>
      <c r="M2" s="144">
        <f>'Raw Data'!M1</f>
        <v>12</v>
      </c>
      <c r="N2" s="448" t="s">
        <v>188</v>
      </c>
      <c r="O2" s="447" t="s">
        <v>187</v>
      </c>
      <c r="Q2" s="598" t="s">
        <v>138</v>
      </c>
      <c r="R2" s="576"/>
      <c r="S2" s="597"/>
      <c r="U2" s="599" t="s">
        <v>163</v>
      </c>
      <c r="V2" s="600"/>
      <c r="W2" s="600"/>
      <c r="X2" s="146"/>
    </row>
    <row r="3" spans="1:24" x14ac:dyDescent="0.35">
      <c r="A3" s="144" t="str">
        <f>'Raw Data'!A2</f>
        <v>A</v>
      </c>
      <c r="B3" s="147">
        <f>'Raw Data'!B2</f>
        <v>6.6000000000000003E-2</v>
      </c>
      <c r="C3" s="147">
        <f>'Raw Data'!C2</f>
        <v>6.6000000000000003E-2</v>
      </c>
      <c r="D3" s="147">
        <f>'Raw Data'!D2</f>
        <v>6.7000000000000004E-2</v>
      </c>
      <c r="E3" s="147">
        <f>'Raw Data'!E2</f>
        <v>6.8000000000000005E-2</v>
      </c>
      <c r="F3" s="147">
        <f>'Raw Data'!F2</f>
        <v>6.7000000000000004E-2</v>
      </c>
      <c r="G3" s="147">
        <f>'Raw Data'!G2</f>
        <v>6.6000000000000003E-2</v>
      </c>
      <c r="H3" s="147">
        <f>'Raw Data'!H2</f>
        <v>6.6000000000000003E-2</v>
      </c>
      <c r="I3" s="147">
        <f>'Raw Data'!I2</f>
        <v>6.6000000000000003E-2</v>
      </c>
      <c r="J3" s="147">
        <f>'Raw Data'!J2</f>
        <v>6.7000000000000004E-2</v>
      </c>
      <c r="K3" s="147">
        <f>'Raw Data'!K2</f>
        <v>6.7000000000000004E-2</v>
      </c>
      <c r="L3" s="147">
        <f>'Raw Data'!L2</f>
        <v>6.7000000000000004E-2</v>
      </c>
      <c r="M3" s="147">
        <f>'Raw Data'!M2</f>
        <v>6.8000000000000005E-2</v>
      </c>
      <c r="N3" s="145" t="str">
        <f>'Raw Data'!N2</f>
        <v>Bubble:680</v>
      </c>
      <c r="Q3" s="149" t="s">
        <v>54</v>
      </c>
      <c r="R3" s="150">
        <f>COUNT(B18:B25)</f>
        <v>8</v>
      </c>
      <c r="S3" s="13" t="str">
        <f>IF(R3&lt;6,"Fail","Pass")</f>
        <v>Pass</v>
      </c>
      <c r="U3" s="444" t="s">
        <v>25</v>
      </c>
      <c r="V3" s="440" t="s">
        <v>55</v>
      </c>
      <c r="W3" s="440" t="s">
        <v>56</v>
      </c>
    </row>
    <row r="4" spans="1:24" x14ac:dyDescent="0.35">
      <c r="A4" s="144" t="str">
        <f>'Raw Data'!A3</f>
        <v>B</v>
      </c>
      <c r="B4" s="147">
        <f>'Raw Data'!B3</f>
        <v>6.8000000000000005E-2</v>
      </c>
      <c r="C4" s="147">
        <f>'Raw Data'!C3</f>
        <v>6.7000000000000004E-2</v>
      </c>
      <c r="D4" s="147">
        <f>'Raw Data'!D3</f>
        <v>6.8000000000000005E-2</v>
      </c>
      <c r="E4" s="147">
        <f>'Raw Data'!E3</f>
        <v>6.9000000000000006E-2</v>
      </c>
      <c r="F4" s="147">
        <f>'Raw Data'!F3</f>
        <v>6.6000000000000003E-2</v>
      </c>
      <c r="G4" s="147">
        <f>'Raw Data'!G3</f>
        <v>6.7000000000000004E-2</v>
      </c>
      <c r="H4" s="147">
        <f>'Raw Data'!H3</f>
        <v>6.7000000000000004E-2</v>
      </c>
      <c r="I4" s="147">
        <f>'Raw Data'!I3</f>
        <v>6.8000000000000005E-2</v>
      </c>
      <c r="J4" s="147">
        <f>'Raw Data'!J3</f>
        <v>6.7000000000000004E-2</v>
      </c>
      <c r="K4" s="147">
        <f>'Raw Data'!K3</f>
        <v>6.8000000000000005E-2</v>
      </c>
      <c r="L4" s="147">
        <f>'Raw Data'!L3</f>
        <v>6.8000000000000005E-2</v>
      </c>
      <c r="M4" s="147">
        <f>'Raw Data'!M3</f>
        <v>6.8000000000000005E-2</v>
      </c>
      <c r="N4" s="145" t="str">
        <f>'Raw Data'!N3</f>
        <v>Bubble:680</v>
      </c>
      <c r="O4" t="str">
        <f>'Raw Data'!$O$3</f>
        <v>Tri-n-octylphospine oxide</v>
      </c>
      <c r="Q4" s="154"/>
      <c r="U4" s="439">
        <v>0.6</v>
      </c>
      <c r="V4" s="13">
        <f t="shared" ref="V4:V10" si="0">COUNT(D19:F19)</f>
        <v>3</v>
      </c>
      <c r="W4" s="13" t="str">
        <f>IF(V4&lt;2,"Fail","Pass")</f>
        <v>Pass</v>
      </c>
    </row>
    <row r="5" spans="1:24" x14ac:dyDescent="0.35">
      <c r="A5" s="144" t="str">
        <f>'Raw Data'!A4</f>
        <v>C</v>
      </c>
      <c r="B5" s="147">
        <f>'Raw Data'!B4</f>
        <v>6.6000000000000003E-2</v>
      </c>
      <c r="C5" s="147">
        <f>'Raw Data'!C4</f>
        <v>6.8000000000000005E-2</v>
      </c>
      <c r="D5" s="147">
        <f>'Raw Data'!D4</f>
        <v>6.6000000000000003E-2</v>
      </c>
      <c r="E5" s="147">
        <f>'Raw Data'!E4</f>
        <v>7.2999999999999995E-2</v>
      </c>
      <c r="F5" s="147">
        <f>'Raw Data'!F4</f>
        <v>6.7000000000000004E-2</v>
      </c>
      <c r="G5" s="147">
        <f>'Raw Data'!G4</f>
        <v>6.8000000000000005E-2</v>
      </c>
      <c r="H5" s="147">
        <f>'Raw Data'!H4</f>
        <v>6.8000000000000005E-2</v>
      </c>
      <c r="I5" s="147">
        <f>'Raw Data'!I4</f>
        <v>6.7000000000000004E-2</v>
      </c>
      <c r="J5" s="147">
        <f>'Raw Data'!J4</f>
        <v>6.7000000000000004E-2</v>
      </c>
      <c r="K5" s="147">
        <f>'Raw Data'!K4</f>
        <v>6.6000000000000003E-2</v>
      </c>
      <c r="L5" s="147">
        <f>'Raw Data'!L4</f>
        <v>6.7000000000000004E-2</v>
      </c>
      <c r="M5" s="147">
        <f>'Raw Data'!M4</f>
        <v>6.7000000000000004E-2</v>
      </c>
      <c r="N5" s="145" t="str">
        <f>'Raw Data'!N4</f>
        <v>Bubble:680</v>
      </c>
      <c r="O5" t="str">
        <f>'Raw Data'!$O$4</f>
        <v>Dicyclohexylcarbodiimide</v>
      </c>
      <c r="Q5" s="596" t="s">
        <v>139</v>
      </c>
      <c r="R5" s="576"/>
      <c r="S5" s="597"/>
      <c r="U5" s="439">
        <v>0.3</v>
      </c>
      <c r="V5" s="228">
        <f t="shared" si="0"/>
        <v>3</v>
      </c>
      <c r="W5" s="13" t="str">
        <f t="shared" ref="W5:W10" si="1">IF(V5&lt;2,"Fail","Pass")</f>
        <v>Pass</v>
      </c>
    </row>
    <row r="6" spans="1:24" x14ac:dyDescent="0.35">
      <c r="A6" s="144" t="str">
        <f>'Raw Data'!A5</f>
        <v>D</v>
      </c>
      <c r="B6" s="147">
        <f>'Raw Data'!B5</f>
        <v>6.5000000000000002E-2</v>
      </c>
      <c r="C6" s="147">
        <f>'Raw Data'!C5</f>
        <v>6.6000000000000003E-2</v>
      </c>
      <c r="D6" s="217">
        <f>'Raw Data'!D5</f>
        <v>6.6000000000000003E-2</v>
      </c>
      <c r="E6" s="147">
        <f>'Raw Data'!E5</f>
        <v>6.6000000000000003E-2</v>
      </c>
      <c r="F6" s="147">
        <f>'Raw Data'!F5</f>
        <v>6.6000000000000003E-2</v>
      </c>
      <c r="G6" s="147">
        <f>'Raw Data'!G5</f>
        <v>6.6000000000000003E-2</v>
      </c>
      <c r="H6" s="147">
        <f>'Raw Data'!H5</f>
        <v>6.6000000000000003E-2</v>
      </c>
      <c r="I6" s="147">
        <f>'Raw Data'!I5</f>
        <v>6.6000000000000003E-2</v>
      </c>
      <c r="J6" s="147">
        <f>'Raw Data'!J5</f>
        <v>6.6000000000000003E-2</v>
      </c>
      <c r="K6" s="147">
        <f>'Raw Data'!K5</f>
        <v>6.9000000000000006E-2</v>
      </c>
      <c r="L6" s="147">
        <f>'Raw Data'!L5</f>
        <v>6.7000000000000004E-2</v>
      </c>
      <c r="M6" s="147">
        <f>'Raw Data'!M5</f>
        <v>6.7000000000000004E-2</v>
      </c>
      <c r="N6" s="145" t="str">
        <f>'Raw Data'!N5</f>
        <v>Bubble:680</v>
      </c>
      <c r="O6" t="str">
        <f>'Raw Data'!$O$5</f>
        <v>Triethanolamine</v>
      </c>
      <c r="Q6" s="149" t="s">
        <v>54</v>
      </c>
      <c r="R6" s="150">
        <f>COUNT(C18:C25,D18:J18)</f>
        <v>15</v>
      </c>
      <c r="S6" s="13" t="str">
        <f>IF(R6&lt;12,"Fail","Pass")</f>
        <v>Pass</v>
      </c>
      <c r="U6" s="439">
        <v>0.15</v>
      </c>
      <c r="V6" s="228">
        <f t="shared" si="0"/>
        <v>3</v>
      </c>
      <c r="W6" s="13" t="str">
        <f t="shared" si="1"/>
        <v>Pass</v>
      </c>
    </row>
    <row r="7" spans="1:24" x14ac:dyDescent="0.35">
      <c r="A7" s="144" t="str">
        <f>'Raw Data'!A6</f>
        <v>E</v>
      </c>
      <c r="B7" s="147">
        <f>'Raw Data'!B6</f>
        <v>6.7000000000000004E-2</v>
      </c>
      <c r="C7" s="147">
        <f>'Raw Data'!C6</f>
        <v>6.5000000000000002E-2</v>
      </c>
      <c r="D7" s="147">
        <f>'Raw Data'!D6</f>
        <v>6.5000000000000002E-2</v>
      </c>
      <c r="E7" s="147">
        <f>'Raw Data'!E6</f>
        <v>6.5000000000000002E-2</v>
      </c>
      <c r="F7" s="147">
        <f>'Raw Data'!F6</f>
        <v>6.7000000000000004E-2</v>
      </c>
      <c r="G7" s="147">
        <f>'Raw Data'!G6</f>
        <v>6.6000000000000003E-2</v>
      </c>
      <c r="H7" s="147">
        <f>'Raw Data'!H6</f>
        <v>6.6000000000000003E-2</v>
      </c>
      <c r="I7" s="147">
        <f>'Raw Data'!I6</f>
        <v>6.6000000000000003E-2</v>
      </c>
      <c r="J7" s="147">
        <f>'Raw Data'!J6</f>
        <v>6.6000000000000003E-2</v>
      </c>
      <c r="K7" s="147">
        <f>'Raw Data'!K6</f>
        <v>6.6000000000000003E-2</v>
      </c>
      <c r="L7" s="147">
        <f>'Raw Data'!L6</f>
        <v>6.7000000000000004E-2</v>
      </c>
      <c r="M7" s="147">
        <f>'Raw Data'!M6</f>
        <v>6.7000000000000004E-2</v>
      </c>
      <c r="N7" s="145" t="str">
        <f>'Raw Data'!N6</f>
        <v>Bubble:680</v>
      </c>
      <c r="O7" t="str">
        <f>'Raw Data'!$O$6</f>
        <v>Pentaerythritol triacrylate</v>
      </c>
      <c r="U7" s="439">
        <v>7.4999999999999997E-2</v>
      </c>
      <c r="V7" s="228">
        <f t="shared" si="0"/>
        <v>3</v>
      </c>
      <c r="W7" s="13" t="str">
        <f t="shared" si="1"/>
        <v>Pass</v>
      </c>
    </row>
    <row r="8" spans="1:24" x14ac:dyDescent="0.35">
      <c r="A8" s="144" t="str">
        <f>'Raw Data'!A7</f>
        <v>F</v>
      </c>
      <c r="B8" s="147">
        <f>'Raw Data'!B7</f>
        <v>6.7000000000000004E-2</v>
      </c>
      <c r="C8" s="147">
        <f>'Raw Data'!C7</f>
        <v>6.5000000000000002E-2</v>
      </c>
      <c r="D8" s="147">
        <f>'Raw Data'!D7</f>
        <v>6.5000000000000002E-2</v>
      </c>
      <c r="E8" s="147">
        <f>'Raw Data'!E7</f>
        <v>6.5000000000000002E-2</v>
      </c>
      <c r="F8" s="147">
        <f>'Raw Data'!F7</f>
        <v>7.0999999999999994E-2</v>
      </c>
      <c r="G8" s="147">
        <f>'Raw Data'!G7</f>
        <v>6.9000000000000006E-2</v>
      </c>
      <c r="H8" s="147">
        <f>'Raw Data'!H7</f>
        <v>6.7000000000000004E-2</v>
      </c>
      <c r="I8" s="147">
        <f>'Raw Data'!I7</f>
        <v>6.6000000000000003E-2</v>
      </c>
      <c r="J8" s="147">
        <f>'Raw Data'!J7</f>
        <v>6.6000000000000003E-2</v>
      </c>
      <c r="K8" s="147">
        <f>'Raw Data'!K7</f>
        <v>6.6000000000000003E-2</v>
      </c>
      <c r="L8" s="147">
        <f>'Raw Data'!L7</f>
        <v>6.6000000000000003E-2</v>
      </c>
      <c r="M8" s="147">
        <f>'Raw Data'!M7</f>
        <v>6.6000000000000003E-2</v>
      </c>
      <c r="N8" s="145" t="str">
        <f>'Raw Data'!N7</f>
        <v>Bubble:680</v>
      </c>
      <c r="O8" t="str">
        <f>'Raw Data'!$O$7</f>
        <v>Clarithromycin</v>
      </c>
      <c r="U8" s="439">
        <v>3.7499999999999999E-2</v>
      </c>
      <c r="V8" s="228">
        <f t="shared" si="0"/>
        <v>3</v>
      </c>
      <c r="W8" s="13" t="str">
        <f t="shared" si="1"/>
        <v>Pass</v>
      </c>
    </row>
    <row r="9" spans="1:24" x14ac:dyDescent="0.35">
      <c r="A9" s="144" t="str">
        <f>'Raw Data'!A8</f>
        <v>G</v>
      </c>
      <c r="B9" s="147">
        <f>'Raw Data'!B8</f>
        <v>6.6000000000000003E-2</v>
      </c>
      <c r="C9" s="147">
        <f>'Raw Data'!C8</f>
        <v>6.6000000000000003E-2</v>
      </c>
      <c r="D9" s="147">
        <f>'Raw Data'!D8</f>
        <v>6.4000000000000001E-2</v>
      </c>
      <c r="E9" s="147">
        <f>'Raw Data'!E8</f>
        <v>6.6000000000000003E-2</v>
      </c>
      <c r="F9" s="147">
        <f>'Raw Data'!F8</f>
        <v>6.6000000000000003E-2</v>
      </c>
      <c r="G9" s="147">
        <f>'Raw Data'!G8</f>
        <v>6.6000000000000003E-2</v>
      </c>
      <c r="H9" s="147">
        <f>'Raw Data'!H8</f>
        <v>6.7000000000000004E-2</v>
      </c>
      <c r="I9" s="147">
        <f>'Raw Data'!I8</f>
        <v>6.6000000000000003E-2</v>
      </c>
      <c r="J9" s="147">
        <f>'Raw Data'!J8</f>
        <v>6.6000000000000003E-2</v>
      </c>
      <c r="K9" s="147">
        <f>'Raw Data'!K8</f>
        <v>6.7000000000000004E-2</v>
      </c>
      <c r="L9" s="147">
        <f>'Raw Data'!L8</f>
        <v>6.9000000000000006E-2</v>
      </c>
      <c r="M9" s="147">
        <f>'Raw Data'!M8</f>
        <v>6.7000000000000004E-2</v>
      </c>
      <c r="N9" s="145" t="str">
        <f>'Raw Data'!N8</f>
        <v>Bubble:680</v>
      </c>
      <c r="O9" t="str">
        <f>'Raw Data'!$O$8</f>
        <v>o-Benzyl-p-chlorophenol</v>
      </c>
      <c r="U9" s="439">
        <v>1.8749999999999999E-2</v>
      </c>
      <c r="V9" s="228">
        <f t="shared" si="0"/>
        <v>3</v>
      </c>
      <c r="W9" s="13" t="str">
        <f t="shared" si="1"/>
        <v>Pass</v>
      </c>
    </row>
    <row r="10" spans="1:24" ht="15" thickBot="1" x14ac:dyDescent="0.4">
      <c r="A10" s="229" t="str">
        <f>'Raw Data'!A9</f>
        <v>H</v>
      </c>
      <c r="B10" s="230">
        <f>'Raw Data'!B9</f>
        <v>6.6000000000000003E-2</v>
      </c>
      <c r="C10" s="230">
        <f>'Raw Data'!C9</f>
        <v>6.5000000000000002E-2</v>
      </c>
      <c r="D10" s="230">
        <f>'Raw Data'!D9</f>
        <v>6.6000000000000003E-2</v>
      </c>
      <c r="E10" s="230">
        <f>'Raw Data'!E9</f>
        <v>6.6000000000000003E-2</v>
      </c>
      <c r="F10" s="230">
        <f>'Raw Data'!F9</f>
        <v>6.5000000000000002E-2</v>
      </c>
      <c r="G10" s="230">
        <f>'Raw Data'!G9</f>
        <v>7.0000000000000007E-2</v>
      </c>
      <c r="H10" s="230">
        <f>'Raw Data'!H9</f>
        <v>6.6000000000000003E-2</v>
      </c>
      <c r="I10" s="230">
        <f>'Raw Data'!I9</f>
        <v>6.6000000000000003E-2</v>
      </c>
      <c r="J10" s="230">
        <f>'Raw Data'!J9</f>
        <v>6.7000000000000004E-2</v>
      </c>
      <c r="K10" s="230">
        <f>'Raw Data'!K9</f>
        <v>6.7000000000000004E-2</v>
      </c>
      <c r="L10" s="230">
        <f>'Raw Data'!L9</f>
        <v>6.7000000000000004E-2</v>
      </c>
      <c r="M10" s="230">
        <f>'Raw Data'!M9</f>
        <v>6.7000000000000004E-2</v>
      </c>
      <c r="N10" s="145" t="str">
        <f>'Raw Data'!N9</f>
        <v>Bubble:680</v>
      </c>
      <c r="O10" t="str">
        <f>'Raw Data'!$O$9</f>
        <v>5-Amino-o-cresol</v>
      </c>
      <c r="U10" s="439">
        <v>9.3749999999999997E-3</v>
      </c>
      <c r="V10" s="228">
        <f t="shared" si="0"/>
        <v>3</v>
      </c>
      <c r="W10" s="13" t="str">
        <f t="shared" si="1"/>
        <v>Pass</v>
      </c>
    </row>
    <row r="11" spans="1:24" x14ac:dyDescent="0.35">
      <c r="A11" s="586" t="s">
        <v>225</v>
      </c>
      <c r="B11" s="587"/>
      <c r="C11" s="587"/>
      <c r="D11" s="587"/>
      <c r="E11" s="587"/>
      <c r="F11" s="587"/>
      <c r="G11" s="587"/>
      <c r="H11" s="587"/>
      <c r="I11" s="587"/>
      <c r="J11" s="587"/>
      <c r="K11" s="587"/>
      <c r="L11" s="587"/>
      <c r="M11" s="588"/>
      <c r="U11" s="199"/>
      <c r="V11" s="195"/>
      <c r="W11" s="195"/>
    </row>
    <row r="12" spans="1:24" x14ac:dyDescent="0.35">
      <c r="A12" s="589"/>
      <c r="B12" s="590"/>
      <c r="C12" s="590"/>
      <c r="D12" s="590"/>
      <c r="E12" s="590"/>
      <c r="F12" s="590"/>
      <c r="G12" s="590"/>
      <c r="H12" s="590"/>
      <c r="I12" s="590"/>
      <c r="J12" s="590"/>
      <c r="K12" s="590"/>
      <c r="L12" s="590"/>
      <c r="M12" s="591"/>
      <c r="R12" s="227"/>
      <c r="U12" s="595" t="s">
        <v>52</v>
      </c>
      <c r="V12" s="595"/>
      <c r="W12" s="595"/>
    </row>
    <row r="13" spans="1:24" x14ac:dyDescent="0.35">
      <c r="A13" s="589"/>
      <c r="B13" s="590"/>
      <c r="C13" s="590"/>
      <c r="D13" s="590"/>
      <c r="E13" s="590"/>
      <c r="F13" s="590"/>
      <c r="G13" s="590"/>
      <c r="H13" s="590"/>
      <c r="I13" s="590"/>
      <c r="J13" s="590"/>
      <c r="K13" s="590"/>
      <c r="L13" s="590"/>
      <c r="M13" s="591"/>
      <c r="R13" s="227"/>
      <c r="U13" s="442" t="s">
        <v>19</v>
      </c>
      <c r="V13" s="440" t="s">
        <v>55</v>
      </c>
      <c r="W13" s="440" t="s">
        <v>56</v>
      </c>
    </row>
    <row r="14" spans="1:24" ht="15" thickBot="1" x14ac:dyDescent="0.4">
      <c r="A14" s="592"/>
      <c r="B14" s="593"/>
      <c r="C14" s="593"/>
      <c r="D14" s="593"/>
      <c r="E14" s="593"/>
      <c r="F14" s="593"/>
      <c r="G14" s="593"/>
      <c r="H14" s="593"/>
      <c r="I14" s="593"/>
      <c r="J14" s="593"/>
      <c r="K14" s="593"/>
      <c r="L14" s="593"/>
      <c r="M14" s="594"/>
      <c r="R14" s="227"/>
      <c r="U14" s="364" t="str">
        <f t="shared" ref="U14:U20" si="2">O4</f>
        <v>Tri-n-octylphospine oxide</v>
      </c>
      <c r="V14" s="443">
        <f t="shared" ref="V14:V20" si="3">COUNT(G49:J49)</f>
        <v>4</v>
      </c>
      <c r="W14" s="13" t="str">
        <f>IF(V14&lt;3,"Fail","Pass")</f>
        <v>Pass</v>
      </c>
    </row>
    <row r="15" spans="1:24" x14ac:dyDescent="0.35">
      <c r="A15" s="160"/>
      <c r="B15" s="160"/>
      <c r="C15" s="160"/>
      <c r="D15" s="160"/>
      <c r="E15" s="160"/>
      <c r="F15" s="160"/>
      <c r="G15" s="160"/>
      <c r="H15" s="160"/>
      <c r="I15" s="160"/>
      <c r="J15" s="160"/>
      <c r="K15" s="160"/>
      <c r="L15" s="160"/>
      <c r="M15" s="160"/>
      <c r="U15" s="364" t="str">
        <f t="shared" si="2"/>
        <v>Dicyclohexylcarbodiimide</v>
      </c>
      <c r="V15" s="443">
        <f t="shared" si="3"/>
        <v>4</v>
      </c>
      <c r="W15" s="13" t="str">
        <f t="shared" ref="W15:W20" si="4">IF(V15&lt;3,"Fail","Pass")</f>
        <v>Pass</v>
      </c>
    </row>
    <row r="16" spans="1:24" x14ac:dyDescent="0.35">
      <c r="A16" s="5" t="s">
        <v>72</v>
      </c>
      <c r="U16" s="364" t="str">
        <f t="shared" si="2"/>
        <v>Triethanolamine</v>
      </c>
      <c r="V16" s="443">
        <f t="shared" si="3"/>
        <v>4</v>
      </c>
      <c r="W16" s="13" t="str">
        <f t="shared" si="4"/>
        <v>Pass</v>
      </c>
    </row>
    <row r="17" spans="1:23" x14ac:dyDescent="0.35">
      <c r="A17" s="144" t="str">
        <f>'Raw Data'!A11</f>
        <v>5 min</v>
      </c>
      <c r="B17" s="144">
        <f>'Raw Data'!B11</f>
        <v>1</v>
      </c>
      <c r="C17" s="144">
        <f>'Raw Data'!C11</f>
        <v>2</v>
      </c>
      <c r="D17" s="144">
        <f>'Raw Data'!D11</f>
        <v>3</v>
      </c>
      <c r="E17" s="144">
        <f>'Raw Data'!E11</f>
        <v>4</v>
      </c>
      <c r="F17" s="144">
        <f>'Raw Data'!F11</f>
        <v>5</v>
      </c>
      <c r="G17" s="144">
        <f>'Raw Data'!G11</f>
        <v>6</v>
      </c>
      <c r="H17" s="144">
        <f>'Raw Data'!H11</f>
        <v>7</v>
      </c>
      <c r="I17" s="144">
        <f>'Raw Data'!I11</f>
        <v>8</v>
      </c>
      <c r="J17" s="144">
        <f>'Raw Data'!J11</f>
        <v>9</v>
      </c>
      <c r="K17" s="144">
        <f>'Raw Data'!K11</f>
        <v>10</v>
      </c>
      <c r="L17" s="144">
        <f>'Raw Data'!L11</f>
        <v>11</v>
      </c>
      <c r="M17" s="144">
        <f>'Raw Data'!M11</f>
        <v>12</v>
      </c>
      <c r="U17" s="364" t="str">
        <f t="shared" si="2"/>
        <v>Pentaerythritol triacrylate</v>
      </c>
      <c r="V17" s="443">
        <f t="shared" si="3"/>
        <v>4</v>
      </c>
      <c r="W17" s="13" t="str">
        <f t="shared" si="4"/>
        <v>Pass</v>
      </c>
    </row>
    <row r="18" spans="1:23" x14ac:dyDescent="0.35">
      <c r="A18" s="144" t="str">
        <f>'Raw Data'!A12</f>
        <v>A</v>
      </c>
      <c r="B18" s="147">
        <f>IF(B3&gt;0.085,"",'Raw Data'!B12)</f>
        <v>7.0999999999999994E-2</v>
      </c>
      <c r="C18" s="148">
        <f>IF(C3&gt;0.085,"",'Raw Data'!C12)</f>
        <v>0.63700000000000001</v>
      </c>
      <c r="D18" s="148">
        <f>IF(D3&gt;0.085,"",'Raw Data'!D12)</f>
        <v>0.64300000000000002</v>
      </c>
      <c r="E18" s="148">
        <f>IF(E3&gt;0.085,"",'Raw Data'!E12)</f>
        <v>0.65900000000000003</v>
      </c>
      <c r="F18" s="148">
        <f>IF(F3&gt;0.085,"",'Raw Data'!F12)</f>
        <v>0.65200000000000002</v>
      </c>
      <c r="G18" s="148">
        <f>IF(G3&gt;0.085,"",'Raw Data'!G12)</f>
        <v>0.65100000000000002</v>
      </c>
      <c r="H18" s="148">
        <f>IF(H3&gt;0.085,"",'Raw Data'!H12)</f>
        <v>0.65</v>
      </c>
      <c r="I18" s="148">
        <f>IF(I3&gt;0.085,"",'Raw Data'!I12)</f>
        <v>0.65500000000000003</v>
      </c>
      <c r="J18" s="148">
        <f>IF(J3&gt;0.085,"",'Raw Data'!J12)</f>
        <v>0.65100000000000002</v>
      </c>
      <c r="K18" s="13"/>
      <c r="L18" s="13"/>
      <c r="M18" s="13"/>
      <c r="N18" s="145" t="str">
        <f>'Raw Data'!N12</f>
        <v>read:412 Read#1</v>
      </c>
      <c r="U18" s="364" t="str">
        <f t="shared" si="2"/>
        <v>Clarithromycin</v>
      </c>
      <c r="V18" s="443">
        <f t="shared" si="3"/>
        <v>4</v>
      </c>
      <c r="W18" s="13" t="str">
        <f t="shared" si="4"/>
        <v>Pass</v>
      </c>
    </row>
    <row r="19" spans="1:23" x14ac:dyDescent="0.35">
      <c r="A19" s="144" t="str">
        <f>'Raw Data'!A13</f>
        <v>B</v>
      </c>
      <c r="B19" s="147">
        <f>IF(B4&gt;0.085,"",'Raw Data'!B13)</f>
        <v>7.3999999999999996E-2</v>
      </c>
      <c r="C19" s="148">
        <f>IF(C4&gt;0.085,"",'Raw Data'!C13)</f>
        <v>0.64300000000000002</v>
      </c>
      <c r="D19" s="151">
        <f>IF(D4&gt;0.085,"",'Raw Data'!D13)</f>
        <v>0.315</v>
      </c>
      <c r="E19" s="151">
        <f>IF(E4&gt;0.085,"",'Raw Data'!E13)</f>
        <v>0.35299999999999998</v>
      </c>
      <c r="F19" s="151">
        <f>IF(F4&gt;0.085,"",'Raw Data'!F13)</f>
        <v>0.32500000000000001</v>
      </c>
      <c r="G19" s="152">
        <f>IF(AND($G$4&gt;0.085,$H$4&gt;0.085,$I$4&gt;0.085,$J$4&gt;0.085,$K$4&gt;0.085,$L$4&gt;0.085,$M$4&gt;0.085),'Raw Data'!G13,IF(G4&gt;0.085,"",'Raw Data'!G13))</f>
        <v>0.63</v>
      </c>
      <c r="H19" s="152">
        <f>IF(AND($G$4&gt;0.085,$H$4&gt;0.085,$I$4&gt;0.085,$J$4&gt;0.085,$K$4&gt;0.085,$L$4&gt;0.085,$M$4&gt;0.085),'Raw Data'!H13,IF(H4&gt;0.085,"",'Raw Data'!H13))</f>
        <v>0.63600000000000001</v>
      </c>
      <c r="I19" s="152">
        <f>IF(AND($G$4&gt;0.085,$H$4&gt;0.085,$I$4&gt;0.085,$J$4&gt;0.085,$K$4&gt;0.085,$L$4&gt;0.085,$M$4&gt;0.085),'Raw Data'!I13,IF(I4&gt;0.085,"",'Raw Data'!I13))</f>
        <v>0.64</v>
      </c>
      <c r="J19" s="152">
        <f>IF(AND($G$4&gt;0.085,$H$4&gt;0.085,$I$4&gt;0.085,$J$4&gt;0.085,$K$4&gt;0.085,$L$4&gt;0.085,$M$4&gt;0.085),'Raw Data'!J13,IF(J4&gt;0.085,"",'Raw Data'!J13))</f>
        <v>0.63100000000000001</v>
      </c>
      <c r="K19" s="152">
        <f>IF(AND($G$4&gt;0.085,$H$4&gt;0.085,$I$4&gt;0.085,$J$4&gt;0.085,$K$4&gt;0.085,$L$4&gt;0.085,$M$4&gt;0.085),'Raw Data'!K13,IF(K4&gt;0.085,"",'Raw Data'!K13))</f>
        <v>7.2999999999999995E-2</v>
      </c>
      <c r="L19" s="152">
        <f>IF(AND($G$4&gt;0.085,$H$4&gt;0.085,$I$4&gt;0.085,$J$4&gt;0.085,$K$4&gt;0.085,$L$4&gt;0.085,$M$4&gt;0.085),'Raw Data'!L13,IF(L4&gt;0.085,"",'Raw Data'!L13))</f>
        <v>7.1999999999999995E-2</v>
      </c>
      <c r="M19" s="152">
        <f>IF(AND($G$4&gt;0.085,$H$4&gt;0.085,$I$4&gt;0.085,$J$4&gt;0.085,$K$4&gt;0.085,$L$4&gt;0.085,$M$4&gt;0.085),'Raw Data'!M13,IF(M4&gt;0.085,"",'Raw Data'!M13))</f>
        <v>7.2999999999999995E-2</v>
      </c>
      <c r="N19" s="145" t="str">
        <f>'Raw Data'!N13</f>
        <v>read:412 Read#1</v>
      </c>
      <c r="O19" t="str">
        <f>'Raw Data'!$O$3</f>
        <v>Tri-n-octylphospine oxide</v>
      </c>
      <c r="U19" s="364" t="str">
        <f t="shared" si="2"/>
        <v>o-Benzyl-p-chlorophenol</v>
      </c>
      <c r="V19" s="443">
        <f t="shared" si="3"/>
        <v>4</v>
      </c>
      <c r="W19" s="13" t="str">
        <f t="shared" si="4"/>
        <v>Pass</v>
      </c>
    </row>
    <row r="20" spans="1:23" x14ac:dyDescent="0.35">
      <c r="A20" s="144" t="str">
        <f>'Raw Data'!A14</f>
        <v>C</v>
      </c>
      <c r="B20" s="147">
        <f>IF(B5&gt;0.085,"",'Raw Data'!B14)</f>
        <v>7.1999999999999995E-2</v>
      </c>
      <c r="C20" s="148">
        <f>IF(C5&gt;0.085,"",'Raw Data'!C14)</f>
        <v>0.64400000000000002</v>
      </c>
      <c r="D20" s="151">
        <f>IF(D5&gt;0.085,"",'Raw Data'!D14)</f>
        <v>0.439</v>
      </c>
      <c r="E20" s="151">
        <f>IF(E5&gt;0.085,"",'Raw Data'!E14)</f>
        <v>0.47499999999999998</v>
      </c>
      <c r="F20" s="151">
        <f>IF(F5&gt;0.085,"",'Raw Data'!F14)</f>
        <v>0.45400000000000001</v>
      </c>
      <c r="G20" s="155">
        <f>IF(AND($G$5&gt;0.085,$H$5&gt;0.085,$I$5&gt;0.085,$J$5&gt;0.085,$K$5&gt;0.085,$L$5&gt;0.085,$M$5&gt;0.085),'Raw Data'!G14,IF(G5&gt;0.085,"",'Raw Data'!G14))</f>
        <v>0.63700000000000001</v>
      </c>
      <c r="H20" s="155">
        <f>IF(AND($G$5&gt;0.085,$H$5&gt;0.085,$I$5&gt;0.085,$J$5&gt;0.085,$K$5&gt;0.085,$L$5&gt;0.085,$M$5&gt;0.085),'Raw Data'!H14,IF(H5&gt;0.085,"",'Raw Data'!H14))</f>
        <v>0.63700000000000001</v>
      </c>
      <c r="I20" s="155">
        <f>IF(AND($G$5&gt;0.085,$H$5&gt;0.085,$I$5&gt;0.085,$J$5&gt;0.085,$K$5&gt;0.085,$L$5&gt;0.085,$M$5&gt;0.085),'Raw Data'!I14,IF(I5&gt;0.085,"",'Raw Data'!I14))</f>
        <v>0.64200000000000002</v>
      </c>
      <c r="J20" s="155">
        <f>IF(AND($G$5&gt;0.085,$H$5&gt;0.085,$I$5&gt;0.085,$J$5&gt;0.085,$K$5&gt;0.085,$L$5&gt;0.085,$M$5&gt;0.085),'Raw Data'!J14,IF(J5&gt;0.085,"",'Raw Data'!J14))</f>
        <v>0.64300000000000002</v>
      </c>
      <c r="K20" s="155">
        <f>IF(AND($G$5&gt;0.085,$H$5&gt;0.085,$I$5&gt;0.085,$J$5&gt;0.085,$K$5&gt;0.085,$L$5&gt;0.085,$M$5&gt;0.085),'Raw Data'!K14,IF(K5&gt;0.085,"",'Raw Data'!K14))</f>
        <v>7.0999999999999994E-2</v>
      </c>
      <c r="L20" s="155">
        <f>IF(AND($G$5&gt;0.085,$H$5&gt;0.085,$I$5&gt;0.085,$J$5&gt;0.085,$K$5&gt;0.085,$L$5&gt;0.085,$M$5&gt;0.085),'Raw Data'!L14,IF(L5&gt;0.085,"",'Raw Data'!L14))</f>
        <v>7.1999999999999995E-2</v>
      </c>
      <c r="M20" s="155">
        <f>IF(AND($G$5&gt;0.085,$H$5&gt;0.085,$I$5&gt;0.085,$J$5&gt;0.085,$K$5&gt;0.085,$L$5&gt;0.085,$M$5&gt;0.085),'Raw Data'!M14,IF(M5&gt;0.085,"",'Raw Data'!M14))</f>
        <v>7.1999999999999995E-2</v>
      </c>
      <c r="N20" s="145" t="str">
        <f>'Raw Data'!N14</f>
        <v>read:412 Read#1</v>
      </c>
      <c r="O20" t="str">
        <f>'Raw Data'!$O$4</f>
        <v>Dicyclohexylcarbodiimide</v>
      </c>
      <c r="U20" s="364" t="str">
        <f t="shared" si="2"/>
        <v>5-Amino-o-cresol</v>
      </c>
      <c r="V20" s="443">
        <f t="shared" si="3"/>
        <v>4</v>
      </c>
      <c r="W20" s="13" t="str">
        <f t="shared" si="4"/>
        <v>Pass</v>
      </c>
    </row>
    <row r="21" spans="1:23" x14ac:dyDescent="0.35">
      <c r="A21" s="144" t="str">
        <f>'Raw Data'!A15</f>
        <v>D</v>
      </c>
      <c r="B21" s="147">
        <f>IF(B6&gt;0.085,"",'Raw Data'!B15)</f>
        <v>7.0000000000000007E-2</v>
      </c>
      <c r="C21" s="148">
        <f>IF(C6&gt;0.085,"",'Raw Data'!C15)</f>
        <v>0.63500000000000001</v>
      </c>
      <c r="D21" s="151">
        <f>IF(D6&gt;0.085,"",'Raw Data'!D15)</f>
        <v>0.52600000000000002</v>
      </c>
      <c r="E21" s="151">
        <f>IF(E6&gt;0.085,"",'Raw Data'!E15)</f>
        <v>0.55100000000000005</v>
      </c>
      <c r="F21" s="151">
        <f>IF(F6&gt;0.085,"",'Raw Data'!F15)</f>
        <v>0.53600000000000003</v>
      </c>
      <c r="G21" s="144">
        <f>IF(AND($G$6&gt;0.085,$H$6&gt;0.085,$I$6&gt;0.085,$J$6&gt;0.085,$K$6&gt;0.085,$L$6&gt;0.085,$M$6&gt;0.085),'Raw Data'!G15,IF(G6&gt;0.085,"",'Raw Data'!G15))</f>
        <v>0.64500000000000002</v>
      </c>
      <c r="H21" s="144">
        <f>IF(AND($G$6&gt;0.085,$H$6&gt;0.085,$I$6&gt;0.085,$J$6&gt;0.085,$K$6&gt;0.085,$L$6&gt;0.085,$M$6&gt;0.085),'Raw Data'!H15,IF(H6&gt;0.085,"",'Raw Data'!H15))</f>
        <v>0.64600000000000002</v>
      </c>
      <c r="I21" s="144">
        <f>IF(AND($G$6&gt;0.085,$H$6&gt;0.085,$I$6&gt;0.085,$J$6&gt;0.085,$K$6&gt;0.085,$L$6&gt;0.085,$M$6&gt;0.085),'Raw Data'!I15,IF(I6&gt;0.085,"",'Raw Data'!I15))</f>
        <v>0.64700000000000002</v>
      </c>
      <c r="J21" s="144">
        <f>IF(AND($G$6&gt;0.085,$H$6&gt;0.085,$I$6&gt;0.085,$J$6&gt;0.085,$K$6&gt;0.085,$L$6&gt;0.085,$M$6&gt;0.085),'Raw Data'!J15,IF(J6&gt;0.085,"",'Raw Data'!J15))</f>
        <v>0.64400000000000002</v>
      </c>
      <c r="K21" s="144">
        <f>IF(AND($G$6&gt;0.085,$H$6&gt;0.085,$I$6&gt;0.085,$J$6&gt;0.085,$K$6&gt;0.085,$L$6&gt;0.085,$M$6&gt;0.085),'Raw Data'!K15,IF(K6&gt;0.085,"",'Raw Data'!K15))</f>
        <v>7.5999999999999998E-2</v>
      </c>
      <c r="L21" s="144">
        <f>IF(AND($G$6&gt;0.085,$H$6&gt;0.085,$I$6&gt;0.085,$J$6&gt;0.085,$K$6&gt;0.085,$L$6&gt;0.085,$M$6&gt;0.085),'Raw Data'!L15,IF(L6&gt;0.085,"",'Raw Data'!L15))</f>
        <v>7.1999999999999995E-2</v>
      </c>
      <c r="M21" s="144">
        <f>IF(AND($G$6&gt;0.085,$H$6&gt;0.085,$I$6&gt;0.085,$J$6&gt;0.085,$K$6&gt;0.085,$L$6&gt;0.085,$M$6&gt;0.085),'Raw Data'!M15,IF(M6&gt;0.085,"",'Raw Data'!M15))</f>
        <v>7.1999999999999995E-2</v>
      </c>
      <c r="N21" s="145" t="str">
        <f>'Raw Data'!N15</f>
        <v>read:412 Read#1</v>
      </c>
      <c r="O21" t="str">
        <f>'Raw Data'!$O$5</f>
        <v>Triethanolamine</v>
      </c>
    </row>
    <row r="22" spans="1:23" x14ac:dyDescent="0.35">
      <c r="A22" s="144" t="str">
        <f>'Raw Data'!A16</f>
        <v>E</v>
      </c>
      <c r="B22" s="147">
        <f>IF(B7&gt;0.085,"",'Raw Data'!B16)</f>
        <v>7.1999999999999995E-2</v>
      </c>
      <c r="C22" s="148">
        <f>IF(C7&gt;0.085,"",'Raw Data'!C16)</f>
        <v>0.64200000000000002</v>
      </c>
      <c r="D22" s="151">
        <f>IF(D7&gt;0.085,"",'Raw Data'!D16)</f>
        <v>0.58299999999999996</v>
      </c>
      <c r="E22" s="151">
        <f>IF(E7&gt;0.085,"",'Raw Data'!E16)</f>
        <v>0.60299999999999998</v>
      </c>
      <c r="F22" s="151">
        <f>IF(F7&gt;0.085,"",'Raw Data'!F16)</f>
        <v>0.59899999999999998</v>
      </c>
      <c r="G22" s="156">
        <f>IF(AND($G$7&gt;0.085,$H$7&gt;0.085,$I$7&gt;0.085,$J$7&gt;0.085,$K$7&gt;0.085,$L$7&gt;0.085,$M$7&gt;0.085),'Raw Data'!G16,IF(G7&gt;0.085,"",'Raw Data'!G16))</f>
        <v>0.63600000000000001</v>
      </c>
      <c r="H22" s="156">
        <f>IF(AND($G$7&gt;0.085,$H$7&gt;0.085,$I$7&gt;0.085,$J$7&gt;0.085,$K$7&gt;0.085,$L$7&gt;0.085,$M$7&gt;0.085),'Raw Data'!H16,IF(H7&gt;0.085,"",'Raw Data'!H16))</f>
        <v>0.63800000000000001</v>
      </c>
      <c r="I22" s="156">
        <f>IF(AND($G$7&gt;0.085,$H$7&gt;0.085,$I$7&gt;0.085,$J$7&gt;0.085,$K$7&gt;0.085,$L$7&gt;0.085,$M$7&gt;0.085),'Raw Data'!I16,IF(I7&gt;0.085,"",'Raw Data'!I16))</f>
        <v>0.64500000000000002</v>
      </c>
      <c r="J22" s="156">
        <f>IF(AND($G$7&gt;0.085,$H$7&gt;0.085,$I$7&gt;0.085,$J$7&gt;0.085,$K$7&gt;0.085,$L$7&gt;0.085,$M$7&gt;0.085),'Raw Data'!J16,IF(J7&gt;0.085,"",'Raw Data'!J16))</f>
        <v>0.63800000000000001</v>
      </c>
      <c r="K22" s="156">
        <f>IF(AND($G$7&gt;0.085,$H$7&gt;0.085,$I$7&gt;0.085,$J$7&gt;0.085,$K$7&gt;0.085,$L$7&gt;0.085,$M$7&gt;0.085),'Raw Data'!K16,IF(K7&gt;0.085,"",'Raw Data'!K16))</f>
        <v>7.0999999999999994E-2</v>
      </c>
      <c r="L22" s="156">
        <f>IF(AND($G$7&gt;0.085,$H$7&gt;0.085,$I$7&gt;0.085,$J$7&gt;0.085,$K$7&gt;0.085,$L$7&gt;0.085,$M$7&gt;0.085),'Raw Data'!L16,IF(L7&gt;0.085,"",'Raw Data'!L16))</f>
        <v>7.2999999999999995E-2</v>
      </c>
      <c r="M22" s="156">
        <f>IF(AND($G$7&gt;0.085,$H$7&gt;0.085,$I$7&gt;0.085,$J$7&gt;0.085,$K$7&gt;0.085,$L$7&gt;0.085,$M$7&gt;0.085),'Raw Data'!M16,IF(M7&gt;0.085,"",'Raw Data'!M16))</f>
        <v>7.2999999999999995E-2</v>
      </c>
      <c r="N22" s="145" t="str">
        <f>'Raw Data'!N16</f>
        <v>read:412 Read#1</v>
      </c>
      <c r="O22" t="str">
        <f>'Raw Data'!$O$6</f>
        <v>Pentaerythritol triacrylate</v>
      </c>
      <c r="U22" s="595" t="s">
        <v>53</v>
      </c>
      <c r="V22" s="595"/>
      <c r="W22" s="595"/>
    </row>
    <row r="23" spans="1:23" x14ac:dyDescent="0.35">
      <c r="A23" s="144" t="str">
        <f>'Raw Data'!A17</f>
        <v>F</v>
      </c>
      <c r="B23" s="147">
        <f>IF(B8&gt;0.085,"",'Raw Data'!B17)</f>
        <v>7.1999999999999995E-2</v>
      </c>
      <c r="C23" s="148">
        <f>IF(C8&gt;0.085,"",'Raw Data'!C17)</f>
        <v>0.64600000000000002</v>
      </c>
      <c r="D23" s="151">
        <f>IF(D8&gt;0.085,"",'Raw Data'!D17)</f>
        <v>0.61099999999999999</v>
      </c>
      <c r="E23" s="151">
        <f>IF(E8&gt;0.085,"",'Raw Data'!E17)</f>
        <v>0.627</v>
      </c>
      <c r="F23" s="151">
        <f>IF(F8&gt;0.085,"",'Raw Data'!F17)</f>
        <v>0.63200000000000001</v>
      </c>
      <c r="G23" s="157">
        <f>IF(AND($G$8&gt;0.085,$H$8&gt;0.085,$I$8&gt;0.085,$J$8&gt;0.085,$K$8&gt;0.085,$L$8&gt;0.085,$M$8&gt;0.085),'Raw Data'!G17,IF(G8&gt;0.085,"",'Raw Data'!G17))</f>
        <v>0.65</v>
      </c>
      <c r="H23" s="157">
        <f>IF(AND($G$8&gt;0.085,$H$8&gt;0.085,$I$8&gt;0.085,$J$8&gt;0.085,$K$8&gt;0.085,$L$8&gt;0.085,$M$8&gt;0.085),'Raw Data'!H17,IF(H8&gt;0.085,"",'Raw Data'!H17))</f>
        <v>0.65100000000000002</v>
      </c>
      <c r="I23" s="157">
        <f>IF(AND($G$8&gt;0.085,$H$8&gt;0.085,$I$8&gt;0.085,$J$8&gt;0.085,$K$8&gt;0.085,$L$8&gt;0.085,$M$8&gt;0.085),'Raw Data'!I17,IF(I8&gt;0.085,"",'Raw Data'!I17))</f>
        <v>0.65400000000000003</v>
      </c>
      <c r="J23" s="157">
        <f>IF(AND($G$8&gt;0.085,$H$8&gt;0.085,$I$8&gt;0.085,$J$8&gt;0.085,$K$8&gt;0.085,$L$8&gt;0.085,$M$8&gt;0.085),'Raw Data'!J17,IF(J8&gt;0.085,"",'Raw Data'!J17))</f>
        <v>0.64900000000000002</v>
      </c>
      <c r="K23" s="157">
        <f>IF(AND($G$8&gt;0.085,$H$8&gt;0.085,$I$8&gt;0.085,$J$8&gt;0.085,$K$8&gt;0.085,$L$8&gt;0.085,$M$8&gt;0.085),'Raw Data'!K17,IF(K8&gt;0.085,"",'Raw Data'!K17))</f>
        <v>7.1999999999999995E-2</v>
      </c>
      <c r="L23" s="157">
        <f>IF(AND($G$8&gt;0.085,$H$8&gt;0.085,$I$8&gt;0.085,$J$8&gt;0.085,$K$8&gt;0.085,$L$8&gt;0.085,$M$8&gt;0.085),'Raw Data'!L17,IF(L8&gt;0.085,"",'Raw Data'!L17))</f>
        <v>7.1999999999999995E-2</v>
      </c>
      <c r="M23" s="157">
        <f>IF(AND($G$8&gt;0.085,$H$8&gt;0.085,$I$8&gt;0.085,$J$8&gt;0.085,$K$8&gt;0.085,$L$8&gt;0.085,$M$8&gt;0.085),'Raw Data'!M17,IF(M8&gt;0.085,"",'Raw Data'!M17))</f>
        <v>7.1999999999999995E-2</v>
      </c>
      <c r="N23" s="145" t="str">
        <f>'Raw Data'!N17</f>
        <v>read:412 Read#1</v>
      </c>
      <c r="O23" t="str">
        <f>'Raw Data'!$O$7</f>
        <v>Clarithromycin</v>
      </c>
      <c r="U23" s="442" t="str">
        <f>U13</f>
        <v>Compound</v>
      </c>
      <c r="V23" s="445" t="s">
        <v>55</v>
      </c>
      <c r="W23" s="440" t="s">
        <v>56</v>
      </c>
    </row>
    <row r="24" spans="1:23" x14ac:dyDescent="0.35">
      <c r="A24" s="144" t="str">
        <f>'Raw Data'!A18</f>
        <v>G</v>
      </c>
      <c r="B24" s="147">
        <f>IF(B9&gt;0.085,"",'Raw Data'!B18)</f>
        <v>7.1999999999999995E-2</v>
      </c>
      <c r="C24" s="148">
        <f>IF(C9&gt;0.085,"",'Raw Data'!C18)</f>
        <v>0.64500000000000002</v>
      </c>
      <c r="D24" s="151">
        <f>IF(D9&gt;0.085,"",'Raw Data'!D18)</f>
        <v>0.626</v>
      </c>
      <c r="E24" s="151">
        <f>IF(E9&gt;0.085,"",'Raw Data'!E18)</f>
        <v>0.64300000000000002</v>
      </c>
      <c r="F24" s="151">
        <f>IF(F9&gt;0.085,"",'Raw Data'!F18)</f>
        <v>0.64100000000000001</v>
      </c>
      <c r="G24" s="158">
        <f>IF(AND($G$9&gt;0.085,$H$9&gt;0.085,$I$9&gt;0.085,$J$9&gt;0.085,$K$9&gt;0.085,$L$9&gt;0.085,$M$9&gt;0.085),'Raw Data'!G18,IF(G9&gt;0.085,"",'Raw Data'!G18))</f>
        <v>0.629</v>
      </c>
      <c r="H24" s="158">
        <f>IF(AND($G$9&gt;0.085,$H$9&gt;0.085,$I$9&gt;0.085,$J$9&gt;0.085,$K$9&gt;0.085,$L$9&gt;0.085,$M$9&gt;0.085),'Raw Data'!H18,IF(H9&gt;0.085,"",'Raw Data'!H18))</f>
        <v>0.629</v>
      </c>
      <c r="I24" s="158">
        <f>IF(AND($G$9&gt;0.085,$H$9&gt;0.085,$I$9&gt;0.085,$J$9&gt;0.085,$K$9&gt;0.085,$L$9&gt;0.085,$M$9&gt;0.085),'Raw Data'!I18,IF(I9&gt;0.085,"",'Raw Data'!I18))</f>
        <v>0.63700000000000001</v>
      </c>
      <c r="J24" s="158">
        <f>IF(AND($G$9&gt;0.085,$H$9&gt;0.085,$I$9&gt;0.085,$J$9&gt;0.085,$K$9&gt;0.085,$L$9&gt;0.085,$M$9&gt;0.085),'Raw Data'!J18,IF(J9&gt;0.085,"",'Raw Data'!J18))</f>
        <v>0.63200000000000001</v>
      </c>
      <c r="K24" s="158">
        <f>IF(AND($G$9&gt;0.085,$H$9&gt;0.085,$I$9&gt;0.085,$J$9&gt;0.085,$K$9&gt;0.085,$L$9&gt;0.085,$M$9&gt;0.085),'Raw Data'!K18,IF(K9&gt;0.085,"",'Raw Data'!K18))</f>
        <v>7.2999999999999995E-2</v>
      </c>
      <c r="L24" s="158">
        <f>IF(AND($G$9&gt;0.085,$H$9&gt;0.085,$I$9&gt;0.085,$J$9&gt;0.085,$K$9&gt;0.085,$L$9&gt;0.085,$M$9&gt;0.085),'Raw Data'!L18,IF(L9&gt;0.085,"",'Raw Data'!L18))</f>
        <v>7.6999999999999999E-2</v>
      </c>
      <c r="M24" s="158">
        <f>IF(AND($G$9&gt;0.085,$H$9&gt;0.085,$I$9&gt;0.085,$J$9&gt;0.085,$K$9&gt;0.085,$L$9&gt;0.085,$M$9&gt;0.085),'Raw Data'!M18,IF(M9&gt;0.085,"",'Raw Data'!M18))</f>
        <v>7.3999999999999996E-2</v>
      </c>
      <c r="N24" s="145" t="str">
        <f>'Raw Data'!N18</f>
        <v>read:412 Read#1</v>
      </c>
      <c r="O24" t="str">
        <f>'Raw Data'!$O$8</f>
        <v>o-Benzyl-p-chlorophenol</v>
      </c>
      <c r="U24" s="364" t="str">
        <f t="shared" ref="U24:U30" si="5">U14</f>
        <v>Tri-n-octylphospine oxide</v>
      </c>
      <c r="V24" s="443">
        <f t="shared" ref="V24:V30" si="6">COUNT(K49:M49)</f>
        <v>3</v>
      </c>
      <c r="W24" s="441" t="str">
        <f>IF(V24&lt;2,"Fail","Pass")</f>
        <v>Pass</v>
      </c>
    </row>
    <row r="25" spans="1:23" x14ac:dyDescent="0.35">
      <c r="A25" s="144" t="str">
        <f>'Raw Data'!A19</f>
        <v>H</v>
      </c>
      <c r="B25" s="147">
        <f>IF(B10&gt;0.085,"",'Raw Data'!B19)</f>
        <v>7.1999999999999995E-2</v>
      </c>
      <c r="C25" s="148">
        <f>IF(C10&gt;0.085,"",'Raw Data'!C19)</f>
        <v>0.64100000000000001</v>
      </c>
      <c r="D25" s="151">
        <f>IF(D10&gt;0.085,"",'Raw Data'!D19)</f>
        <v>0.63400000000000001</v>
      </c>
      <c r="E25" s="151">
        <f>IF(E10&gt;0.085,"",'Raw Data'!E19)</f>
        <v>0.64800000000000002</v>
      </c>
      <c r="F25" s="151">
        <f>IF(F10&gt;0.085,"",'Raw Data'!F19)</f>
        <v>0.64500000000000002</v>
      </c>
      <c r="G25" s="147">
        <f>IF(AND($G$10&gt;0.085,$H$10&gt;0.085,$I$10&gt;0.085,$J$10&gt;0.085,$K$10&gt;0.085,$L$10&gt;0.085,$M$10&gt;0.085),'Raw Data'!G19,IF(G10&gt;0.085,"",'Raw Data'!G19))</f>
        <v>0.66100000000000003</v>
      </c>
      <c r="H25" s="147">
        <f>IF(AND($G$10&gt;0.085,$H$10&gt;0.085,$I$10&gt;0.085,$J$10&gt;0.085,$K$10&gt;0.085,$L$10&gt;0.085,$M$10&gt;0.085),'Raw Data'!H19,IF(H10&gt;0.085,"",'Raw Data'!H19))</f>
        <v>0.65400000000000003</v>
      </c>
      <c r="I25" s="147">
        <f>IF(AND($G$10&gt;0.085,$H$10&gt;0.085,$I$10&gt;0.085,$J$10&gt;0.085,$K$10&gt;0.085,$L$10&gt;0.085,$M$10&gt;0.085),'Raw Data'!I19,IF(I10&gt;0.085,"",'Raw Data'!I19))</f>
        <v>0.65800000000000003</v>
      </c>
      <c r="J25" s="147">
        <f>IF(AND($G$10&gt;0.085,$H$10&gt;0.085,$I$10&gt;0.085,$J$10&gt;0.085,$K$10&gt;0.085,$L$10&gt;0.085,$M$10&gt;0.085),'Raw Data'!J19,IF(J10&gt;0.085,"",'Raw Data'!J19))</f>
        <v>0.65900000000000003</v>
      </c>
      <c r="K25" s="147">
        <f>IF(AND($G$10&gt;0.085,$H$10&gt;0.085,$I$10&gt;0.085,$J$10&gt;0.085,$K$10&gt;0.085,$L$10&gt;0.085,$M$10&gt;0.085),'Raw Data'!K19,IF(K10&gt;0.085,"",'Raw Data'!K19))</f>
        <v>8.5000000000000006E-2</v>
      </c>
      <c r="L25" s="147">
        <f>IF(AND($G$10&gt;0.085,$H$10&gt;0.085,$I$10&gt;0.085,$J$10&gt;0.085,$K$10&gt;0.085,$L$10&gt;0.085,$M$10&gt;0.085),'Raw Data'!L19,IF(L10&gt;0.085,"",'Raw Data'!L19))</f>
        <v>8.5000000000000006E-2</v>
      </c>
      <c r="M25" s="147">
        <f>IF(AND($G$10&gt;0.085,$H$10&gt;0.085,$I$10&gt;0.085,$J$10&gt;0.085,$K$10&gt;0.085,$L$10&gt;0.085,$M$10&gt;0.085),'Raw Data'!M19,IF(M10&gt;0.085,"",'Raw Data'!M19))</f>
        <v>8.5999999999999993E-2</v>
      </c>
      <c r="N25" s="145" t="str">
        <f>'Raw Data'!N19</f>
        <v>read:412 Read#1</v>
      </c>
      <c r="O25" t="str">
        <f>'Raw Data'!$O$9</f>
        <v>5-Amino-o-cresol</v>
      </c>
      <c r="U25" s="364" t="str">
        <f t="shared" si="5"/>
        <v>Dicyclohexylcarbodiimide</v>
      </c>
      <c r="V25" s="443">
        <f t="shared" si="6"/>
        <v>3</v>
      </c>
      <c r="W25" s="441" t="str">
        <f t="shared" ref="W25:W30" si="7">IF(V25&lt;2,"Fail","Pass")</f>
        <v>Pass</v>
      </c>
    </row>
    <row r="26" spans="1:23" x14ac:dyDescent="0.35">
      <c r="U26" s="364" t="str">
        <f t="shared" si="5"/>
        <v>Triethanolamine</v>
      </c>
      <c r="V26" s="443">
        <f t="shared" si="6"/>
        <v>3</v>
      </c>
      <c r="W26" s="441" t="str">
        <f t="shared" si="7"/>
        <v>Pass</v>
      </c>
    </row>
    <row r="27" spans="1:23" x14ac:dyDescent="0.35">
      <c r="A27" s="144" t="str">
        <f>'Raw Data'!A21</f>
        <v>20 min</v>
      </c>
      <c r="B27" s="144">
        <f>'Raw Data'!B21</f>
        <v>1</v>
      </c>
      <c r="C27" s="144">
        <f>'Raw Data'!C21</f>
        <v>2</v>
      </c>
      <c r="D27" s="144">
        <f>'Raw Data'!D21</f>
        <v>3</v>
      </c>
      <c r="E27" s="144">
        <f>'Raw Data'!E21</f>
        <v>4</v>
      </c>
      <c r="F27" s="144">
        <f>'Raw Data'!F21</f>
        <v>5</v>
      </c>
      <c r="G27" s="144">
        <f>'Raw Data'!G21</f>
        <v>6</v>
      </c>
      <c r="H27" s="144">
        <f>'Raw Data'!H21</f>
        <v>7</v>
      </c>
      <c r="I27" s="144">
        <f>'Raw Data'!I21</f>
        <v>8</v>
      </c>
      <c r="J27" s="144">
        <f>'Raw Data'!J21</f>
        <v>9</v>
      </c>
      <c r="K27" s="144">
        <f>'Raw Data'!K21</f>
        <v>10</v>
      </c>
      <c r="L27" s="144">
        <f>'Raw Data'!L21</f>
        <v>11</v>
      </c>
      <c r="M27" s="144">
        <f>'Raw Data'!M21</f>
        <v>12</v>
      </c>
      <c r="U27" s="364" t="str">
        <f t="shared" si="5"/>
        <v>Pentaerythritol triacrylate</v>
      </c>
      <c r="V27" s="443">
        <f t="shared" si="6"/>
        <v>3</v>
      </c>
      <c r="W27" s="441" t="str">
        <f t="shared" si="7"/>
        <v>Pass</v>
      </c>
    </row>
    <row r="28" spans="1:23" x14ac:dyDescent="0.35">
      <c r="A28" s="144" t="str">
        <f>'Raw Data'!A22</f>
        <v>A</v>
      </c>
      <c r="B28" s="147">
        <f>IF(B3&gt;0.085,"",'Raw Data'!B22)</f>
        <v>6.9000000000000006E-2</v>
      </c>
      <c r="C28" s="148">
        <f>IF(C3&gt;0.085,"",'Raw Data'!C22)</f>
        <v>0.63300000000000001</v>
      </c>
      <c r="D28" s="148">
        <f>IF(D3&gt;0.085,"",'Raw Data'!D22)</f>
        <v>0.63800000000000001</v>
      </c>
      <c r="E28" s="148">
        <f>IF(E3&gt;0.085,"",'Raw Data'!E22)</f>
        <v>0.66100000000000003</v>
      </c>
      <c r="F28" s="148">
        <f>IF(F3&gt;0.085,"",'Raw Data'!F22)</f>
        <v>0.64500000000000002</v>
      </c>
      <c r="G28" s="148">
        <f>IF(G3&gt;0.085,"",'Raw Data'!G22)</f>
        <v>0.64500000000000002</v>
      </c>
      <c r="H28" s="148">
        <f>IF(H3&gt;0.085,"",'Raw Data'!H22)</f>
        <v>0.64500000000000002</v>
      </c>
      <c r="I28" s="148">
        <f>IF(I3&gt;0.085,"",'Raw Data'!I22)</f>
        <v>0.64900000000000002</v>
      </c>
      <c r="J28" s="148">
        <f>IF(J3&gt;0.085,"",'Raw Data'!J22)</f>
        <v>0.64500000000000002</v>
      </c>
      <c r="K28" s="13"/>
      <c r="L28" s="13"/>
      <c r="M28" s="13"/>
      <c r="N28" s="145" t="str">
        <f>'Raw Data'!N22</f>
        <v>read:412 Read#2</v>
      </c>
      <c r="U28" s="364" t="str">
        <f t="shared" si="5"/>
        <v>Clarithromycin</v>
      </c>
      <c r="V28" s="443">
        <f t="shared" si="6"/>
        <v>3</v>
      </c>
      <c r="W28" s="441" t="str">
        <f t="shared" si="7"/>
        <v>Pass</v>
      </c>
    </row>
    <row r="29" spans="1:23" x14ac:dyDescent="0.35">
      <c r="A29" s="144" t="str">
        <f>'Raw Data'!A23</f>
        <v>B</v>
      </c>
      <c r="B29" s="147">
        <f>IF(B4&gt;0.085,"",'Raw Data'!B23)</f>
        <v>7.0999999999999994E-2</v>
      </c>
      <c r="C29" s="148">
        <f>IF(C4&gt;0.085,"",'Raw Data'!C23)</f>
        <v>0.63800000000000001</v>
      </c>
      <c r="D29" s="151">
        <f>IF(D4&gt;0.085,"",'Raw Data'!D23)</f>
        <v>9.6000000000000002E-2</v>
      </c>
      <c r="E29" s="151">
        <f>IF(E4&gt;0.085,"",'Raw Data'!E23)</f>
        <v>0.112</v>
      </c>
      <c r="F29" s="151">
        <f>IF(F4&gt;0.085,"",'Raw Data'!F23)</f>
        <v>9.1999999999999998E-2</v>
      </c>
      <c r="G29" s="152">
        <f>IF(AND($G$4&gt;0.085,$H$4&gt;0.085,$I$4&gt;0.085,$J$4&gt;0.085,$K$4&gt;0.085,$L$4&gt;0.085,$M$4&gt;0.085),'Raw Data'!G23,IF(G4&gt;0.085,"",'Raw Data'!G23))</f>
        <v>0.628</v>
      </c>
      <c r="H29" s="152">
        <f>IF(AND($G$4&gt;0.085,$H$4&gt;0.085,$I$4&gt;0.085,$J$4&gt;0.085,$K$4&gt;0.085,$L$4&gt;0.085,$M$4&gt;0.085),'Raw Data'!H23,IF(H4&gt;0.085,"",'Raw Data'!H23))</f>
        <v>0.63400000000000001</v>
      </c>
      <c r="I29" s="152">
        <f>IF(AND($G$4&gt;0.085,$H$4&gt;0.085,$I$4&gt;0.085,$J$4&gt;0.085,$K$4&gt;0.085,$L$4&gt;0.085,$M$4&gt;0.085),'Raw Data'!I23,IF(I4&gt;0.085,"",'Raw Data'!I23))</f>
        <v>0.63800000000000001</v>
      </c>
      <c r="J29" s="152">
        <f>IF(AND($G$4&gt;0.085,$H$4&gt;0.085,$I$4&gt;0.085,$J$4&gt;0.085,$K$4&gt;0.085,$L$4&gt;0.085,$M$4&gt;0.085),'Raw Data'!J23,IF(J4&gt;0.085,"",'Raw Data'!J23))</f>
        <v>0.629</v>
      </c>
      <c r="K29" s="152">
        <f>IF(AND($G$4&gt;0.085,$H$4&gt;0.085,$I$4&gt;0.085,$J$4&gt;0.085,$K$4&gt;0.085,$L$4&gt;0.085,$M$4&gt;0.085),'Raw Data'!K23,IF(K4&gt;0.085,"",'Raw Data'!K23))</f>
        <v>7.0999999999999994E-2</v>
      </c>
      <c r="L29" s="152">
        <f>IF(AND($G$4&gt;0.085,$H$4&gt;0.085,$I$4&gt;0.085,$J$4&gt;0.085,$K$4&gt;0.085,$L$4&gt;0.085,$M$4&gt;0.085),'Raw Data'!L23,IF(L4&gt;0.085,"",'Raw Data'!L23))</f>
        <v>7.0000000000000007E-2</v>
      </c>
      <c r="M29" s="152">
        <f>IF(AND($G$4&gt;0.085,$H$4&gt;0.085,$I$4&gt;0.085,$J$4&gt;0.085,$K$4&gt;0.085,$L$4&gt;0.085,$M$4&gt;0.085),'Raw Data'!M23,IF(M4&gt;0.085,"",'Raw Data'!M23))</f>
        <v>7.0000000000000007E-2</v>
      </c>
      <c r="N29" s="145" t="str">
        <f>'Raw Data'!N23</f>
        <v>read:412 Read#2</v>
      </c>
      <c r="O29" t="str">
        <f>'Raw Data'!$O$3</f>
        <v>Tri-n-octylphospine oxide</v>
      </c>
      <c r="U29" s="364" t="str">
        <f t="shared" si="5"/>
        <v>o-Benzyl-p-chlorophenol</v>
      </c>
      <c r="V29" s="443">
        <f t="shared" si="6"/>
        <v>3</v>
      </c>
      <c r="W29" s="441" t="str">
        <f t="shared" si="7"/>
        <v>Pass</v>
      </c>
    </row>
    <row r="30" spans="1:23" x14ac:dyDescent="0.35">
      <c r="A30" s="144" t="str">
        <f>'Raw Data'!A24</f>
        <v>C</v>
      </c>
      <c r="B30" s="147">
        <f>IF(B5&gt;0.085,"",'Raw Data'!B24)</f>
        <v>7.0000000000000007E-2</v>
      </c>
      <c r="C30" s="148">
        <f>IF(C5&gt;0.085,"",'Raw Data'!C24)</f>
        <v>0.63800000000000001</v>
      </c>
      <c r="D30" s="151">
        <f>IF(D5&gt;0.085,"",'Raw Data'!D24)</f>
        <v>0.16600000000000001</v>
      </c>
      <c r="E30" s="151">
        <f>IF(E5&gt;0.085,"",'Raw Data'!E24)</f>
        <v>0.20300000000000001</v>
      </c>
      <c r="F30" s="151">
        <f>IF(F5&gt;0.085,"",'Raw Data'!F24)</f>
        <v>0.16500000000000001</v>
      </c>
      <c r="G30" s="155">
        <f>IF(AND($G$5&gt;0.085,$H$5&gt;0.085,$I$5&gt;0.085,$J$5&gt;0.085,$K$5&gt;0.085,$L$5&gt;0.085,$M$5&gt;0.085),'Raw Data'!G24,IF(G5&gt;0.085,"",'Raw Data'!G24))</f>
        <v>0.61199999999999999</v>
      </c>
      <c r="H30" s="155">
        <f>IF(AND($G$5&gt;0.085,$H$5&gt;0.085,$I$5&gt;0.085,$J$5&gt;0.085,$K$5&gt;0.085,$L$5&gt;0.085,$M$5&gt;0.085),'Raw Data'!H24,IF(H5&gt;0.085,"",'Raw Data'!H24))</f>
        <v>0.61099999999999999</v>
      </c>
      <c r="I30" s="155">
        <f>IF(AND($G$5&gt;0.085,$H$5&gt;0.085,$I$5&gt;0.085,$J$5&gt;0.085,$K$5&gt;0.085,$L$5&gt;0.085,$M$5&gt;0.085),'Raw Data'!I24,IF(I5&gt;0.085,"",'Raw Data'!I24))</f>
        <v>0.61399999999999999</v>
      </c>
      <c r="J30" s="155">
        <f>IF(AND($G$5&gt;0.085,$H$5&gt;0.085,$I$5&gt;0.085,$J$5&gt;0.085,$K$5&gt;0.085,$L$5&gt;0.085,$M$5&gt;0.085),'Raw Data'!J24,IF(J5&gt;0.085,"",'Raw Data'!J24))</f>
        <v>0.61399999999999999</v>
      </c>
      <c r="K30" s="155">
        <f>IF(AND($G$5&gt;0.085,$H$5&gt;0.085,$I$5&gt;0.085,$J$5&gt;0.085,$K$5&gt;0.085,$L$5&gt;0.085,$M$5&gt;0.085),'Raw Data'!K24,IF(K5&gt;0.085,"",'Raw Data'!K24))</f>
        <v>6.8000000000000005E-2</v>
      </c>
      <c r="L30" s="155">
        <f>IF(AND($G$5&gt;0.085,$H$5&gt;0.085,$I$5&gt;0.085,$J$5&gt;0.085,$K$5&gt;0.085,$L$5&gt;0.085,$M$5&gt;0.085),'Raw Data'!L24,IF(L5&gt;0.085,"",'Raw Data'!L24))</f>
        <v>6.9000000000000006E-2</v>
      </c>
      <c r="M30" s="155">
        <f>IF(AND($G$5&gt;0.085,$H$5&gt;0.085,$I$5&gt;0.085,$J$5&gt;0.085,$K$5&gt;0.085,$L$5&gt;0.085,$M$5&gt;0.085),'Raw Data'!M24,IF(M5&gt;0.085,"",'Raw Data'!M24))</f>
        <v>6.9000000000000006E-2</v>
      </c>
      <c r="N30" s="145" t="str">
        <f>'Raw Data'!N24</f>
        <v>read:412 Read#2</v>
      </c>
      <c r="O30" t="str">
        <f>'Raw Data'!$O$4</f>
        <v>Dicyclohexylcarbodiimide</v>
      </c>
      <c r="U30" s="364" t="str">
        <f t="shared" si="5"/>
        <v>5-Amino-o-cresol</v>
      </c>
      <c r="V30" s="443">
        <f t="shared" si="6"/>
        <v>3</v>
      </c>
      <c r="W30" s="441" t="str">
        <f t="shared" si="7"/>
        <v>Pass</v>
      </c>
    </row>
    <row r="31" spans="1:23" x14ac:dyDescent="0.35">
      <c r="A31" s="144" t="str">
        <f>'Raw Data'!A25</f>
        <v>D</v>
      </c>
      <c r="B31" s="147">
        <f>IF(B6&gt;0.085,"",'Raw Data'!B25)</f>
        <v>6.8000000000000005E-2</v>
      </c>
      <c r="C31" s="148">
        <f>IF(C6&gt;0.085,"",'Raw Data'!C25)</f>
        <v>0.63</v>
      </c>
      <c r="D31" s="151">
        <f>IF(D6&gt;0.085,"",'Raw Data'!D25)</f>
        <v>0.30499999999999999</v>
      </c>
      <c r="E31" s="151">
        <f>IF(E6&gt;0.085,"",'Raw Data'!E25)</f>
        <v>0.33700000000000002</v>
      </c>
      <c r="F31" s="151">
        <f>IF(F6&gt;0.085,"",'Raw Data'!F25)</f>
        <v>0.29799999999999999</v>
      </c>
      <c r="G31" s="144">
        <f>IF(AND($G$6&gt;0.085,$H$6&gt;0.085,$I$6&gt;0.085,$J$6&gt;0.085,$K$6&gt;0.085,$L$6&gt;0.085,$M$6&gt;0.085),'Raw Data'!G25,IF(G6&gt;0.085,"",'Raw Data'!G25))</f>
        <v>0.64100000000000001</v>
      </c>
      <c r="H31" s="144">
        <f>IF(AND($G$6&gt;0.085,$H$6&gt;0.085,$I$6&gt;0.085,$J$6&gt;0.085,$K$6&gt;0.085,$L$6&gt;0.085,$M$6&gt;0.085),'Raw Data'!H25,IF(H6&gt;0.085,"",'Raw Data'!H25))</f>
        <v>0.64300000000000002</v>
      </c>
      <c r="I31" s="144">
        <f>IF(AND($G$6&gt;0.085,$H$6&gt;0.085,$I$6&gt;0.085,$J$6&gt;0.085,$K$6&gt;0.085,$L$6&gt;0.085,$M$6&gt;0.085),'Raw Data'!I25,IF(I6&gt;0.085,"",'Raw Data'!I25))</f>
        <v>0.64300000000000002</v>
      </c>
      <c r="J31" s="144">
        <f>IF(AND($G$6&gt;0.085,$H$6&gt;0.085,$I$6&gt;0.085,$J$6&gt;0.085,$K$6&gt;0.085,$L$6&gt;0.085,$M$6&gt;0.085),'Raw Data'!J25,IF(J6&gt;0.085,"",'Raw Data'!J25))</f>
        <v>0.63900000000000001</v>
      </c>
      <c r="K31" s="144">
        <f>IF(AND($G$6&gt;0.085,$H$6&gt;0.085,$I$6&gt;0.085,$J$6&gt;0.085,$K$6&gt;0.085,$L$6&gt;0.085,$M$6&gt;0.085),'Raw Data'!K25,IF(K6&gt;0.085,"",'Raw Data'!K25))</f>
        <v>7.0000000000000007E-2</v>
      </c>
      <c r="L31" s="144">
        <f>IF(AND($G$6&gt;0.085,$H$6&gt;0.085,$I$6&gt;0.085,$J$6&gt;0.085,$K$6&gt;0.085,$L$6&gt;0.085,$M$6&gt;0.085),'Raw Data'!L25,IF(L6&gt;0.085,"",'Raw Data'!L25))</f>
        <v>6.9000000000000006E-2</v>
      </c>
      <c r="M31" s="144">
        <f>IF(AND($G$6&gt;0.085,$H$6&gt;0.085,$I$6&gt;0.085,$J$6&gt;0.085,$K$6&gt;0.085,$L$6&gt;0.085,$M$6&gt;0.085),'Raw Data'!M25,IF(M6&gt;0.085,"",'Raw Data'!M25))</f>
        <v>6.9000000000000006E-2</v>
      </c>
      <c r="N31" s="145" t="str">
        <f>'Raw Data'!N25</f>
        <v>read:412 Read#2</v>
      </c>
      <c r="O31" t="str">
        <f>'Raw Data'!$O$5</f>
        <v>Triethanolamine</v>
      </c>
    </row>
    <row r="32" spans="1:23" x14ac:dyDescent="0.35">
      <c r="A32" s="144" t="str">
        <f>'Raw Data'!A26</f>
        <v>E</v>
      </c>
      <c r="B32" s="147">
        <f>IF(B7&gt;0.085,"",'Raw Data'!B26)</f>
        <v>7.0000000000000007E-2</v>
      </c>
      <c r="C32" s="148">
        <f>IF(C7&gt;0.085,"",'Raw Data'!C26)</f>
        <v>0.63600000000000001</v>
      </c>
      <c r="D32" s="151">
        <f>IF(D7&gt;0.085,"",'Raw Data'!D26)</f>
        <v>0.433</v>
      </c>
      <c r="E32" s="151">
        <f>IF(E7&gt;0.085,"",'Raw Data'!E26)</f>
        <v>0.46300000000000002</v>
      </c>
      <c r="F32" s="151">
        <f>IF(F7&gt;0.085,"",'Raw Data'!F26)</f>
        <v>0.45100000000000001</v>
      </c>
      <c r="G32" s="156">
        <f>IF(AND($G$7&gt;0.085,$H$7&gt;0.085,$I$7&gt;0.085,$J$7&gt;0.085,$K$7&gt;0.085,$L$7&gt;0.085,$M$7&gt;0.085),'Raw Data'!G26,IF(G7&gt;0.085,"",'Raw Data'!G26))</f>
        <v>0.624</v>
      </c>
      <c r="H32" s="156">
        <f>IF(AND($G$7&gt;0.085,$H$7&gt;0.085,$I$7&gt;0.085,$J$7&gt;0.085,$K$7&gt;0.085,$L$7&gt;0.085,$M$7&gt;0.085),'Raw Data'!H26,IF(H7&gt;0.085,"",'Raw Data'!H26))</f>
        <v>0.625</v>
      </c>
      <c r="I32" s="156">
        <f>IF(AND($G$7&gt;0.085,$H$7&gt;0.085,$I$7&gt;0.085,$J$7&gt;0.085,$K$7&gt;0.085,$L$7&gt;0.085,$M$7&gt;0.085),'Raw Data'!I26,IF(I7&gt;0.085,"",'Raw Data'!I26))</f>
        <v>0.63</v>
      </c>
      <c r="J32" s="156">
        <f>IF(AND($G$7&gt;0.085,$H$7&gt;0.085,$I$7&gt;0.085,$J$7&gt;0.085,$K$7&gt;0.085,$L$7&gt;0.085,$M$7&gt;0.085),'Raw Data'!J26,IF(J7&gt;0.085,"",'Raw Data'!J26))</f>
        <v>0.624</v>
      </c>
      <c r="K32" s="156">
        <f>IF(AND($G$7&gt;0.085,$H$7&gt;0.085,$I$7&gt;0.085,$J$7&gt;0.085,$K$7&gt;0.085,$L$7&gt;0.085,$M$7&gt;0.085),'Raw Data'!K26,IF(K7&gt;0.085,"",'Raw Data'!K26))</f>
        <v>6.9000000000000006E-2</v>
      </c>
      <c r="L32" s="156">
        <f>IF(AND($G$7&gt;0.085,$H$7&gt;0.085,$I$7&gt;0.085,$J$7&gt;0.085,$K$7&gt;0.085,$L$7&gt;0.085,$M$7&gt;0.085),'Raw Data'!L26,IF(L7&gt;0.085,"",'Raw Data'!L26))</f>
        <v>7.0000000000000007E-2</v>
      </c>
      <c r="M32" s="156">
        <f>IF(AND($G$7&gt;0.085,$H$7&gt;0.085,$I$7&gt;0.085,$J$7&gt;0.085,$K$7&gt;0.085,$L$7&gt;0.085,$M$7&gt;0.085),'Raw Data'!M26,IF(M7&gt;0.085,"",'Raw Data'!M26))</f>
        <v>7.0000000000000007E-2</v>
      </c>
      <c r="N32" s="145" t="str">
        <f>'Raw Data'!N26</f>
        <v>read:412 Read#2</v>
      </c>
      <c r="O32" t="str">
        <f>'Raw Data'!$O$6</f>
        <v>Pentaerythritol triacrylate</v>
      </c>
    </row>
    <row r="33" spans="1:15" x14ac:dyDescent="0.35">
      <c r="A33" s="144" t="str">
        <f>'Raw Data'!A27</f>
        <v>F</v>
      </c>
      <c r="B33" s="147">
        <f>IF(B8&gt;0.085,"",'Raw Data'!B27)</f>
        <v>7.0000000000000007E-2</v>
      </c>
      <c r="C33" s="148">
        <f>IF(C8&gt;0.085,"",'Raw Data'!C27)</f>
        <v>0.64100000000000001</v>
      </c>
      <c r="D33" s="151">
        <f>IF(D8&gt;0.085,"",'Raw Data'!D27)</f>
        <v>0.51900000000000002</v>
      </c>
      <c r="E33" s="151">
        <f>IF(E8&gt;0.085,"",'Raw Data'!E27)</f>
        <v>0.54300000000000004</v>
      </c>
      <c r="F33" s="151">
        <f>IF(F8&gt;0.085,"",'Raw Data'!F27)</f>
        <v>0.54200000000000004</v>
      </c>
      <c r="G33" s="157">
        <f>IF(AND($G$8&gt;0.085,$H$8&gt;0.085,$I$8&gt;0.085,$J$8&gt;0.085,$K$8&gt;0.085,$L$8&gt;0.085,$M$8&gt;0.085),'Raw Data'!G27,IF(G8&gt;0.085,"",'Raw Data'!G27))</f>
        <v>0.64600000000000002</v>
      </c>
      <c r="H33" s="157">
        <f>IF(AND($G$8&gt;0.085,$H$8&gt;0.085,$I$8&gt;0.085,$J$8&gt;0.085,$K$8&gt;0.085,$L$8&gt;0.085,$M$8&gt;0.085),'Raw Data'!H27,IF(H8&gt;0.085,"",'Raw Data'!H27))</f>
        <v>0.64700000000000002</v>
      </c>
      <c r="I33" s="157">
        <f>IF(AND($G$8&gt;0.085,$H$8&gt;0.085,$I$8&gt;0.085,$J$8&gt;0.085,$K$8&gt;0.085,$L$8&gt;0.085,$M$8&gt;0.085),'Raw Data'!I27,IF(I8&gt;0.085,"",'Raw Data'!I27))</f>
        <v>0.64900000000000002</v>
      </c>
      <c r="J33" s="157">
        <f>IF(AND($G$8&gt;0.085,$H$8&gt;0.085,$I$8&gt;0.085,$J$8&gt;0.085,$K$8&gt;0.085,$L$8&gt;0.085,$M$8&gt;0.085),'Raw Data'!J27,IF(J8&gt;0.085,"",'Raw Data'!J27))</f>
        <v>0.64500000000000002</v>
      </c>
      <c r="K33" s="157">
        <f>IF(AND($G$8&gt;0.085,$H$8&gt;0.085,$I$8&gt;0.085,$J$8&gt;0.085,$K$8&gt;0.085,$L$8&gt;0.085,$M$8&gt;0.085),'Raw Data'!K27,IF(K8&gt;0.085,"",'Raw Data'!K27))</f>
        <v>7.0000000000000007E-2</v>
      </c>
      <c r="L33" s="157">
        <f>IF(AND($G$8&gt;0.085,$H$8&gt;0.085,$I$8&gt;0.085,$J$8&gt;0.085,$K$8&gt;0.085,$L$8&gt;0.085,$M$8&gt;0.085),'Raw Data'!L27,IF(L8&gt;0.085,"",'Raw Data'!L27))</f>
        <v>6.9000000000000006E-2</v>
      </c>
      <c r="M33" s="157">
        <f>IF(AND($G$8&gt;0.085,$H$8&gt;0.085,$I$8&gt;0.085,$J$8&gt;0.085,$K$8&gt;0.085,$L$8&gt;0.085,$M$8&gt;0.085),'Raw Data'!M27,IF(M8&gt;0.085,"",'Raw Data'!M27))</f>
        <v>6.9000000000000006E-2</v>
      </c>
      <c r="N33" s="145" t="str">
        <f>'Raw Data'!N27</f>
        <v>read:412 Read#2</v>
      </c>
      <c r="O33" t="str">
        <f>'Raw Data'!$O$7</f>
        <v>Clarithromycin</v>
      </c>
    </row>
    <row r="34" spans="1:15" x14ac:dyDescent="0.35">
      <c r="A34" s="144" t="str">
        <f>'Raw Data'!A28</f>
        <v>G</v>
      </c>
      <c r="B34" s="147">
        <f>IF(B9&gt;0.085,"",'Raw Data'!B28)</f>
        <v>6.9000000000000006E-2</v>
      </c>
      <c r="C34" s="148">
        <f>IF(C9&gt;0.085,"",'Raw Data'!C28)</f>
        <v>0.64</v>
      </c>
      <c r="D34" s="151">
        <f>IF(D9&gt;0.085,"",'Raw Data'!D28)</f>
        <v>0.57399999999999995</v>
      </c>
      <c r="E34" s="151">
        <f>IF(E9&gt;0.085,"",'Raw Data'!E28)</f>
        <v>0.59499999999999997</v>
      </c>
      <c r="F34" s="151">
        <f>IF(F9&gt;0.085,"",'Raw Data'!F28)</f>
        <v>0.58799999999999997</v>
      </c>
      <c r="G34" s="158">
        <f>IF(AND($G$9&gt;0.085,$H$9&gt;0.085,$I$9&gt;0.085,$J$9&gt;0.085,$K$9&gt;0.085,$L$9&gt;0.085,$M$9&gt;0.085),'Raw Data'!G28,IF(G9&gt;0.085,"",'Raw Data'!G28))</f>
        <v>0.61799999999999999</v>
      </c>
      <c r="H34" s="158">
        <f>IF(AND($G$9&gt;0.085,$H$9&gt;0.085,$I$9&gt;0.085,$J$9&gt;0.085,$K$9&gt;0.085,$L$9&gt;0.085,$M$9&gt;0.085),'Raw Data'!H28,IF(H9&gt;0.085,"",'Raw Data'!H28))</f>
        <v>0.61499999999999999</v>
      </c>
      <c r="I34" s="158">
        <f>IF(AND($G$9&gt;0.085,$H$9&gt;0.085,$I$9&gt;0.085,$J$9&gt;0.085,$K$9&gt;0.085,$L$9&gt;0.085,$M$9&gt;0.085),'Raw Data'!I28,IF(I9&gt;0.085,"",'Raw Data'!I28))</f>
        <v>0.623</v>
      </c>
      <c r="J34" s="158">
        <f>IF(AND($G$9&gt;0.085,$H$9&gt;0.085,$I$9&gt;0.085,$J$9&gt;0.085,$K$9&gt;0.085,$L$9&gt;0.085,$M$9&gt;0.085),'Raw Data'!J28,IF(J9&gt;0.085,"",'Raw Data'!J28))</f>
        <v>0.62</v>
      </c>
      <c r="K34" s="158">
        <f>IF(AND($G$9&gt;0.085,$H$9&gt;0.085,$I$9&gt;0.085,$J$9&gt;0.085,$K$9&gt;0.085,$L$9&gt;0.085,$M$9&gt;0.085),'Raw Data'!K28,IF(K9&gt;0.085,"",'Raw Data'!K28))</f>
        <v>7.0000000000000007E-2</v>
      </c>
      <c r="L34" s="158">
        <f>IF(AND($G$9&gt;0.085,$H$9&gt;0.085,$I$9&gt;0.085,$J$9&gt;0.085,$K$9&gt;0.085,$L$9&gt;0.085,$M$9&gt;0.085),'Raw Data'!L28,IF(L9&gt;0.085,"",'Raw Data'!L28))</f>
        <v>7.3999999999999996E-2</v>
      </c>
      <c r="M34" s="158">
        <f>IF(AND($G$9&gt;0.085,$H$9&gt;0.085,$I$9&gt;0.085,$J$9&gt;0.085,$K$9&gt;0.085,$L$9&gt;0.085,$M$9&gt;0.085),'Raw Data'!M28,IF(M9&gt;0.085,"",'Raw Data'!M28))</f>
        <v>7.1999999999999995E-2</v>
      </c>
      <c r="N34" s="145" t="str">
        <f>'Raw Data'!N28</f>
        <v>read:412 Read#2</v>
      </c>
      <c r="O34" t="str">
        <f>'Raw Data'!$O$8</f>
        <v>o-Benzyl-p-chlorophenol</v>
      </c>
    </row>
    <row r="35" spans="1:15" x14ac:dyDescent="0.35">
      <c r="A35" s="144" t="str">
        <f>'Raw Data'!A29</f>
        <v>H</v>
      </c>
      <c r="B35" s="147">
        <f>IF(B10&gt;0.085,"",'Raw Data'!B29)</f>
        <v>6.9000000000000006E-2</v>
      </c>
      <c r="C35" s="148">
        <f>IF(C10&gt;0.085,"",'Raw Data'!C29)</f>
        <v>0.63700000000000001</v>
      </c>
      <c r="D35" s="151">
        <f>IF(D10&gt;0.085,"",'Raw Data'!D29)</f>
        <v>0.60599999999999998</v>
      </c>
      <c r="E35" s="151">
        <f>IF(E10&gt;0.085,"",'Raw Data'!E29)</f>
        <v>0.61899999999999999</v>
      </c>
      <c r="F35" s="151">
        <f>IF(F10&gt;0.085,"",'Raw Data'!F29)</f>
        <v>0.61599999999999999</v>
      </c>
      <c r="G35" s="147">
        <f>IF(AND($G$10&gt;0.085,$H$10&gt;0.085,$I$10&gt;0.085,$J$10&gt;0.085,$K$10&gt;0.085,$L$10&gt;0.085,$M$10&gt;0.085),'Raw Data'!G29,IF(G10&gt;0.085,"",'Raw Data'!G29))</f>
        <v>0.64200000000000002</v>
      </c>
      <c r="H35" s="147">
        <f>IF(AND($G$10&gt;0.085,$H$10&gt;0.085,$I$10&gt;0.085,$J$10&gt;0.085,$K$10&gt;0.085,$L$10&gt;0.085,$M$10&gt;0.085),'Raw Data'!H29,IF(H10&gt;0.085,"",'Raw Data'!H29))</f>
        <v>0.63400000000000001</v>
      </c>
      <c r="I35" s="147">
        <f>IF(AND($G$10&gt;0.085,$H$10&gt;0.085,$I$10&gt;0.085,$J$10&gt;0.085,$K$10&gt;0.085,$L$10&gt;0.085,$M$10&gt;0.085),'Raw Data'!I29,IF(I10&gt;0.085,"",'Raw Data'!I29))</f>
        <v>0.63700000000000001</v>
      </c>
      <c r="J35" s="147">
        <f>IF(AND($G$10&gt;0.085,$H$10&gt;0.085,$I$10&gt;0.085,$J$10&gt;0.085,$K$10&gt;0.085,$L$10&gt;0.085,$M$10&gt;0.085),'Raw Data'!J29,IF(J10&gt;0.085,"",'Raw Data'!J29))</f>
        <v>0.63900000000000001</v>
      </c>
      <c r="K35" s="147">
        <f>IF(AND($G$10&gt;0.085,$H$10&gt;0.085,$I$10&gt;0.085,$J$10&gt;0.085,$K$10&gt;0.085,$L$10&gt;0.085,$M$10&gt;0.085),'Raw Data'!K29,IF(K10&gt;0.085,"",'Raw Data'!K29))</f>
        <v>8.2000000000000003E-2</v>
      </c>
      <c r="L35" s="147">
        <f>IF(AND($G$10&gt;0.085,$H$10&gt;0.085,$I$10&gt;0.085,$J$10&gt;0.085,$K$10&gt;0.085,$L$10&gt;0.085,$M$10&gt;0.085),'Raw Data'!L29,IF(L10&gt;0.085,"",'Raw Data'!L29))</f>
        <v>8.3000000000000004E-2</v>
      </c>
      <c r="M35" s="147">
        <f>IF(AND($G$10&gt;0.085,$H$10&gt;0.085,$I$10&gt;0.085,$J$10&gt;0.085,$K$10&gt;0.085,$L$10&gt;0.085,$M$10&gt;0.085),'Raw Data'!M29,IF(M10&gt;0.085,"",'Raw Data'!M29))</f>
        <v>8.3000000000000004E-2</v>
      </c>
      <c r="N35" s="145" t="str">
        <f>'Raw Data'!N29</f>
        <v>read:412 Read#2</v>
      </c>
      <c r="O35" t="str">
        <f>'Raw Data'!$O$9</f>
        <v>5-Amino-o-cresol</v>
      </c>
    </row>
    <row r="37" spans="1:15" x14ac:dyDescent="0.35">
      <c r="A37" s="144" t="str">
        <f>'Raw Data'!A31</f>
        <v>35 min</v>
      </c>
      <c r="B37" s="144">
        <f>'Raw Data'!B31</f>
        <v>1</v>
      </c>
      <c r="C37" s="144">
        <f>'Raw Data'!C31</f>
        <v>2</v>
      </c>
      <c r="D37" s="144">
        <f>'Raw Data'!D31</f>
        <v>3</v>
      </c>
      <c r="E37" s="144">
        <f>'Raw Data'!E31</f>
        <v>4</v>
      </c>
      <c r="F37" s="144">
        <f>'Raw Data'!F31</f>
        <v>5</v>
      </c>
      <c r="G37" s="144">
        <f>'Raw Data'!G31</f>
        <v>6</v>
      </c>
      <c r="H37" s="144">
        <f>'Raw Data'!H31</f>
        <v>7</v>
      </c>
      <c r="I37" s="144">
        <f>'Raw Data'!I31</f>
        <v>8</v>
      </c>
      <c r="J37" s="144">
        <f>'Raw Data'!J31</f>
        <v>9</v>
      </c>
      <c r="K37" s="144">
        <f>'Raw Data'!K31</f>
        <v>10</v>
      </c>
      <c r="L37" s="144">
        <f>'Raw Data'!L31</f>
        <v>11</v>
      </c>
      <c r="M37" s="144">
        <f>'Raw Data'!M31</f>
        <v>12</v>
      </c>
    </row>
    <row r="38" spans="1:15" x14ac:dyDescent="0.35">
      <c r="A38" s="144" t="str">
        <f>'Raw Data'!A32</f>
        <v>A</v>
      </c>
      <c r="B38" s="147">
        <f>IF(B3&gt;0.085,"",'Raw Data'!B32)</f>
        <v>6.9000000000000006E-2</v>
      </c>
      <c r="C38" s="148">
        <f>IF(C3&gt;0.085,"",'Raw Data'!C32)</f>
        <v>0.63200000000000001</v>
      </c>
      <c r="D38" s="148">
        <f>IF(D3&gt;0.085,"",'Raw Data'!D32)</f>
        <v>0.63600000000000001</v>
      </c>
      <c r="E38" s="148">
        <f>IF(E3&gt;0.085,"",'Raw Data'!E32)</f>
        <v>0.66400000000000003</v>
      </c>
      <c r="F38" s="148">
        <f>IF(F3&gt;0.085,"",'Raw Data'!F32)</f>
        <v>0.64400000000000002</v>
      </c>
      <c r="G38" s="148">
        <f>IF(G3&gt;0.085,"",'Raw Data'!G32)</f>
        <v>0.64400000000000002</v>
      </c>
      <c r="H38" s="148">
        <f>IF(H3&gt;0.085,"",'Raw Data'!H32)</f>
        <v>0.64400000000000002</v>
      </c>
      <c r="I38" s="148">
        <f>IF(I3&gt;0.085,"",'Raw Data'!I32)</f>
        <v>0.64700000000000002</v>
      </c>
      <c r="J38" s="148">
        <f>IF(J3&gt;0.085,"",'Raw Data'!J32)</f>
        <v>0.64400000000000002</v>
      </c>
      <c r="K38" s="13"/>
      <c r="L38" s="13"/>
      <c r="M38" s="13"/>
      <c r="N38" s="145" t="str">
        <f>'Raw Data'!N32</f>
        <v>read:412 Read#3</v>
      </c>
    </row>
    <row r="39" spans="1:15" x14ac:dyDescent="0.35">
      <c r="A39" s="144" t="str">
        <f>'Raw Data'!A33</f>
        <v>B</v>
      </c>
      <c r="B39" s="147">
        <f>IF(B4&gt;0.085,"",'Raw Data'!B33)</f>
        <v>7.1999999999999995E-2</v>
      </c>
      <c r="C39" s="148">
        <f>IF(C4&gt;0.085,"",'Raw Data'!C33)</f>
        <v>0.63600000000000001</v>
      </c>
      <c r="D39" s="151">
        <f>IF(D4&gt;0.085,"",'Raw Data'!D33)</f>
        <v>9.0999999999999998E-2</v>
      </c>
      <c r="E39" s="151">
        <f>IF(E4&gt;0.085,"",'Raw Data'!E33)</f>
        <v>8.6999999999999994E-2</v>
      </c>
      <c r="F39" s="151">
        <f>IF(F4&gt;0.085,"",'Raw Data'!F33)</f>
        <v>8.2000000000000003E-2</v>
      </c>
      <c r="G39" s="152">
        <f>IF(AND($G$4&gt;0.085,$H$4&gt;0.085,$I$4&gt;0.085,$J$4&gt;0.085,$K$4&gt;0.085,$L$4&gt;0.085,$M$4&gt;0.085),'Raw Data'!G33,IF(G4&gt;0.085,"",'Raw Data'!G33))</f>
        <v>0.628</v>
      </c>
      <c r="H39" s="152">
        <f>IF(AND($G$4&gt;0.085,$H$4&gt;0.085,$I$4&gt;0.085,$J$4&gt;0.085,$K$4&gt;0.085,$L$4&gt;0.085,$M$4&gt;0.085),'Raw Data'!H33,IF(H4&gt;0.085,"",'Raw Data'!H33))</f>
        <v>0.63300000000000001</v>
      </c>
      <c r="I39" s="152">
        <f>IF(AND($G$4&gt;0.085,$H$4&gt;0.085,$I$4&gt;0.085,$J$4&gt;0.085,$K$4&gt;0.085,$L$4&gt;0.085,$M$4&gt;0.085),'Raw Data'!I33,IF(I4&gt;0.085,"",'Raw Data'!I33))</f>
        <v>0.63700000000000001</v>
      </c>
      <c r="J39" s="152">
        <f>IF(AND($G$4&gt;0.085,$H$4&gt;0.085,$I$4&gt;0.085,$J$4&gt;0.085,$K$4&gt;0.085,$L$4&gt;0.085,$M$4&gt;0.085),'Raw Data'!J33,IF(J4&gt;0.085,"",'Raw Data'!J33))</f>
        <v>0.628</v>
      </c>
      <c r="K39" s="152">
        <f>IF(AND($G$4&gt;0.085,$H$4&gt;0.085,$I$4&gt;0.085,$J$4&gt;0.085,$K$4&gt;0.085,$L$4&gt;0.085,$M$4&gt;0.085),'Raw Data'!K33,IF(K4&gt;0.085,"",'Raw Data'!K33))</f>
        <v>7.1999999999999995E-2</v>
      </c>
      <c r="L39" s="152">
        <f>IF(AND($G$4&gt;0.085,$H$4&gt;0.085,$I$4&gt;0.085,$J$4&gt;0.085,$K$4&gt;0.085,$L$4&gt;0.085,$M$4&gt;0.085),'Raw Data'!L33,IF(L4&gt;0.085,"",'Raw Data'!L33))</f>
        <v>7.0999999999999994E-2</v>
      </c>
      <c r="M39" s="152">
        <f>IF(AND($G$4&gt;0.085,$H$4&gt;0.085,$I$4&gt;0.085,$J$4&gt;0.085,$K$4&gt;0.085,$L$4&gt;0.085,$M$4&gt;0.085),'Raw Data'!M33,IF(M4&gt;0.085,"",'Raw Data'!M33))</f>
        <v>7.1999999999999995E-2</v>
      </c>
      <c r="N39" s="145" t="str">
        <f>'Raw Data'!N33</f>
        <v>read:412 Read#3</v>
      </c>
      <c r="O39" t="str">
        <f>'Raw Data'!$O$3</f>
        <v>Tri-n-octylphospine oxide</v>
      </c>
    </row>
    <row r="40" spans="1:15" x14ac:dyDescent="0.35">
      <c r="A40" s="144" t="str">
        <f>'Raw Data'!A34</f>
        <v>C</v>
      </c>
      <c r="B40" s="147">
        <f>IF(B5&gt;0.085,"",'Raw Data'!B34)</f>
        <v>7.0000000000000007E-2</v>
      </c>
      <c r="C40" s="148">
        <f>IF(C5&gt;0.085,"",'Raw Data'!C34)</f>
        <v>0.63700000000000001</v>
      </c>
      <c r="D40" s="151">
        <f>IF(D5&gt;0.085,"",'Raw Data'!D34)</f>
        <v>0.1</v>
      </c>
      <c r="E40" s="151">
        <f>IF(E5&gt;0.085,"",'Raw Data'!E34)</f>
        <v>0.13300000000000001</v>
      </c>
      <c r="F40" s="151">
        <f>IF(F5&gt;0.085,"",'Raw Data'!F34)</f>
        <v>9.9000000000000005E-2</v>
      </c>
      <c r="G40" s="155">
        <f>IF(AND($G$5&gt;0.085,$H$5&gt;0.085,$I$5&gt;0.085,$J$5&gt;0.085,$K$5&gt;0.085,$L$5&gt;0.085,$M$5&gt;0.085),'Raw Data'!G34,IF(G5&gt;0.085,"",'Raw Data'!G34))</f>
        <v>0.60599999999999998</v>
      </c>
      <c r="H40" s="155">
        <f>IF(AND($G$5&gt;0.085,$H$5&gt;0.085,$I$5&gt;0.085,$J$5&gt;0.085,$K$5&gt;0.085,$L$5&gt;0.085,$M$5&gt;0.085),'Raw Data'!H34,IF(H5&gt;0.085,"",'Raw Data'!H34))</f>
        <v>0.60299999999999998</v>
      </c>
      <c r="I40" s="155">
        <f>IF(AND($G$5&gt;0.085,$H$5&gt;0.085,$I$5&gt;0.085,$J$5&gt;0.085,$K$5&gt;0.085,$L$5&gt;0.085,$M$5&gt;0.085),'Raw Data'!I34,IF(I5&gt;0.085,"",'Raw Data'!I34))</f>
        <v>0.60499999999999998</v>
      </c>
      <c r="J40" s="155">
        <f>IF(AND($G$5&gt;0.085,$H$5&gt;0.085,$I$5&gt;0.085,$J$5&gt;0.085,$K$5&gt;0.085,$L$5&gt;0.085,$M$5&gt;0.085),'Raw Data'!J34,IF(J5&gt;0.085,"",'Raw Data'!J34))</f>
        <v>0.60599999999999998</v>
      </c>
      <c r="K40" s="155">
        <f>IF(AND($G$5&gt;0.085,$H$5&gt;0.085,$I$5&gt;0.085,$J$5&gt;0.085,$K$5&gt;0.085,$L$5&gt;0.085,$M$5&gt;0.085),'Raw Data'!K34,IF(K5&gt;0.085,"",'Raw Data'!K34))</f>
        <v>6.9000000000000006E-2</v>
      </c>
      <c r="L40" s="155">
        <f>IF(AND($G$5&gt;0.085,$H$5&gt;0.085,$I$5&gt;0.085,$J$5&gt;0.085,$K$5&gt;0.085,$L$5&gt;0.085,$M$5&gt;0.085),'Raw Data'!L34,IF(L5&gt;0.085,"",'Raw Data'!L34))</f>
        <v>7.0000000000000007E-2</v>
      </c>
      <c r="M40" s="155">
        <f>IF(AND($G$5&gt;0.085,$H$5&gt;0.085,$I$5&gt;0.085,$J$5&gt;0.085,$K$5&gt;0.085,$L$5&gt;0.085,$M$5&gt;0.085),'Raw Data'!M34,IF(M5&gt;0.085,"",'Raw Data'!M34))</f>
        <v>7.0999999999999994E-2</v>
      </c>
      <c r="N40" s="145" t="str">
        <f>'Raw Data'!N34</f>
        <v>read:412 Read#3</v>
      </c>
      <c r="O40" t="str">
        <f>'Raw Data'!$O$4</f>
        <v>Dicyclohexylcarbodiimide</v>
      </c>
    </row>
    <row r="41" spans="1:15" x14ac:dyDescent="0.35">
      <c r="A41" s="144" t="str">
        <f>'Raw Data'!A35</f>
        <v>D</v>
      </c>
      <c r="B41" s="147">
        <f>IF(B6&gt;0.085,"",'Raw Data'!B35)</f>
        <v>6.9000000000000006E-2</v>
      </c>
      <c r="C41" s="148">
        <f>IF(C6&gt;0.085,"",'Raw Data'!C35)</f>
        <v>0.629</v>
      </c>
      <c r="D41" s="151">
        <f>IF(D6&gt;0.085,"",'Raw Data'!D35)</f>
        <v>0.19500000000000001</v>
      </c>
      <c r="E41" s="151">
        <f>IF(E6&gt;0.085,"",'Raw Data'!E35)</f>
        <v>0.222</v>
      </c>
      <c r="F41" s="151">
        <f>IF(F6&gt;0.085,"",'Raw Data'!F35)</f>
        <v>0.186</v>
      </c>
      <c r="G41" s="144">
        <f>IF(AND($G$6&gt;0.085,$H$6&gt;0.085,$I$6&gt;0.085,$J$6&gt;0.085,$K$6&gt;0.085,$L$6&gt;0.085,$M$6&gt;0.085),'Raw Data'!G35,IF(G6&gt;0.085,"",'Raw Data'!G35))</f>
        <v>0.64</v>
      </c>
      <c r="H41" s="144">
        <f>IF(AND($G$6&gt;0.085,$H$6&gt;0.085,$I$6&gt;0.085,$J$6&gt;0.085,$K$6&gt;0.085,$L$6&gt;0.085,$M$6&gt;0.085),'Raw Data'!H35,IF(H6&gt;0.085,"",'Raw Data'!H35))</f>
        <v>0.64100000000000001</v>
      </c>
      <c r="I41" s="144">
        <f>IF(AND($G$6&gt;0.085,$H$6&gt;0.085,$I$6&gt;0.085,$J$6&gt;0.085,$K$6&gt;0.085,$L$6&gt;0.085,$M$6&gt;0.085),'Raw Data'!I35,IF(I6&gt;0.085,"",'Raw Data'!I35))</f>
        <v>0.64100000000000001</v>
      </c>
      <c r="J41" s="144">
        <f>IF(AND($G$6&gt;0.085,$H$6&gt;0.085,$I$6&gt;0.085,$J$6&gt;0.085,$K$6&gt;0.085,$L$6&gt;0.085,$M$6&gt;0.085),'Raw Data'!J35,IF(J6&gt;0.085,"",'Raw Data'!J35))</f>
        <v>0.63700000000000001</v>
      </c>
      <c r="K41" s="144">
        <f>IF(AND($G$6&gt;0.085,$H$6&gt;0.085,$I$6&gt;0.085,$J$6&gt;0.085,$K$6&gt;0.085,$L$6&gt;0.085,$M$6&gt;0.085),'Raw Data'!K35,IF(K6&gt;0.085,"",'Raw Data'!K35))</f>
        <v>7.0000000000000007E-2</v>
      </c>
      <c r="L41" s="144">
        <f>IF(AND($G$6&gt;0.085,$H$6&gt;0.085,$I$6&gt;0.085,$J$6&gt;0.085,$K$6&gt;0.085,$L$6&gt;0.085,$M$6&gt;0.085),'Raw Data'!L35,IF(L6&gt;0.085,"",'Raw Data'!L35))</f>
        <v>7.0000000000000007E-2</v>
      </c>
      <c r="M41" s="144">
        <f>IF(AND($G$6&gt;0.085,$H$6&gt;0.085,$I$6&gt;0.085,$J$6&gt;0.085,$K$6&gt;0.085,$L$6&gt;0.085,$M$6&gt;0.085),'Raw Data'!M35,IF(M6&gt;0.085,"",'Raw Data'!M35))</f>
        <v>7.0000000000000007E-2</v>
      </c>
      <c r="N41" s="145" t="str">
        <f>'Raw Data'!N35</f>
        <v>read:412 Read#3</v>
      </c>
      <c r="O41" t="str">
        <f>'Raw Data'!$O$5</f>
        <v>Triethanolamine</v>
      </c>
    </row>
    <row r="42" spans="1:15" x14ac:dyDescent="0.35">
      <c r="A42" s="144" t="str">
        <f>'Raw Data'!A36</f>
        <v>E</v>
      </c>
      <c r="B42" s="147">
        <f>IF(B7&gt;0.085,"",'Raw Data'!B36)</f>
        <v>7.0000000000000007E-2</v>
      </c>
      <c r="C42" s="148">
        <f>IF(C7&gt;0.085,"",'Raw Data'!C36)</f>
        <v>0.63500000000000001</v>
      </c>
      <c r="D42" s="151">
        <f>IF(D7&gt;0.085,"",'Raw Data'!D36)</f>
        <v>0.33600000000000002</v>
      </c>
      <c r="E42" s="151">
        <f>IF(E7&gt;0.085,"",'Raw Data'!E36)</f>
        <v>0.36899999999999999</v>
      </c>
      <c r="F42" s="151">
        <f>IF(F7&gt;0.085,"",'Raw Data'!F36)</f>
        <v>0.35399999999999998</v>
      </c>
      <c r="G42" s="156">
        <f>IF(AND($G$7&gt;0.085,$H$7&gt;0.085,$I$7&gt;0.085,$J$7&gt;0.085,$K$7&gt;0.085,$L$7&gt;0.085,$M$7&gt;0.085),'Raw Data'!G36,IF(G7&gt;0.085,"",'Raw Data'!G36))</f>
        <v>0.61399999999999999</v>
      </c>
      <c r="H42" s="156">
        <f>IF(AND($G$7&gt;0.085,$H$7&gt;0.085,$I$7&gt;0.085,$J$7&gt;0.085,$K$7&gt;0.085,$L$7&gt;0.085,$M$7&gt;0.085),'Raw Data'!H36,IF(H7&gt;0.085,"",'Raw Data'!H36))</f>
        <v>0.61399999999999999</v>
      </c>
      <c r="I42" s="156">
        <f>IF(AND($G$7&gt;0.085,$H$7&gt;0.085,$I$7&gt;0.085,$J$7&gt;0.085,$K$7&gt;0.085,$L$7&gt;0.085,$M$7&gt;0.085),'Raw Data'!I36,IF(I7&gt;0.085,"",'Raw Data'!I36))</f>
        <v>0.61899999999999999</v>
      </c>
      <c r="J42" s="156">
        <f>IF(AND($G$7&gt;0.085,$H$7&gt;0.085,$I$7&gt;0.085,$J$7&gt;0.085,$K$7&gt;0.085,$L$7&gt;0.085,$M$7&gt;0.085),'Raw Data'!J36,IF(J7&gt;0.085,"",'Raw Data'!J36))</f>
        <v>0.61399999999999999</v>
      </c>
      <c r="K42" s="156">
        <f>IF(AND($G$7&gt;0.085,$H$7&gt;0.085,$I$7&gt;0.085,$J$7&gt;0.085,$K$7&gt;0.085,$L$7&gt;0.085,$M$7&gt;0.085),'Raw Data'!K36,IF(K7&gt;0.085,"",'Raw Data'!K36))</f>
        <v>6.9000000000000006E-2</v>
      </c>
      <c r="L42" s="156">
        <f>IF(AND($G$7&gt;0.085,$H$7&gt;0.085,$I$7&gt;0.085,$J$7&gt;0.085,$K$7&gt;0.085,$L$7&gt;0.085,$M$7&gt;0.085),'Raw Data'!L36,IF(L7&gt;0.085,"",'Raw Data'!L36))</f>
        <v>7.0000000000000007E-2</v>
      </c>
      <c r="M42" s="156">
        <f>IF(AND($G$7&gt;0.085,$H$7&gt;0.085,$I$7&gt;0.085,$J$7&gt;0.085,$K$7&gt;0.085,$L$7&gt;0.085,$M$7&gt;0.085),'Raw Data'!M36,IF(M7&gt;0.085,"",'Raw Data'!M36))</f>
        <v>7.0999999999999994E-2</v>
      </c>
      <c r="N42" s="145" t="str">
        <f>'Raw Data'!N36</f>
        <v>read:412 Read#3</v>
      </c>
      <c r="O42" t="str">
        <f>'Raw Data'!$O$6</f>
        <v>Pentaerythritol triacrylate</v>
      </c>
    </row>
    <row r="43" spans="1:15" x14ac:dyDescent="0.35">
      <c r="A43" s="144" t="str">
        <f>'Raw Data'!A37</f>
        <v>F</v>
      </c>
      <c r="B43" s="147">
        <f>IF(B8&gt;0.085,"",'Raw Data'!B37)</f>
        <v>7.0999999999999994E-2</v>
      </c>
      <c r="C43" s="148">
        <f>IF(C8&gt;0.085,"",'Raw Data'!C37)</f>
        <v>0.64</v>
      </c>
      <c r="D43" s="151">
        <f>IF(D8&gt;0.085,"",'Raw Data'!D37)</f>
        <v>0.45400000000000001</v>
      </c>
      <c r="E43" s="151">
        <f>IF(E8&gt;0.085,"",'Raw Data'!E37)</f>
        <v>0.48</v>
      </c>
      <c r="F43" s="151">
        <f>IF(F8&gt;0.085,"",'Raw Data'!F37)</f>
        <v>0.47699999999999998</v>
      </c>
      <c r="G43" s="157">
        <f>IF(AND($G$8&gt;0.085,$H$8&gt;0.085,$I$8&gt;0.085,$J$8&gt;0.085,$K$8&gt;0.085,$L$8&gt;0.085,$M$8&gt;0.085),'Raw Data'!G37,IF(G8&gt;0.085,"",'Raw Data'!G37))</f>
        <v>0.64500000000000002</v>
      </c>
      <c r="H43" s="157">
        <f>IF(AND($G$8&gt;0.085,$H$8&gt;0.085,$I$8&gt;0.085,$J$8&gt;0.085,$K$8&gt;0.085,$L$8&gt;0.085,$M$8&gt;0.085),'Raw Data'!H37,IF(H8&gt;0.085,"",'Raw Data'!H37))</f>
        <v>0.64400000000000002</v>
      </c>
      <c r="I43" s="157">
        <f>IF(AND($G$8&gt;0.085,$H$8&gt;0.085,$I$8&gt;0.085,$J$8&gt;0.085,$K$8&gt;0.085,$L$8&gt;0.085,$M$8&gt;0.085),'Raw Data'!I37,IF(I8&gt;0.085,"",'Raw Data'!I37))</f>
        <v>0.64600000000000002</v>
      </c>
      <c r="J43" s="157">
        <f>IF(AND($G$8&gt;0.085,$H$8&gt;0.085,$I$8&gt;0.085,$J$8&gt;0.085,$K$8&gt;0.085,$L$8&gt;0.085,$M$8&gt;0.085),'Raw Data'!J37,IF(J8&gt;0.085,"",'Raw Data'!J37))</f>
        <v>0.64200000000000002</v>
      </c>
      <c r="K43" s="157">
        <f>IF(AND($G$8&gt;0.085,$H$8&gt;0.085,$I$8&gt;0.085,$J$8&gt;0.085,$K$8&gt;0.085,$L$8&gt;0.085,$M$8&gt;0.085),'Raw Data'!K37,IF(K8&gt;0.085,"",'Raw Data'!K37))</f>
        <v>7.0000000000000007E-2</v>
      </c>
      <c r="L43" s="157">
        <f>IF(AND($G$8&gt;0.085,$H$8&gt;0.085,$I$8&gt;0.085,$J$8&gt;0.085,$K$8&gt;0.085,$L$8&gt;0.085,$M$8&gt;0.085),'Raw Data'!L37,IF(L8&gt;0.085,"",'Raw Data'!L37))</f>
        <v>7.0000000000000007E-2</v>
      </c>
      <c r="M43" s="157">
        <f>IF(AND($G$8&gt;0.085,$H$8&gt;0.085,$I$8&gt;0.085,$J$8&gt;0.085,$K$8&gt;0.085,$L$8&gt;0.085,$M$8&gt;0.085),'Raw Data'!M37,IF(M8&gt;0.085,"",'Raw Data'!M37))</f>
        <v>7.0000000000000007E-2</v>
      </c>
      <c r="N43" s="145" t="str">
        <f>'Raw Data'!N37</f>
        <v>read:412 Read#3</v>
      </c>
      <c r="O43" t="str">
        <f>'Raw Data'!$O$7</f>
        <v>Clarithromycin</v>
      </c>
    </row>
    <row r="44" spans="1:15" x14ac:dyDescent="0.35">
      <c r="A44" s="144" t="str">
        <f>'Raw Data'!A38</f>
        <v>G</v>
      </c>
      <c r="B44" s="147">
        <f>IF(B9&gt;0.085,"",'Raw Data'!B38)</f>
        <v>7.0000000000000007E-2</v>
      </c>
      <c r="C44" s="148">
        <f>IF(C9&gt;0.085,"",'Raw Data'!C38)</f>
        <v>0.63900000000000001</v>
      </c>
      <c r="D44" s="151">
        <f>IF(D9&gt;0.085,"",'Raw Data'!D38)</f>
        <v>0.53800000000000003</v>
      </c>
      <c r="E44" s="151">
        <f>IF(E9&gt;0.085,"",'Raw Data'!E38)</f>
        <v>0.55800000000000005</v>
      </c>
      <c r="F44" s="151">
        <f>IF(F9&gt;0.085,"",'Raw Data'!F38)</f>
        <v>0.55000000000000004</v>
      </c>
      <c r="G44" s="158">
        <f>IF(AND($G$9&gt;0.085,$H$9&gt;0.085,$I$9&gt;0.085,$J$9&gt;0.085,$K$9&gt;0.085,$L$9&gt;0.085,$M$9&gt;0.085),'Raw Data'!G38,IF(G9&gt;0.085,"",'Raw Data'!G38))</f>
        <v>0.60699999999999998</v>
      </c>
      <c r="H44" s="158">
        <f>IF(AND($G$9&gt;0.085,$H$9&gt;0.085,$I$9&gt;0.085,$J$9&gt;0.085,$K$9&gt;0.085,$L$9&gt;0.085,$M$9&gt;0.085),'Raw Data'!H38,IF(H9&gt;0.085,"",'Raw Data'!H38))</f>
        <v>0.60299999999999998</v>
      </c>
      <c r="I44" s="158">
        <f>IF(AND($G$9&gt;0.085,$H$9&gt;0.085,$I$9&gt;0.085,$J$9&gt;0.085,$K$9&gt;0.085,$L$9&gt;0.085,$M$9&gt;0.085),'Raw Data'!I38,IF(I9&gt;0.085,"",'Raw Data'!I38))</f>
        <v>0.61199999999999999</v>
      </c>
      <c r="J44" s="158">
        <f>IF(AND($G$9&gt;0.085,$H$9&gt;0.085,$I$9&gt;0.085,$J$9&gt;0.085,$K$9&gt;0.085,$L$9&gt;0.085,$M$9&gt;0.085),'Raw Data'!J38,IF(J9&gt;0.085,"",'Raw Data'!J38))</f>
        <v>0.60899999999999999</v>
      </c>
      <c r="K44" s="158">
        <f>IF(AND($G$9&gt;0.085,$H$9&gt;0.085,$I$9&gt;0.085,$J$9&gt;0.085,$K$9&gt;0.085,$L$9&gt;0.085,$M$9&gt;0.085),'Raw Data'!K38,IF(K9&gt;0.085,"",'Raw Data'!K38))</f>
        <v>7.0999999999999994E-2</v>
      </c>
      <c r="L44" s="158">
        <f>IF(AND($G$9&gt;0.085,$H$9&gt;0.085,$I$9&gt;0.085,$J$9&gt;0.085,$K$9&gt;0.085,$L$9&gt;0.085,$M$9&gt;0.085),'Raw Data'!L38,IF(L9&gt;0.085,"",'Raw Data'!L38))</f>
        <v>7.4999999999999997E-2</v>
      </c>
      <c r="M44" s="158">
        <f>IF(AND($G$9&gt;0.085,$H$9&gt;0.085,$I$9&gt;0.085,$J$9&gt;0.085,$K$9&gt;0.085,$L$9&gt;0.085,$M$9&gt;0.085),'Raw Data'!M38,IF(M9&gt;0.085,"",'Raw Data'!M38))</f>
        <v>7.2999999999999995E-2</v>
      </c>
      <c r="N44" s="145" t="str">
        <f>'Raw Data'!N38</f>
        <v>read:412 Read#3</v>
      </c>
      <c r="O44" t="str">
        <f>'Raw Data'!$O$8</f>
        <v>o-Benzyl-p-chlorophenol</v>
      </c>
    </row>
    <row r="45" spans="1:15" x14ac:dyDescent="0.35">
      <c r="A45" s="144" t="str">
        <f>'Raw Data'!A39</f>
        <v>H</v>
      </c>
      <c r="B45" s="147">
        <f>IF(B10&gt;0.085,"",'Raw Data'!B39)</f>
        <v>7.0000000000000007E-2</v>
      </c>
      <c r="C45" s="148">
        <f>IF(C10&gt;0.085,"",'Raw Data'!C39)</f>
        <v>0.63600000000000001</v>
      </c>
      <c r="D45" s="151">
        <f>IF(D10&gt;0.085,"",'Raw Data'!D39)</f>
        <v>0.58599999999999997</v>
      </c>
      <c r="E45" s="151">
        <f>IF(E10&gt;0.085,"",'Raw Data'!E39)</f>
        <v>0.59799999999999998</v>
      </c>
      <c r="F45" s="151">
        <f>IF(F10&gt;0.085,"",'Raw Data'!F39)</f>
        <v>0.59599999999999997</v>
      </c>
      <c r="G45" s="147">
        <f>IF(AND($G$10&gt;0.085,$H$10&gt;0.085,$I$10&gt;0.085,$J$10&gt;0.085,$K$10&gt;0.085,$L$10&gt;0.085,$M$10&gt;0.085),'Raw Data'!G39,IF(G10&gt;0.085,"",'Raw Data'!G39))</f>
        <v>0.624</v>
      </c>
      <c r="H45" s="147">
        <f>IF(AND($G$10&gt;0.085,$H$10&gt;0.085,$I$10&gt;0.085,$J$10&gt;0.085,$K$10&gt;0.085,$L$10&gt;0.085,$M$10&gt;0.085),'Raw Data'!H39,IF(H10&gt;0.085,"",'Raw Data'!H39))</f>
        <v>0.61599999999999999</v>
      </c>
      <c r="I45" s="147">
        <f>IF(AND($G$10&gt;0.085,$H$10&gt;0.085,$I$10&gt;0.085,$J$10&gt;0.085,$K$10&gt;0.085,$L$10&gt;0.085,$M$10&gt;0.085),'Raw Data'!I39,IF(I10&gt;0.085,"",'Raw Data'!I39))</f>
        <v>0.61899999999999999</v>
      </c>
      <c r="J45" s="147">
        <f>IF(AND($G$10&gt;0.085,$H$10&gt;0.085,$I$10&gt;0.085,$J$10&gt;0.085,$K$10&gt;0.085,$L$10&gt;0.085,$M$10&gt;0.085),'Raw Data'!J39,IF(J10&gt;0.085,"",'Raw Data'!J39))</f>
        <v>0.621</v>
      </c>
      <c r="K45" s="147">
        <f>IF(AND($G$10&gt;0.085,$H$10&gt;0.085,$I$10&gt;0.085,$J$10&gt;0.085,$K$10&gt;0.085,$L$10&gt;0.085,$M$10&gt;0.085),'Raw Data'!K39,IF(K10&gt;0.085,"",'Raw Data'!K39))</f>
        <v>8.3000000000000004E-2</v>
      </c>
      <c r="L45" s="147">
        <f>IF(AND($G$10&gt;0.085,$H$10&gt;0.085,$I$10&gt;0.085,$J$10&gt;0.085,$K$10&gt;0.085,$L$10&gt;0.085,$M$10&gt;0.085),'Raw Data'!L39,IF(L10&gt;0.085,"",'Raw Data'!L39))</f>
        <v>8.4000000000000005E-2</v>
      </c>
      <c r="M45" s="147">
        <f>IF(AND($G$10&gt;0.085,$H$10&gt;0.085,$I$10&gt;0.085,$J$10&gt;0.085,$K$10&gt;0.085,$L$10&gt;0.085,$M$10&gt;0.085),'Raw Data'!M39,IF(M10&gt;0.085,"",'Raw Data'!M39))</f>
        <v>8.5000000000000006E-2</v>
      </c>
      <c r="N45" s="145" t="str">
        <f>'Raw Data'!N39</f>
        <v>read:412 Read#3</v>
      </c>
      <c r="O45" t="str">
        <f>'Raw Data'!$O$9</f>
        <v>5-Amino-o-cresol</v>
      </c>
    </row>
    <row r="47" spans="1:15" x14ac:dyDescent="0.35">
      <c r="A47" s="144" t="str">
        <f>'Raw Data'!A41</f>
        <v>50 min</v>
      </c>
      <c r="B47" s="144">
        <f>'Raw Data'!B41</f>
        <v>1</v>
      </c>
      <c r="C47" s="144">
        <f>'Raw Data'!C41</f>
        <v>2</v>
      </c>
      <c r="D47" s="144">
        <f>'Raw Data'!D41</f>
        <v>3</v>
      </c>
      <c r="E47" s="144">
        <f>'Raw Data'!E41</f>
        <v>4</v>
      </c>
      <c r="F47" s="144">
        <f>'Raw Data'!F41</f>
        <v>5</v>
      </c>
      <c r="G47" s="144">
        <f>'Raw Data'!G41</f>
        <v>6</v>
      </c>
      <c r="H47" s="144">
        <f>'Raw Data'!H41</f>
        <v>7</v>
      </c>
      <c r="I47" s="144">
        <f>'Raw Data'!I41</f>
        <v>8</v>
      </c>
      <c r="J47" s="144">
        <f>'Raw Data'!J41</f>
        <v>9</v>
      </c>
      <c r="K47" s="144">
        <f>'Raw Data'!K41</f>
        <v>10</v>
      </c>
      <c r="L47" s="144">
        <f>'Raw Data'!L41</f>
        <v>11</v>
      </c>
      <c r="M47" s="144">
        <f>'Raw Data'!M41</f>
        <v>12</v>
      </c>
    </row>
    <row r="48" spans="1:15" x14ac:dyDescent="0.35">
      <c r="A48" s="144" t="str">
        <f>'Raw Data'!A42</f>
        <v>A</v>
      </c>
      <c r="B48" s="147">
        <f>IF(B3&gt;0.085,"",'Raw Data'!B42)</f>
        <v>7.0000000000000007E-2</v>
      </c>
      <c r="C48" s="148">
        <f>IF(C3&gt;0.085,"",'Raw Data'!C42)</f>
        <v>0.63200000000000001</v>
      </c>
      <c r="D48" s="148">
        <f>IF(D3&gt;0.085,"",'Raw Data'!D42)</f>
        <v>0.63700000000000001</v>
      </c>
      <c r="E48" s="148">
        <f>IF(E3&gt;0.085,"",'Raw Data'!E42)</f>
        <v>0.66900000000000004</v>
      </c>
      <c r="F48" s="148">
        <f>IF(F3&gt;0.085,"",'Raw Data'!F42)</f>
        <v>0.64300000000000002</v>
      </c>
      <c r="G48" s="148">
        <f>IF(G3&gt;0.085,"",'Raw Data'!G42)</f>
        <v>0.64300000000000002</v>
      </c>
      <c r="H48" s="148">
        <f>IF(H3&gt;0.085,"",'Raw Data'!H42)</f>
        <v>0.64300000000000002</v>
      </c>
      <c r="I48" s="148">
        <f>IF(I3&gt;0.085,"",'Raw Data'!I42)</f>
        <v>0.64600000000000002</v>
      </c>
      <c r="J48" s="148">
        <f>IF(J3&gt;0.085,"",'Raw Data'!J42)</f>
        <v>0.64300000000000002</v>
      </c>
      <c r="K48" s="13"/>
      <c r="L48" s="13"/>
      <c r="M48" s="13"/>
      <c r="N48" s="145" t="str">
        <f>'Raw Data'!N42</f>
        <v>read:412 Read#4</v>
      </c>
    </row>
    <row r="49" spans="1:15" x14ac:dyDescent="0.35">
      <c r="A49" s="144" t="str">
        <f>'Raw Data'!A43</f>
        <v>B</v>
      </c>
      <c r="B49" s="147">
        <f>IF(B4&gt;0.085,"",'Raw Data'!B43)</f>
        <v>7.2999999999999995E-2</v>
      </c>
      <c r="C49" s="148">
        <f>IF(C4&gt;0.085,"",'Raw Data'!C43)</f>
        <v>0.63600000000000001</v>
      </c>
      <c r="D49" s="151">
        <f>IF(D4&gt;0.085,"",'Raw Data'!D43)</f>
        <v>9.1999999999999998E-2</v>
      </c>
      <c r="E49" s="151">
        <f>IF(E4&gt;0.085,"",'Raw Data'!E43)</f>
        <v>8.6999999999999994E-2</v>
      </c>
      <c r="F49" s="151">
        <f>IF(F4&gt;0.085,"",'Raw Data'!F43)</f>
        <v>8.4000000000000005E-2</v>
      </c>
      <c r="G49" s="152">
        <f>IF(AND($G$4&gt;0.085,$H$4&gt;0.085,$I$4&gt;0.085,$J$4&gt;0.085,$K$4&gt;0.085,$L$4&gt;0.085,$M$4&gt;0.085),'Raw Data'!G43,IF(G4&gt;0.085,"",'Raw Data'!G43))</f>
        <v>0.629</v>
      </c>
      <c r="H49" s="152">
        <f>IF(AND($G$4&gt;0.085,$H$4&gt;0.085,$I$4&gt;0.085,$J$4&gt;0.085,$K$4&gt;0.085,$L$4&gt;0.085,$M$4&gt;0.085),'Raw Data'!H43,IF(H4&gt;0.085,"",'Raw Data'!H43))</f>
        <v>0.63400000000000001</v>
      </c>
      <c r="I49" s="152">
        <f>IF(AND($G$4&gt;0.085,$H$4&gt;0.085,$I$4&gt;0.085,$J$4&gt;0.085,$K$4&gt;0.085,$L$4&gt;0.085,$M$4&gt;0.085),'Raw Data'!I43,IF(I4&gt;0.085,"",'Raw Data'!I43))</f>
        <v>0.63800000000000001</v>
      </c>
      <c r="J49" s="152">
        <f>IF(AND($G$4&gt;0.085,$H$4&gt;0.085,$I$4&gt;0.085,$J$4&gt;0.085,$K$4&gt;0.085,$L$4&gt;0.085,$M$4&gt;0.085),'Raw Data'!J43,IF(J4&gt;0.085,"",'Raw Data'!J43))</f>
        <v>0.628</v>
      </c>
      <c r="K49" s="152">
        <f>IF(AND($G$4&gt;0.085,$H$4&gt;0.085,$I$4&gt;0.085,$J$4&gt;0.085,$K$4&gt;0.085,$L$4&gt;0.085,$M$4&gt;0.085),'Raw Data'!K43,IF(K4&gt;0.085,"",'Raw Data'!K43))</f>
        <v>7.3999999999999996E-2</v>
      </c>
      <c r="L49" s="152">
        <f>IF(AND($G$4&gt;0.085,$H$4&gt;0.085,$I$4&gt;0.085,$J$4&gt;0.085,$K$4&gt;0.085,$L$4&gt;0.085,$M$4&gt;0.085),'Raw Data'!L43,IF(L4&gt;0.085,"",'Raw Data'!L43))</f>
        <v>7.3999999999999996E-2</v>
      </c>
      <c r="M49" s="152">
        <f>IF(AND($G$4&gt;0.085,$H$4&gt;0.085,$I$4&gt;0.085,$J$4&gt;0.085,$K$4&gt;0.085,$L$4&gt;0.085,$M$4&gt;0.085),'Raw Data'!M43,IF(M4&gt;0.085,"",'Raw Data'!M43))</f>
        <v>7.4999999999999997E-2</v>
      </c>
      <c r="N49" s="145" t="str">
        <f>'Raw Data'!N43</f>
        <v>read:412 Read#4</v>
      </c>
      <c r="O49" t="str">
        <f>'Raw Data'!O43</f>
        <v>Tri-n-octylphospine oxide</v>
      </c>
    </row>
    <row r="50" spans="1:15" x14ac:dyDescent="0.35">
      <c r="A50" s="144" t="str">
        <f>'Raw Data'!A44</f>
        <v>C</v>
      </c>
      <c r="B50" s="147">
        <f>IF(B5&gt;0.085,"",'Raw Data'!B44)</f>
        <v>7.1999999999999995E-2</v>
      </c>
      <c r="C50" s="148">
        <f>IF(C5&gt;0.085,"",'Raw Data'!C44)</f>
        <v>0.63700000000000001</v>
      </c>
      <c r="D50" s="151">
        <f>IF(D5&gt;0.085,"",'Raw Data'!D44)</f>
        <v>8.7999999999999995E-2</v>
      </c>
      <c r="E50" s="151">
        <f>IF(E5&gt;0.085,"",'Raw Data'!E44)</f>
        <v>0.108</v>
      </c>
      <c r="F50" s="151">
        <f>IF(F5&gt;0.085,"",'Raw Data'!F44)</f>
        <v>8.7999999999999995E-2</v>
      </c>
      <c r="G50" s="155">
        <f>IF(AND($G$5&gt;0.085,$H$5&gt;0.085,$I$5&gt;0.085,$J$5&gt;0.085,$K$5&gt;0.085,$L$5&gt;0.085,$M$5&gt;0.085),'Raw Data'!G44,IF(G5&gt;0.085,"",'Raw Data'!G44))</f>
        <v>0.60799999999999998</v>
      </c>
      <c r="H50" s="155">
        <f>IF(AND($G$5&gt;0.085,$H$5&gt;0.085,$I$5&gt;0.085,$J$5&gt;0.085,$K$5&gt;0.085,$L$5&gt;0.085,$M$5&gt;0.085),'Raw Data'!H44,IF(H5&gt;0.085,"",'Raw Data'!H44))</f>
        <v>0.60299999999999998</v>
      </c>
      <c r="I50" s="155">
        <f>IF(AND($G$5&gt;0.085,$H$5&gt;0.085,$I$5&gt;0.085,$J$5&gt;0.085,$K$5&gt;0.085,$L$5&gt;0.085,$M$5&gt;0.085),'Raw Data'!I44,IF(I5&gt;0.085,"",'Raw Data'!I44))</f>
        <v>0.60499999999999998</v>
      </c>
      <c r="J50" s="155">
        <f>IF(AND($G$5&gt;0.085,$H$5&gt;0.085,$I$5&gt;0.085,$J$5&gt;0.085,$K$5&gt;0.085,$L$5&gt;0.085,$M$5&gt;0.085),'Raw Data'!J44,IF(J5&gt;0.085,"",'Raw Data'!J44))</f>
        <v>0.60599999999999998</v>
      </c>
      <c r="K50" s="155">
        <f>IF(AND($G$5&gt;0.085,$H$5&gt;0.085,$I$5&gt;0.085,$J$5&gt;0.085,$K$5&gt;0.085,$L$5&gt;0.085,$M$5&gt;0.085),'Raw Data'!K44,IF(K5&gt;0.085,"",'Raw Data'!K44))</f>
        <v>7.0999999999999994E-2</v>
      </c>
      <c r="L50" s="155">
        <f>IF(AND($G$5&gt;0.085,$H$5&gt;0.085,$I$5&gt;0.085,$J$5&gt;0.085,$K$5&gt;0.085,$L$5&gt;0.085,$M$5&gt;0.085),'Raw Data'!L44,IF(L5&gt;0.085,"",'Raw Data'!L44))</f>
        <v>7.1999999999999995E-2</v>
      </c>
      <c r="M50" s="155">
        <f>IF(AND($G$5&gt;0.085,$H$5&gt;0.085,$I$5&gt;0.085,$J$5&gt;0.085,$K$5&gt;0.085,$L$5&gt;0.085,$M$5&gt;0.085),'Raw Data'!M44,IF(M5&gt;0.085,"",'Raw Data'!M44))</f>
        <v>7.2999999999999995E-2</v>
      </c>
      <c r="N50" s="145" t="str">
        <f>'Raw Data'!N44</f>
        <v>read:412 Read#4</v>
      </c>
      <c r="O50" t="str">
        <f>'Raw Data'!O44</f>
        <v>Dicyclohexylcarbodiimide</v>
      </c>
    </row>
    <row r="51" spans="1:15" x14ac:dyDescent="0.35">
      <c r="A51" s="144" t="str">
        <f>'Raw Data'!A45</f>
        <v>D</v>
      </c>
      <c r="B51" s="147">
        <f>IF(B6&gt;0.085,"",'Raw Data'!B45)</f>
        <v>7.0000000000000007E-2</v>
      </c>
      <c r="C51" s="148">
        <f>IF(C6&gt;0.085,"",'Raw Data'!C45)</f>
        <v>0.629</v>
      </c>
      <c r="D51" s="151">
        <f>IF(D6&gt;0.085,"",'Raw Data'!D45)</f>
        <v>0.14199999999999999</v>
      </c>
      <c r="E51" s="151">
        <f>IF(E6&gt;0.085,"",'Raw Data'!E45)</f>
        <v>0.16200000000000001</v>
      </c>
      <c r="F51" s="151">
        <f>IF(F6&gt;0.085,"",'Raw Data'!F45)</f>
        <v>0.13500000000000001</v>
      </c>
      <c r="G51" s="144">
        <f>IF(AND($G$6&gt;0.085,$H$6&gt;0.085,$I$6&gt;0.085,$J$6&gt;0.085,$K$6&gt;0.085,$L$6&gt;0.085,$M$6&gt;0.085),'Raw Data'!G45,IF(G6&gt;0.085,"",'Raw Data'!G45))</f>
        <v>0.64</v>
      </c>
      <c r="H51" s="144">
        <f>IF(AND($G$6&gt;0.085,$H$6&gt;0.085,$I$6&gt;0.085,$J$6&gt;0.085,$K$6&gt;0.085,$L$6&gt;0.085,$M$6&gt;0.085),'Raw Data'!H45,IF(H6&gt;0.085,"",'Raw Data'!H45))</f>
        <v>0.64</v>
      </c>
      <c r="I51" s="144">
        <f>IF(AND($G$6&gt;0.085,$H$6&gt;0.085,$I$6&gt;0.085,$J$6&gt;0.085,$K$6&gt;0.085,$L$6&gt;0.085,$M$6&gt;0.085),'Raw Data'!I45,IF(I6&gt;0.085,"",'Raw Data'!I45))</f>
        <v>0.64100000000000001</v>
      </c>
      <c r="J51" s="144">
        <f>IF(AND($G$6&gt;0.085,$H$6&gt;0.085,$I$6&gt;0.085,$J$6&gt;0.085,$K$6&gt;0.085,$L$6&gt;0.085,$M$6&gt;0.085),'Raw Data'!J45,IF(J6&gt;0.085,"",'Raw Data'!J45))</f>
        <v>0.63700000000000001</v>
      </c>
      <c r="K51" s="144">
        <f>IF(AND($G$6&gt;0.085,$H$6&gt;0.085,$I$6&gt;0.085,$J$6&gt;0.085,$K$6&gt;0.085,$L$6&gt;0.085,$M$6&gt;0.085),'Raw Data'!K45,IF(K6&gt;0.085,"",'Raw Data'!K45))</f>
        <v>7.0999999999999994E-2</v>
      </c>
      <c r="L51" s="144">
        <f>IF(AND($G$6&gt;0.085,$H$6&gt;0.085,$I$6&gt;0.085,$J$6&gt;0.085,$K$6&gt;0.085,$L$6&gt;0.085,$M$6&gt;0.085),'Raw Data'!L45,IF(L6&gt;0.085,"",'Raw Data'!L45))</f>
        <v>7.2999999999999995E-2</v>
      </c>
      <c r="M51" s="144">
        <f>IF(AND($G$6&gt;0.085,$H$6&gt;0.085,$I$6&gt;0.085,$J$6&gt;0.085,$K$6&gt;0.085,$L$6&gt;0.085,$M$6&gt;0.085),'Raw Data'!M45,IF(M6&gt;0.085,"",'Raw Data'!M45))</f>
        <v>7.2999999999999995E-2</v>
      </c>
      <c r="N51" s="145" t="str">
        <f>'Raw Data'!N45</f>
        <v>read:412 Read#4</v>
      </c>
      <c r="O51" t="str">
        <f>'Raw Data'!O45</f>
        <v>Triethanolamine</v>
      </c>
    </row>
    <row r="52" spans="1:15" x14ac:dyDescent="0.35">
      <c r="A52" s="144" t="str">
        <f>'Raw Data'!A46</f>
        <v>E</v>
      </c>
      <c r="B52" s="147">
        <f>IF(B7&gt;0.085,"",'Raw Data'!B46)</f>
        <v>7.1999999999999995E-2</v>
      </c>
      <c r="C52" s="148">
        <f>IF(C7&gt;0.085,"",'Raw Data'!C46)</f>
        <v>0.63500000000000001</v>
      </c>
      <c r="D52" s="151">
        <f>IF(D7&gt;0.085,"",'Raw Data'!D46)</f>
        <v>0.27500000000000002</v>
      </c>
      <c r="E52" s="151">
        <f>IF(E7&gt;0.085,"",'Raw Data'!E46)</f>
        <v>0.307</v>
      </c>
      <c r="F52" s="151">
        <f>IF(F7&gt;0.085,"",'Raw Data'!F46)</f>
        <v>0.29199999999999998</v>
      </c>
      <c r="G52" s="156">
        <f>IF(AND($G$7&gt;0.085,$H$7&gt;0.085,$I$7&gt;0.085,$J$7&gt;0.085,$K$7&gt;0.085,$L$7&gt;0.085,$M$7&gt;0.085),'Raw Data'!G46,IF(G7&gt;0.085,"",'Raw Data'!G46))</f>
        <v>0.60599999999999998</v>
      </c>
      <c r="H52" s="156">
        <f>IF(AND($G$7&gt;0.085,$H$7&gt;0.085,$I$7&gt;0.085,$J$7&gt;0.085,$K$7&gt;0.085,$L$7&gt;0.085,$M$7&gt;0.085),'Raw Data'!H46,IF(H7&gt;0.085,"",'Raw Data'!H46))</f>
        <v>0.60299999999999998</v>
      </c>
      <c r="I52" s="156">
        <f>IF(AND($G$7&gt;0.085,$H$7&gt;0.085,$I$7&gt;0.085,$J$7&gt;0.085,$K$7&gt;0.085,$L$7&gt;0.085,$M$7&gt;0.085),'Raw Data'!I46,IF(I7&gt;0.085,"",'Raw Data'!I46))</f>
        <v>0.60899999999999999</v>
      </c>
      <c r="J52" s="156">
        <f>IF(AND($G$7&gt;0.085,$H$7&gt;0.085,$I$7&gt;0.085,$J$7&gt;0.085,$K$7&gt;0.085,$L$7&gt;0.085,$M$7&gt;0.085),'Raw Data'!J46,IF(J7&gt;0.085,"",'Raw Data'!J46))</f>
        <v>0.60499999999999998</v>
      </c>
      <c r="K52" s="156">
        <f>IF(AND($G$7&gt;0.085,$H$7&gt;0.085,$I$7&gt;0.085,$J$7&gt;0.085,$K$7&gt;0.085,$L$7&gt;0.085,$M$7&gt;0.085),'Raw Data'!K46,IF(K7&gt;0.085,"",'Raw Data'!K46))</f>
        <v>7.0999999999999994E-2</v>
      </c>
      <c r="L52" s="156">
        <f>IF(AND($G$7&gt;0.085,$H$7&gt;0.085,$I$7&gt;0.085,$J$7&gt;0.085,$K$7&gt;0.085,$L$7&gt;0.085,$M$7&gt;0.085),'Raw Data'!L46,IF(L7&gt;0.085,"",'Raw Data'!L46))</f>
        <v>7.1999999999999995E-2</v>
      </c>
      <c r="M52" s="156">
        <f>IF(AND($G$7&gt;0.085,$H$7&gt;0.085,$I$7&gt;0.085,$J$7&gt;0.085,$K$7&gt;0.085,$L$7&gt;0.085,$M$7&gt;0.085),'Raw Data'!M46,IF(M7&gt;0.085,"",'Raw Data'!M46))</f>
        <v>7.3999999999999996E-2</v>
      </c>
      <c r="N52" s="145" t="str">
        <f>'Raw Data'!N46</f>
        <v>read:412 Read#4</v>
      </c>
      <c r="O52" t="str">
        <f>'Raw Data'!O46</f>
        <v>Pentaerythritol triacrylate</v>
      </c>
    </row>
    <row r="53" spans="1:15" x14ac:dyDescent="0.35">
      <c r="A53" s="144" t="str">
        <f>'Raw Data'!A47</f>
        <v>F</v>
      </c>
      <c r="B53" s="147">
        <f>IF(B8&gt;0.085,"",'Raw Data'!B47)</f>
        <v>7.2999999999999995E-2</v>
      </c>
      <c r="C53" s="148">
        <f>IF(C8&gt;0.085,"",'Raw Data'!C47)</f>
        <v>0.64</v>
      </c>
      <c r="D53" s="151">
        <f>IF(D8&gt;0.085,"",'Raw Data'!D47)</f>
        <v>0.40899999999999997</v>
      </c>
      <c r="E53" s="151">
        <f>IF(E8&gt;0.085,"",'Raw Data'!E47)</f>
        <v>0.436</v>
      </c>
      <c r="F53" s="151">
        <f>IF(F8&gt;0.085,"",'Raw Data'!F47)</f>
        <v>0.433</v>
      </c>
      <c r="G53" s="157">
        <f>IF(AND($G$8&gt;0.085,$H$8&gt;0.085,$I$8&gt;0.085,$J$8&gt;0.085,$K$8&gt;0.085,$L$8&gt;0.085,$M$8&gt;0.085),'Raw Data'!G47,IF(G8&gt;0.085,"",'Raw Data'!G47))</f>
        <v>0.64400000000000002</v>
      </c>
      <c r="H53" s="157">
        <f>IF(AND($G$8&gt;0.085,$H$8&gt;0.085,$I$8&gt;0.085,$J$8&gt;0.085,$K$8&gt;0.085,$L$8&gt;0.085,$M$8&gt;0.085),'Raw Data'!H47,IF(H8&gt;0.085,"",'Raw Data'!H47))</f>
        <v>0.64300000000000002</v>
      </c>
      <c r="I53" s="157">
        <f>IF(AND($G$8&gt;0.085,$H$8&gt;0.085,$I$8&gt;0.085,$J$8&gt;0.085,$K$8&gt;0.085,$L$8&gt;0.085,$M$8&gt;0.085),'Raw Data'!I47,IF(I8&gt;0.085,"",'Raw Data'!I47))</f>
        <v>0.64500000000000002</v>
      </c>
      <c r="J53" s="157">
        <f>IF(AND($G$8&gt;0.085,$H$8&gt;0.085,$I$8&gt;0.085,$J$8&gt;0.085,$K$8&gt;0.085,$L$8&gt;0.085,$M$8&gt;0.085),'Raw Data'!J47,IF(J8&gt;0.085,"",'Raw Data'!J47))</f>
        <v>0.64100000000000001</v>
      </c>
      <c r="K53" s="157">
        <f>IF(AND($G$8&gt;0.085,$H$8&gt;0.085,$I$8&gt;0.085,$J$8&gt;0.085,$K$8&gt;0.085,$L$8&gt;0.085,$M$8&gt;0.085),'Raw Data'!K47,IF(K8&gt;0.085,"",'Raw Data'!K47))</f>
        <v>7.0999999999999994E-2</v>
      </c>
      <c r="L53" s="157">
        <f>IF(AND($G$8&gt;0.085,$H$8&gt;0.085,$I$8&gt;0.085,$J$8&gt;0.085,$K$8&gt;0.085,$L$8&gt;0.085,$M$8&gt;0.085),'Raw Data'!L47,IF(L8&gt;0.085,"",'Raw Data'!L47))</f>
        <v>7.0000000000000007E-2</v>
      </c>
      <c r="M53" s="157">
        <f>IF(AND($G$8&gt;0.085,$H$8&gt;0.085,$I$8&gt;0.085,$J$8&gt;0.085,$K$8&gt;0.085,$L$8&gt;0.085,$M$8&gt;0.085),'Raw Data'!M47,IF(M8&gt;0.085,"",'Raw Data'!M47))</f>
        <v>7.1999999999999995E-2</v>
      </c>
      <c r="N53" s="145" t="str">
        <f>'Raw Data'!N47</f>
        <v>read:412 Read#4</v>
      </c>
      <c r="O53" t="str">
        <f>'Raw Data'!O47</f>
        <v>Clarithromycin</v>
      </c>
    </row>
    <row r="54" spans="1:15" x14ac:dyDescent="0.35">
      <c r="A54" s="144" t="str">
        <f>'Raw Data'!A48</f>
        <v>G</v>
      </c>
      <c r="B54" s="147">
        <f>IF(B9&gt;0.085,"",'Raw Data'!B48)</f>
        <v>7.1999999999999995E-2</v>
      </c>
      <c r="C54" s="148">
        <f>IF(C9&gt;0.085,"",'Raw Data'!C48)</f>
        <v>0.63900000000000001</v>
      </c>
      <c r="D54" s="151">
        <f>IF(D9&gt;0.085,"",'Raw Data'!D48)</f>
        <v>0.51300000000000001</v>
      </c>
      <c r="E54" s="151">
        <f>IF(E9&gt;0.085,"",'Raw Data'!E48)</f>
        <v>0.53200000000000003</v>
      </c>
      <c r="F54" s="151">
        <f>IF(F9&gt;0.085,"",'Raw Data'!F48)</f>
        <v>0.52300000000000002</v>
      </c>
      <c r="G54" s="158">
        <f>IF(AND($G$9&gt;0.085,$H$9&gt;0.085,$I$9&gt;0.085,$J$9&gt;0.085,$K$9&gt;0.085,$L$9&gt;0.085,$M$9&gt;0.085),'Raw Data'!G48,IF(G9&gt;0.085,"",'Raw Data'!G48))</f>
        <v>0.59799999999999998</v>
      </c>
      <c r="H54" s="158">
        <f>IF(AND($G$9&gt;0.085,$H$9&gt;0.085,$I$9&gt;0.085,$J$9&gt;0.085,$K$9&gt;0.085,$L$9&gt;0.085,$M$9&gt;0.085),'Raw Data'!H48,IF(H9&gt;0.085,"",'Raw Data'!H48))</f>
        <v>0.59199999999999997</v>
      </c>
      <c r="I54" s="158">
        <f>IF(AND($G$9&gt;0.085,$H$9&gt;0.085,$I$9&gt;0.085,$J$9&gt;0.085,$K$9&gt;0.085,$L$9&gt;0.085,$M$9&gt;0.085),'Raw Data'!I48,IF(I9&gt;0.085,"",'Raw Data'!I48))</f>
        <v>0.60199999999999998</v>
      </c>
      <c r="J54" s="158">
        <f>IF(AND($G$9&gt;0.085,$H$9&gt;0.085,$I$9&gt;0.085,$J$9&gt;0.085,$K$9&gt;0.085,$L$9&gt;0.085,$M$9&gt;0.085),'Raw Data'!J48,IF(J9&gt;0.085,"",'Raw Data'!J48))</f>
        <v>0.60099999999999998</v>
      </c>
      <c r="K54" s="158">
        <f>IF(AND($G$9&gt;0.085,$H$9&gt;0.085,$I$9&gt;0.085,$J$9&gt;0.085,$K$9&gt;0.085,$L$9&gt;0.085,$M$9&gt;0.085),'Raw Data'!K48,IF(K9&gt;0.085,"",'Raw Data'!K48))</f>
        <v>7.2999999999999995E-2</v>
      </c>
      <c r="L54" s="158">
        <f>IF(AND($G$9&gt;0.085,$H$9&gt;0.085,$I$9&gt;0.085,$J$9&gt;0.085,$K$9&gt;0.085,$L$9&gt;0.085,$M$9&gt;0.085),'Raw Data'!L48,IF(L9&gt;0.085,"",'Raw Data'!L48))</f>
        <v>7.6999999999999999E-2</v>
      </c>
      <c r="M54" s="158">
        <f>IF(AND($G$9&gt;0.085,$H$9&gt;0.085,$I$9&gt;0.085,$J$9&gt;0.085,$K$9&gt;0.085,$L$9&gt;0.085,$M$9&gt;0.085),'Raw Data'!M48,IF(M9&gt;0.085,"",'Raw Data'!M48))</f>
        <v>7.4999999999999997E-2</v>
      </c>
      <c r="N54" s="145" t="str">
        <f>'Raw Data'!N48</f>
        <v>read:412 Read#4</v>
      </c>
      <c r="O54" t="str">
        <f>'Raw Data'!O48</f>
        <v>o-Benzyl-p-chlorophenol</v>
      </c>
    </row>
    <row r="55" spans="1:15" x14ac:dyDescent="0.35">
      <c r="A55" s="144" t="str">
        <f>'Raw Data'!A49</f>
        <v>H</v>
      </c>
      <c r="B55" s="147">
        <f>IF(B10&gt;0.085,"",'Raw Data'!B49)</f>
        <v>7.1999999999999995E-2</v>
      </c>
      <c r="C55" s="148">
        <f>IF(C10&gt;0.085,"",'Raw Data'!C49)</f>
        <v>0.63700000000000001</v>
      </c>
      <c r="D55" s="151">
        <f>IF(D10&gt;0.085,"",'Raw Data'!D49)</f>
        <v>0.57299999999999995</v>
      </c>
      <c r="E55" s="151">
        <f>IF(E10&gt;0.085,"",'Raw Data'!E49)</f>
        <v>0.58399999999999996</v>
      </c>
      <c r="F55" s="151">
        <f>IF(F10&gt;0.085,"",'Raw Data'!F49)</f>
        <v>0.58099999999999996</v>
      </c>
      <c r="G55" s="147">
        <f>IF(AND($G$10&gt;0.085,$H$10&gt;0.085,$I$10&gt;0.085,$J$10&gt;0.085,$K$10&gt;0.085,$L$10&gt;0.085,$M$10&gt;0.085),'Raw Data'!G49,IF(G10&gt;0.085,"",'Raw Data'!G49))</f>
        <v>0.60799999999999998</v>
      </c>
      <c r="H55" s="147">
        <f>IF(AND($G$10&gt;0.085,$H$10&gt;0.085,$I$10&gt;0.085,$J$10&gt;0.085,$K$10&gt;0.085,$L$10&gt;0.085,$M$10&gt;0.085),'Raw Data'!H49,IF(H10&gt;0.085,"",'Raw Data'!H49))</f>
        <v>0.59899999999999998</v>
      </c>
      <c r="I55" s="147">
        <f>IF(AND($G$10&gt;0.085,$H$10&gt;0.085,$I$10&gt;0.085,$J$10&gt;0.085,$K$10&gt;0.085,$L$10&gt;0.085,$M$10&gt;0.085),'Raw Data'!I49,IF(I10&gt;0.085,"",'Raw Data'!I49))</f>
        <v>0.60299999999999998</v>
      </c>
      <c r="J55" s="147">
        <f>IF(AND($G$10&gt;0.085,$H$10&gt;0.085,$I$10&gt;0.085,$J$10&gt;0.085,$K$10&gt;0.085,$L$10&gt;0.085,$M$10&gt;0.085),'Raw Data'!J49,IF(J10&gt;0.085,"",'Raw Data'!J49))</f>
        <v>0.60499999999999998</v>
      </c>
      <c r="K55" s="147">
        <f>IF(AND($G$10&gt;0.085,$H$10&gt;0.085,$I$10&gt;0.085,$J$10&gt;0.085,$K$10&gt;0.085,$L$10&gt;0.085,$M$10&gt;0.085),'Raw Data'!K49,IF(K10&gt;0.085,"",'Raw Data'!K49))</f>
        <v>8.5000000000000006E-2</v>
      </c>
      <c r="L55" s="147">
        <f>IF(AND($G$10&gt;0.085,$H$10&gt;0.085,$I$10&gt;0.085,$J$10&gt;0.085,$K$10&gt;0.085,$L$10&gt;0.085,$M$10&gt;0.085),'Raw Data'!L49,IF(L10&gt;0.085,"",'Raw Data'!L49))</f>
        <v>8.5999999999999993E-2</v>
      </c>
      <c r="M55" s="147">
        <f>IF(AND($G$10&gt;0.085,$H$10&gt;0.085,$I$10&gt;0.085,$J$10&gt;0.085,$K$10&gt;0.085,$L$10&gt;0.085,$M$10&gt;0.085),'Raw Data'!M49,IF(M10&gt;0.085,"",'Raw Data'!M49))</f>
        <v>8.6999999999999994E-2</v>
      </c>
      <c r="N55" s="145" t="str">
        <f>'Raw Data'!N49</f>
        <v>read:412 Read#4</v>
      </c>
      <c r="O55" t="str">
        <f>'Raw Data'!O49</f>
        <v>5-Amino-o-cresol</v>
      </c>
    </row>
  </sheetData>
  <sheetProtection algorithmName="SHA-512" hashValue="CSH6sJYF9g/9PeoF7pOIB1N8PNbbVkBJtE0koxoVQJcchHckbMRfQVKQNA2xqKn+qiHJlDzbM1P7h2lty0ZtzA==" saltValue="FwjSFtXQqKA/fYyBZNJEhw==" spinCount="100000" sheet="1" objects="1" scenarios="1"/>
  <mergeCells count="6">
    <mergeCell ref="A11:M14"/>
    <mergeCell ref="U22:W22"/>
    <mergeCell ref="Q5:S5"/>
    <mergeCell ref="Q2:S2"/>
    <mergeCell ref="U2:W2"/>
    <mergeCell ref="U12:W12"/>
  </mergeCells>
  <conditionalFormatting sqref="S3 W4:W11">
    <cfRule type="containsText" dxfId="304" priority="18" operator="containsText" text="Pass">
      <formula>NOT(ISERROR(SEARCH("Pass",S3)))</formula>
    </cfRule>
    <cfRule type="containsText" dxfId="303" priority="19" operator="containsText" text="Fail">
      <formula>NOT(ISERROR(SEARCH("Fail",S3)))</formula>
    </cfRule>
  </conditionalFormatting>
  <conditionalFormatting sqref="S6">
    <cfRule type="containsText" dxfId="302" priority="16" operator="containsText" text="Pass">
      <formula>NOT(ISERROR(SEARCH("Pass",S6)))</formula>
    </cfRule>
    <cfRule type="containsText" dxfId="301" priority="17" operator="containsText" text="Fail">
      <formula>NOT(ISERROR(SEARCH("Fail",S6)))</formula>
    </cfRule>
  </conditionalFormatting>
  <conditionalFormatting sqref="W14:W20 W24:W30">
    <cfRule type="containsText" dxfId="300" priority="12" operator="containsText" text="Pass">
      <formula>NOT(ISERROR(SEARCH("Pass",W14)))</formula>
    </cfRule>
    <cfRule type="containsText" dxfId="299" priority="13" operator="containsText" text="Fail">
      <formula>NOT(ISERROR(SEARCH("Fail",W14)))</formula>
    </cfRule>
  </conditionalFormatting>
  <conditionalFormatting sqref="B18:M25">
    <cfRule type="containsBlanks" dxfId="298" priority="11">
      <formula>LEN(TRIM(B18))=0</formula>
    </cfRule>
  </conditionalFormatting>
  <conditionalFormatting sqref="B28:M28 B29:F35">
    <cfRule type="containsBlanks" dxfId="297" priority="10">
      <formula>LEN(TRIM(B28))=0</formula>
    </cfRule>
  </conditionalFormatting>
  <conditionalFormatting sqref="B38:M38 B39:F45 B48:M48 B49:F55">
    <cfRule type="containsBlanks" dxfId="296" priority="9">
      <formula>LEN(TRIM(B38))=0</formula>
    </cfRule>
  </conditionalFormatting>
  <conditionalFormatting sqref="G29:M35">
    <cfRule type="containsBlanks" dxfId="295" priority="6">
      <formula>LEN(TRIM(G29))=0</formula>
    </cfRule>
  </conditionalFormatting>
  <conditionalFormatting sqref="G39:M45">
    <cfRule type="containsBlanks" dxfId="294" priority="5">
      <formula>LEN(TRIM(G39))=0</formula>
    </cfRule>
  </conditionalFormatting>
  <conditionalFormatting sqref="G49:M55">
    <cfRule type="containsBlanks" dxfId="293" priority="4">
      <formula>LEN(TRIM(G49))=0</formula>
    </cfRule>
  </conditionalFormatting>
  <conditionalFormatting sqref="B3:M10">
    <cfRule type="cellIs" dxfId="292" priority="1" operator="lessThan">
      <formula>0.085</formula>
    </cfRule>
    <cfRule type="cellIs" dxfId="291" priority="2" operator="greaterThan">
      <formula>0.085</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P40"/>
  <sheetViews>
    <sheetView topLeftCell="A19" zoomScale="80" zoomScaleNormal="80" workbookViewId="0">
      <selection activeCell="H38" sqref="H38"/>
    </sheetView>
  </sheetViews>
  <sheetFormatPr defaultRowHeight="14.5" x14ac:dyDescent="0.35"/>
  <cols>
    <col min="1" max="1" width="6.6328125" bestFit="1" customWidth="1"/>
    <col min="2" max="2" width="6" style="500" bestFit="1" customWidth="1"/>
    <col min="3" max="13" width="8.90625" style="500"/>
    <col min="14" max="14" width="8" style="510" customWidth="1"/>
    <col min="15" max="15" width="7.08984375" style="500" customWidth="1"/>
    <col min="16" max="16" width="8.36328125" style="500" customWidth="1"/>
    <col min="17" max="17" width="8.6328125" style="500" customWidth="1"/>
    <col min="18" max="18" width="6.6328125" customWidth="1"/>
    <col min="19" max="19" width="8.90625" style="500"/>
    <col min="20" max="20" width="14.90625" style="500" customWidth="1"/>
    <col min="21" max="22" width="8.90625" style="500"/>
    <col min="23" max="24" width="13.453125" style="500" customWidth="1"/>
    <col min="26" max="26" width="5.6328125" bestFit="1" customWidth="1"/>
    <col min="27" max="27" width="8.90625" style="500"/>
  </cols>
  <sheetData>
    <row r="1" spans="1:38" ht="15" thickBot="1" x14ac:dyDescent="0.4">
      <c r="S1" s="500" t="s">
        <v>61</v>
      </c>
    </row>
    <row r="2" spans="1:38" x14ac:dyDescent="0.35">
      <c r="A2" s="503" t="str">
        <f>'680 nm (Bubble) Outlier'!A17</f>
        <v>5 min</v>
      </c>
      <c r="B2" s="144">
        <f>'680 nm (Bubble) Outlier'!B17</f>
        <v>1</v>
      </c>
      <c r="C2" s="144">
        <f>'680 nm (Bubble) Outlier'!C17</f>
        <v>2</v>
      </c>
      <c r="D2" s="144">
        <f>'680 nm (Bubble) Outlier'!D17</f>
        <v>3</v>
      </c>
      <c r="E2" s="144">
        <f>'680 nm (Bubble) Outlier'!E17</f>
        <v>4</v>
      </c>
      <c r="F2" s="144">
        <f>'680 nm (Bubble) Outlier'!F17</f>
        <v>5</v>
      </c>
      <c r="G2" s="144">
        <f>'680 nm (Bubble) Outlier'!G17</f>
        <v>6</v>
      </c>
      <c r="H2" s="144">
        <f>'680 nm (Bubble) Outlier'!H17</f>
        <v>7</v>
      </c>
      <c r="I2" s="144">
        <f>'680 nm (Bubble) Outlier'!I17</f>
        <v>8</v>
      </c>
      <c r="J2" s="144">
        <f>'680 nm (Bubble) Outlier'!J17</f>
        <v>9</v>
      </c>
      <c r="K2" s="144" t="s">
        <v>218</v>
      </c>
      <c r="L2" s="144" t="s">
        <v>219</v>
      </c>
      <c r="M2" s="144" t="s">
        <v>220</v>
      </c>
      <c r="N2" s="511" t="s">
        <v>221</v>
      </c>
      <c r="O2" s="144" t="s">
        <v>222</v>
      </c>
      <c r="P2" s="144" t="s">
        <v>223</v>
      </c>
      <c r="Q2" s="144" t="s">
        <v>224</v>
      </c>
      <c r="R2" s="509"/>
      <c r="S2" s="504" t="s">
        <v>214</v>
      </c>
      <c r="T2" s="505" t="s">
        <v>215</v>
      </c>
      <c r="U2" s="505" t="s">
        <v>216</v>
      </c>
      <c r="V2" s="506" t="s">
        <v>217</v>
      </c>
      <c r="W2" s="507" t="s">
        <v>84</v>
      </c>
      <c r="X2" s="508" t="s">
        <v>85</v>
      </c>
      <c r="Z2" s="503" t="str">
        <f>A2</f>
        <v>5 min</v>
      </c>
      <c r="AA2" s="144">
        <v>1</v>
      </c>
      <c r="AB2" s="144">
        <v>2</v>
      </c>
      <c r="AC2" s="144">
        <v>3</v>
      </c>
      <c r="AD2" s="144">
        <v>4</v>
      </c>
      <c r="AE2" s="144">
        <v>5</v>
      </c>
      <c r="AF2" s="144">
        <v>6</v>
      </c>
      <c r="AG2" s="144">
        <v>7</v>
      </c>
      <c r="AH2" s="144">
        <v>8</v>
      </c>
      <c r="AI2" s="144">
        <v>9</v>
      </c>
      <c r="AJ2" s="144">
        <v>10</v>
      </c>
      <c r="AK2" s="144">
        <v>11</v>
      </c>
      <c r="AL2" s="144">
        <v>12</v>
      </c>
    </row>
    <row r="3" spans="1:38" ht="15" thickBot="1" x14ac:dyDescent="0.4">
      <c r="A3" s="503" t="str">
        <f>'680 nm (Bubble) Outlier'!A18</f>
        <v>A</v>
      </c>
      <c r="B3" s="147">
        <f>'680 nm (Bubble) Outlier'!B18</f>
        <v>7.0999999999999994E-2</v>
      </c>
      <c r="C3" s="148">
        <f>'680 nm (Bubble) Outlier'!C18</f>
        <v>0.63700000000000001</v>
      </c>
      <c r="D3" s="148">
        <f>'680 nm (Bubble) Outlier'!D18</f>
        <v>0.64300000000000002</v>
      </c>
      <c r="E3" s="148">
        <f>'680 nm (Bubble) Outlier'!E18</f>
        <v>0.65900000000000003</v>
      </c>
      <c r="F3" s="148">
        <f>'680 nm (Bubble) Outlier'!F18</f>
        <v>0.65200000000000002</v>
      </c>
      <c r="G3" s="148">
        <f>'680 nm (Bubble) Outlier'!G18</f>
        <v>0.65100000000000002</v>
      </c>
      <c r="H3" s="148">
        <f>'680 nm (Bubble) Outlier'!H18</f>
        <v>0.65</v>
      </c>
      <c r="I3" s="148">
        <f>'680 nm (Bubble) Outlier'!I18</f>
        <v>0.65500000000000003</v>
      </c>
      <c r="J3" s="148">
        <f>'680 nm (Bubble) Outlier'!J18</f>
        <v>0.65100000000000002</v>
      </c>
      <c r="K3" s="148">
        <f>'680 nm (Bubble) Outlier'!C19</f>
        <v>0.64300000000000002</v>
      </c>
      <c r="L3" s="148">
        <f>'680 nm (Bubble) Outlier'!C20</f>
        <v>0.64400000000000002</v>
      </c>
      <c r="M3" s="148">
        <f>'680 nm (Bubble) Outlier'!C21</f>
        <v>0.63500000000000001</v>
      </c>
      <c r="N3" s="148">
        <f>'680 nm (Bubble) Outlier'!C22</f>
        <v>0.64200000000000002</v>
      </c>
      <c r="O3" s="148">
        <f>'680 nm (Bubble) Outlier'!C23</f>
        <v>0.64600000000000002</v>
      </c>
      <c r="P3" s="148">
        <f>'680 nm (Bubble) Outlier'!C24</f>
        <v>0.64500000000000002</v>
      </c>
      <c r="Q3" s="148">
        <f>'680 nm (Bubble) Outlier'!C25</f>
        <v>0.64100000000000001</v>
      </c>
      <c r="S3" s="501">
        <f>_xlfn.QUARTILE.EXC(B3:B10,1)</f>
        <v>7.1249999999999994E-2</v>
      </c>
      <c r="T3" s="501">
        <f>_xlfn.QUARTILE.EXC(B3:B10,2)</f>
        <v>7.1999999999999995E-2</v>
      </c>
      <c r="U3" s="501">
        <f>_xlfn.QUARTILE.EXC(B3:B10,3)</f>
        <v>7.1999999999999995E-2</v>
      </c>
      <c r="V3" s="512">
        <f>U3-S3</f>
        <v>7.5000000000000067E-4</v>
      </c>
      <c r="W3" s="513">
        <f>U3+1.5*V3</f>
        <v>7.3124999999999996E-2</v>
      </c>
      <c r="X3" s="514">
        <f>S3-1.5*V3</f>
        <v>7.0124999999999993E-2</v>
      </c>
      <c r="Z3" s="503" t="s">
        <v>0</v>
      </c>
      <c r="AA3" s="147">
        <f>IF(B3&gt;$W$3,"",IF(B3&lt;$X$3,"",B3))</f>
        <v>7.0999999999999994E-2</v>
      </c>
      <c r="AB3" s="148">
        <f>IF(C3&gt;$W$7,"",IF(C3&lt;$X$7,"",C3))</f>
        <v>0.63700000000000001</v>
      </c>
      <c r="AC3" s="148">
        <f t="shared" ref="AC3:AI3" si="0">IF(D3&gt;$W$7,"",IF(D3&lt;$X$7,"",D3))</f>
        <v>0.64300000000000002</v>
      </c>
      <c r="AD3" s="148">
        <f t="shared" si="0"/>
        <v>0.65900000000000003</v>
      </c>
      <c r="AE3" s="148">
        <f t="shared" si="0"/>
        <v>0.65200000000000002</v>
      </c>
      <c r="AF3" s="148">
        <f t="shared" si="0"/>
        <v>0.65100000000000002</v>
      </c>
      <c r="AG3" s="148">
        <f t="shared" si="0"/>
        <v>0.65</v>
      </c>
      <c r="AH3" s="148">
        <f t="shared" si="0"/>
        <v>0.65500000000000003</v>
      </c>
      <c r="AI3" s="148">
        <f t="shared" si="0"/>
        <v>0.65100000000000002</v>
      </c>
      <c r="AJ3" s="515"/>
      <c r="AK3" s="515"/>
      <c r="AL3" s="515"/>
    </row>
    <row r="4" spans="1:38" x14ac:dyDescent="0.35">
      <c r="A4" s="503" t="str">
        <f>'680 nm (Bubble) Outlier'!A19</f>
        <v>B</v>
      </c>
      <c r="B4" s="147">
        <f>'680 nm (Bubble) Outlier'!B19</f>
        <v>7.3999999999999996E-2</v>
      </c>
      <c r="D4" s="160"/>
      <c r="E4" s="160"/>
      <c r="F4" s="160"/>
      <c r="G4" s="160"/>
      <c r="H4" s="160"/>
      <c r="I4" s="160"/>
      <c r="J4" s="160"/>
      <c r="K4" s="160"/>
      <c r="L4" s="160"/>
      <c r="M4" s="160"/>
      <c r="Z4" s="503" t="s">
        <v>1</v>
      </c>
      <c r="AA4" s="147" t="str">
        <f t="shared" ref="AA4:AA10" si="1">IF(B4&gt;$W$3,"",IF(B4&lt;$X$3,"",B4))</f>
        <v/>
      </c>
      <c r="AB4" s="148">
        <f>IF(K3&gt;$W$7,"",IF(K3&lt;$X$7,"",K3))</f>
        <v>0.64300000000000002</v>
      </c>
      <c r="AC4" s="515"/>
      <c r="AD4" s="515"/>
      <c r="AE4" s="515"/>
      <c r="AF4" s="515"/>
      <c r="AG4" s="515"/>
      <c r="AH4" s="515"/>
      <c r="AI4" s="515"/>
      <c r="AJ4" s="515"/>
      <c r="AK4" s="515"/>
      <c r="AL4" s="515"/>
    </row>
    <row r="5" spans="1:38" ht="15" thickBot="1" x14ac:dyDescent="0.4">
      <c r="A5" s="503" t="str">
        <f>'680 nm (Bubble) Outlier'!A20</f>
        <v>C</v>
      </c>
      <c r="B5" s="147">
        <f>'680 nm (Bubble) Outlier'!B20</f>
        <v>7.1999999999999995E-2</v>
      </c>
      <c r="D5" s="160"/>
      <c r="E5" s="160"/>
      <c r="F5" s="160"/>
      <c r="G5" s="160"/>
      <c r="H5" s="160"/>
      <c r="I5" s="160"/>
      <c r="J5" s="160"/>
      <c r="K5" s="160"/>
      <c r="L5" s="160"/>
      <c r="M5" s="160"/>
      <c r="S5" s="500" t="s">
        <v>9</v>
      </c>
      <c r="Z5" s="503" t="s">
        <v>2</v>
      </c>
      <c r="AA5" s="147">
        <f t="shared" si="1"/>
        <v>7.1999999999999995E-2</v>
      </c>
      <c r="AB5" s="148">
        <f>IF(L3&gt;$W$7,"",IF(L3&lt;$X$7,"",L3))</f>
        <v>0.64400000000000002</v>
      </c>
      <c r="AC5" s="515"/>
      <c r="AD5" s="515"/>
      <c r="AE5" s="515"/>
      <c r="AF5" s="515"/>
      <c r="AG5" s="515"/>
      <c r="AH5" s="515"/>
      <c r="AI5" s="515"/>
      <c r="AJ5" s="515"/>
      <c r="AK5" s="515"/>
      <c r="AL5" s="515"/>
    </row>
    <row r="6" spans="1:38" x14ac:dyDescent="0.35">
      <c r="A6" s="503" t="str">
        <f>'680 nm (Bubble) Outlier'!A21</f>
        <v>D</v>
      </c>
      <c r="B6" s="147">
        <f>'680 nm (Bubble) Outlier'!B21</f>
        <v>7.0000000000000007E-2</v>
      </c>
      <c r="D6" s="160"/>
      <c r="E6" s="160"/>
      <c r="F6" s="160"/>
      <c r="G6" s="160"/>
      <c r="H6" s="160"/>
      <c r="I6" s="160"/>
      <c r="J6" s="160"/>
      <c r="K6" s="160"/>
      <c r="L6" s="160"/>
      <c r="M6" s="160"/>
      <c r="S6" s="504" t="s">
        <v>214</v>
      </c>
      <c r="T6" s="505" t="s">
        <v>215</v>
      </c>
      <c r="U6" s="505" t="s">
        <v>216</v>
      </c>
      <c r="V6" s="506" t="s">
        <v>217</v>
      </c>
      <c r="W6" s="507" t="s">
        <v>84</v>
      </c>
      <c r="X6" s="508" t="s">
        <v>85</v>
      </c>
      <c r="Z6" s="503" t="s">
        <v>3</v>
      </c>
      <c r="AA6" s="147" t="str">
        <f t="shared" si="1"/>
        <v/>
      </c>
      <c r="AB6" s="148">
        <f>IF(M3&gt;$W$7,"",IF(M3&lt;$X$7,"",M3))</f>
        <v>0.63500000000000001</v>
      </c>
      <c r="AC6" s="515"/>
      <c r="AD6" s="515"/>
      <c r="AE6" s="515"/>
      <c r="AF6" s="515"/>
      <c r="AG6" s="515"/>
      <c r="AH6" s="515"/>
      <c r="AI6" s="515"/>
      <c r="AJ6" s="515"/>
      <c r="AK6" s="515"/>
      <c r="AL6" s="515"/>
    </row>
    <row r="7" spans="1:38" ht="15" thickBot="1" x14ac:dyDescent="0.4">
      <c r="A7" s="503" t="str">
        <f>'680 nm (Bubble) Outlier'!A22</f>
        <v>E</v>
      </c>
      <c r="B7" s="147">
        <f>'680 nm (Bubble) Outlier'!B22</f>
        <v>7.1999999999999995E-2</v>
      </c>
      <c r="D7" s="160"/>
      <c r="E7" s="160"/>
      <c r="F7" s="160"/>
      <c r="G7" s="160"/>
      <c r="H7" s="160"/>
      <c r="I7" s="160"/>
      <c r="J7" s="160"/>
      <c r="K7" s="160"/>
      <c r="L7" s="160"/>
      <c r="M7" s="160"/>
      <c r="S7" s="501">
        <f>_xlfn.QUARTILE.EXC(C3:Q3,1)</f>
        <v>0.64200000000000002</v>
      </c>
      <c r="T7" s="501">
        <f>_xlfn.QUARTILE.EXC(C3:Q3,2)</f>
        <v>0.64500000000000002</v>
      </c>
      <c r="U7" s="501">
        <f>_xlfn.QUARTILE.EXC(C3:Q3,3)</f>
        <v>0.65100000000000002</v>
      </c>
      <c r="V7" s="512">
        <f>U7-S7</f>
        <v>9.000000000000008E-3</v>
      </c>
      <c r="W7" s="513">
        <f>U7+1.5*V7</f>
        <v>0.66450000000000009</v>
      </c>
      <c r="X7" s="514">
        <f>S7-1.5*V7</f>
        <v>0.62850000000000006</v>
      </c>
      <c r="Z7" s="503" t="s">
        <v>4</v>
      </c>
      <c r="AA7" s="147">
        <f t="shared" si="1"/>
        <v>7.1999999999999995E-2</v>
      </c>
      <c r="AB7" s="148">
        <f>IF(N3&gt;$W$7,"",IF(N3&lt;$X$7,"",N3))</f>
        <v>0.64200000000000002</v>
      </c>
      <c r="AC7" s="515"/>
      <c r="AD7" s="515"/>
      <c r="AE7" s="515"/>
      <c r="AF7" s="515"/>
      <c r="AG7" s="515"/>
      <c r="AH7" s="515"/>
      <c r="AI7" s="515"/>
      <c r="AJ7" s="515"/>
      <c r="AK7" s="515"/>
      <c r="AL7" s="515"/>
    </row>
    <row r="8" spans="1:38" x14ac:dyDescent="0.35">
      <c r="A8" s="503" t="str">
        <f>'680 nm (Bubble) Outlier'!A23</f>
        <v>F</v>
      </c>
      <c r="B8" s="147">
        <f>'680 nm (Bubble) Outlier'!B23</f>
        <v>7.1999999999999995E-2</v>
      </c>
      <c r="D8" s="160"/>
      <c r="E8" s="160"/>
      <c r="F8" s="160"/>
      <c r="G8" s="160"/>
      <c r="H8" s="160"/>
      <c r="I8" s="160"/>
      <c r="J8" s="160"/>
      <c r="K8" s="160"/>
      <c r="L8" s="160"/>
      <c r="M8" s="160"/>
      <c r="Z8" s="503" t="s">
        <v>5</v>
      </c>
      <c r="AA8" s="147">
        <f t="shared" si="1"/>
        <v>7.1999999999999995E-2</v>
      </c>
      <c r="AB8" s="148">
        <f>IF(O3&gt;$W$7,"",IF(O3&lt;$X$7,"",O3))</f>
        <v>0.64600000000000002</v>
      </c>
      <c r="AC8" s="515"/>
      <c r="AD8" s="515"/>
      <c r="AE8" s="515"/>
      <c r="AF8" s="515"/>
      <c r="AG8" s="515"/>
      <c r="AH8" s="515"/>
      <c r="AI8" s="515"/>
      <c r="AJ8" s="515"/>
      <c r="AK8" s="515"/>
      <c r="AL8" s="515"/>
    </row>
    <row r="9" spans="1:38" x14ac:dyDescent="0.35">
      <c r="A9" s="503" t="str">
        <f>'680 nm (Bubble) Outlier'!A24</f>
        <v>G</v>
      </c>
      <c r="B9" s="147">
        <f>'680 nm (Bubble) Outlier'!B24</f>
        <v>7.1999999999999995E-2</v>
      </c>
      <c r="D9" s="160"/>
      <c r="E9" s="160"/>
      <c r="F9" s="160"/>
      <c r="G9" s="160"/>
      <c r="H9" s="160"/>
      <c r="I9" s="160"/>
      <c r="J9" s="160"/>
      <c r="K9" s="160"/>
      <c r="L9" s="160"/>
      <c r="M9" s="160"/>
      <c r="Z9" s="503" t="s">
        <v>6</v>
      </c>
      <c r="AA9" s="147">
        <f t="shared" si="1"/>
        <v>7.1999999999999995E-2</v>
      </c>
      <c r="AB9" s="148">
        <f>IF(P3&gt;$W$7,"",IF(P3&lt;$X$7,"",P3))</f>
        <v>0.64500000000000002</v>
      </c>
      <c r="AC9" s="515"/>
      <c r="AD9" s="515"/>
      <c r="AE9" s="515"/>
      <c r="AF9" s="515"/>
      <c r="AG9" s="515"/>
      <c r="AH9" s="515"/>
      <c r="AI9" s="515"/>
      <c r="AJ9" s="515"/>
      <c r="AK9" s="515"/>
      <c r="AL9" s="515"/>
    </row>
    <row r="10" spans="1:38" ht="15" thickBot="1" x14ac:dyDescent="0.4">
      <c r="A10" s="516" t="str">
        <f>'680 nm (Bubble) Outlier'!A25</f>
        <v>H</v>
      </c>
      <c r="B10" s="517">
        <f>'680 nm (Bubble) Outlier'!B25</f>
        <v>7.1999999999999995E-2</v>
      </c>
      <c r="C10" s="518"/>
      <c r="D10" s="519"/>
      <c r="E10" s="519"/>
      <c r="F10" s="519"/>
      <c r="G10" s="519"/>
      <c r="H10" s="519"/>
      <c r="I10" s="519"/>
      <c r="J10" s="519"/>
      <c r="K10" s="519"/>
      <c r="L10" s="519"/>
      <c r="M10" s="519"/>
      <c r="N10" s="520"/>
      <c r="O10" s="518"/>
      <c r="P10" s="518"/>
      <c r="Q10" s="518"/>
      <c r="R10" s="521"/>
      <c r="S10" s="518"/>
      <c r="T10" s="518"/>
      <c r="U10" s="518"/>
      <c r="V10" s="518"/>
      <c r="W10" s="518"/>
      <c r="X10" s="518"/>
      <c r="Y10" s="522"/>
      <c r="Z10" s="516" t="s">
        <v>7</v>
      </c>
      <c r="AA10" s="517">
        <f t="shared" si="1"/>
        <v>7.1999999999999995E-2</v>
      </c>
      <c r="AB10" s="525">
        <f>IF(Q3&gt;$W$7,"",IF(Q3&lt;$X$7,"",Q3))</f>
        <v>0.64100000000000001</v>
      </c>
      <c r="AC10" s="515"/>
      <c r="AD10" s="515"/>
      <c r="AE10" s="515"/>
      <c r="AF10" s="515"/>
      <c r="AG10" s="515"/>
      <c r="AH10" s="515"/>
      <c r="AI10" s="515"/>
      <c r="AJ10" s="515"/>
      <c r="AK10" s="515"/>
      <c r="AL10" s="515"/>
    </row>
    <row r="11" spans="1:38" ht="15" thickBot="1" x14ac:dyDescent="0.4">
      <c r="S11" s="500" t="s">
        <v>61</v>
      </c>
    </row>
    <row r="12" spans="1:38" x14ac:dyDescent="0.35">
      <c r="A12" s="503" t="str">
        <f>'680 nm (Bubble) Outlier'!A27</f>
        <v>20 min</v>
      </c>
      <c r="B12" s="144">
        <f>'680 nm (Bubble) Outlier'!B27</f>
        <v>1</v>
      </c>
      <c r="C12" s="144">
        <f>'680 nm (Bubble) Outlier'!C27</f>
        <v>2</v>
      </c>
      <c r="D12" s="144">
        <f>'680 nm (Bubble) Outlier'!D27</f>
        <v>3</v>
      </c>
      <c r="E12" s="144">
        <f>'680 nm (Bubble) Outlier'!E27</f>
        <v>4</v>
      </c>
      <c r="F12" s="144">
        <f>'680 nm (Bubble) Outlier'!F27</f>
        <v>5</v>
      </c>
      <c r="G12" s="144">
        <f>'680 nm (Bubble) Outlier'!G27</f>
        <v>6</v>
      </c>
      <c r="H12" s="144">
        <f>'680 nm (Bubble) Outlier'!H27</f>
        <v>7</v>
      </c>
      <c r="I12" s="144">
        <f>'680 nm (Bubble) Outlier'!I27</f>
        <v>8</v>
      </c>
      <c r="J12" s="144">
        <f>'680 nm (Bubble) Outlier'!J27</f>
        <v>9</v>
      </c>
      <c r="K12" s="144" t="s">
        <v>218</v>
      </c>
      <c r="L12" s="144" t="s">
        <v>219</v>
      </c>
      <c r="M12" s="144" t="s">
        <v>220</v>
      </c>
      <c r="N12" s="511" t="s">
        <v>221</v>
      </c>
      <c r="O12" s="144" t="s">
        <v>222</v>
      </c>
      <c r="P12" s="144" t="s">
        <v>223</v>
      </c>
      <c r="Q12" s="144" t="s">
        <v>224</v>
      </c>
      <c r="S12" s="504" t="s">
        <v>214</v>
      </c>
      <c r="T12" s="505" t="s">
        <v>215</v>
      </c>
      <c r="U12" s="505" t="s">
        <v>216</v>
      </c>
      <c r="V12" s="506" t="s">
        <v>217</v>
      </c>
      <c r="W12" s="507" t="s">
        <v>84</v>
      </c>
      <c r="X12" s="508" t="s">
        <v>85</v>
      </c>
      <c r="Z12" s="503" t="str">
        <f>A12</f>
        <v>20 min</v>
      </c>
      <c r="AA12" s="144">
        <v>1</v>
      </c>
      <c r="AB12" s="144">
        <v>2</v>
      </c>
      <c r="AC12" s="144">
        <v>3</v>
      </c>
      <c r="AD12" s="144">
        <v>4</v>
      </c>
      <c r="AE12" s="144">
        <v>5</v>
      </c>
      <c r="AF12" s="144">
        <v>6</v>
      </c>
      <c r="AG12" s="144">
        <v>7</v>
      </c>
      <c r="AH12" s="144">
        <v>8</v>
      </c>
      <c r="AI12" s="144">
        <v>9</v>
      </c>
      <c r="AJ12" s="144">
        <v>10</v>
      </c>
      <c r="AK12" s="144">
        <v>11</v>
      </c>
      <c r="AL12" s="144">
        <v>12</v>
      </c>
    </row>
    <row r="13" spans="1:38" ht="15" thickBot="1" x14ac:dyDescent="0.4">
      <c r="A13" s="503" t="str">
        <f>'680 nm (Bubble) Outlier'!A28</f>
        <v>A</v>
      </c>
      <c r="B13" s="147">
        <f>'680 nm (Bubble) Outlier'!B28</f>
        <v>6.9000000000000006E-2</v>
      </c>
      <c r="C13" s="148">
        <f>'680 nm (Bubble) Outlier'!C28</f>
        <v>0.63300000000000001</v>
      </c>
      <c r="D13" s="148">
        <f>'680 nm (Bubble) Outlier'!D28</f>
        <v>0.63800000000000001</v>
      </c>
      <c r="E13" s="148">
        <f>'680 nm (Bubble) Outlier'!E28</f>
        <v>0.66100000000000003</v>
      </c>
      <c r="F13" s="148">
        <f>'680 nm (Bubble) Outlier'!F28</f>
        <v>0.64500000000000002</v>
      </c>
      <c r="G13" s="148">
        <f>'680 nm (Bubble) Outlier'!G28</f>
        <v>0.64500000000000002</v>
      </c>
      <c r="H13" s="148">
        <f>'680 nm (Bubble) Outlier'!H28</f>
        <v>0.64500000000000002</v>
      </c>
      <c r="I13" s="148">
        <f>'680 nm (Bubble) Outlier'!I28</f>
        <v>0.64900000000000002</v>
      </c>
      <c r="J13" s="148">
        <f>'680 nm (Bubble) Outlier'!J28</f>
        <v>0.64500000000000002</v>
      </c>
      <c r="K13" s="148">
        <f>'680 nm (Bubble) Outlier'!C29</f>
        <v>0.63800000000000001</v>
      </c>
      <c r="L13" s="148">
        <f>'680 nm (Bubble) Outlier'!C30</f>
        <v>0.63800000000000001</v>
      </c>
      <c r="M13" s="148">
        <f>'680 nm (Bubble) Outlier'!C31</f>
        <v>0.63</v>
      </c>
      <c r="N13" s="148">
        <f>'680 nm (Bubble) Outlier'!C32</f>
        <v>0.63600000000000001</v>
      </c>
      <c r="O13" s="148">
        <f>'680 nm (Bubble) Outlier'!C33</f>
        <v>0.64100000000000001</v>
      </c>
      <c r="P13" s="148">
        <f>'680 nm (Bubble) Outlier'!C34</f>
        <v>0.64</v>
      </c>
      <c r="Q13" s="148">
        <f>'680 nm (Bubble) Outlier'!C35</f>
        <v>0.63700000000000001</v>
      </c>
      <c r="S13" s="501">
        <f>_xlfn.QUARTILE.EXC(B13:B20,1)</f>
        <v>6.9000000000000006E-2</v>
      </c>
      <c r="T13" s="501">
        <f>_xlfn.QUARTILE.EXC(B13:B20,2)</f>
        <v>6.9500000000000006E-2</v>
      </c>
      <c r="U13" s="501">
        <f>_xlfn.QUARTILE.EXC(B13:B20,3)</f>
        <v>7.0000000000000007E-2</v>
      </c>
      <c r="V13" s="512">
        <f>U13-S13</f>
        <v>1.0000000000000009E-3</v>
      </c>
      <c r="W13" s="513">
        <f>U13+1.5*V13</f>
        <v>7.1500000000000008E-2</v>
      </c>
      <c r="X13" s="514">
        <f>S13-1.5*V13</f>
        <v>6.7500000000000004E-2</v>
      </c>
      <c r="Z13" s="503" t="s">
        <v>0</v>
      </c>
      <c r="AA13" s="147">
        <f>IF(B13&gt;$W$13,"",IF(B13&lt;$X$13,"",B13))</f>
        <v>6.9000000000000006E-2</v>
      </c>
      <c r="AB13" s="148">
        <f>IF(C13&gt;$W$17,"",IF(C13&lt;$X$17,"",C13))</f>
        <v>0.63300000000000001</v>
      </c>
      <c r="AC13" s="148">
        <f t="shared" ref="AC13:AI13" si="2">IF(D13&gt;$W$17,"",IF(D13&lt;$X$17,"",D13))</f>
        <v>0.63800000000000001</v>
      </c>
      <c r="AD13" s="148" t="str">
        <f t="shared" si="2"/>
        <v/>
      </c>
      <c r="AE13" s="148">
        <f t="shared" si="2"/>
        <v>0.64500000000000002</v>
      </c>
      <c r="AF13" s="148">
        <f t="shared" si="2"/>
        <v>0.64500000000000002</v>
      </c>
      <c r="AG13" s="148">
        <f t="shared" si="2"/>
        <v>0.64500000000000002</v>
      </c>
      <c r="AH13" s="148">
        <f t="shared" si="2"/>
        <v>0.64900000000000002</v>
      </c>
      <c r="AI13" s="148">
        <f t="shared" si="2"/>
        <v>0.64500000000000002</v>
      </c>
      <c r="AJ13" s="515"/>
      <c r="AK13" s="515"/>
      <c r="AL13" s="515"/>
    </row>
    <row r="14" spans="1:38" x14ac:dyDescent="0.35">
      <c r="A14" s="503" t="str">
        <f>'680 nm (Bubble) Outlier'!A29</f>
        <v>B</v>
      </c>
      <c r="B14" s="147">
        <f>'680 nm (Bubble) Outlier'!B29</f>
        <v>7.0999999999999994E-2</v>
      </c>
      <c r="D14" s="160"/>
      <c r="E14" s="160"/>
      <c r="F14" s="160"/>
      <c r="G14" s="160"/>
      <c r="H14" s="160"/>
      <c r="I14" s="160"/>
      <c r="J14" s="160"/>
      <c r="K14" s="160"/>
      <c r="L14" s="160"/>
      <c r="M14" s="160"/>
      <c r="Z14" s="503" t="s">
        <v>1</v>
      </c>
      <c r="AA14" s="147">
        <f t="shared" ref="AA14:AA20" si="3">IF(B14&gt;$W$13,"",IF(B14&lt;$X$13,"",B14))</f>
        <v>7.0999999999999994E-2</v>
      </c>
      <c r="AB14" s="148">
        <f>IF(K13&gt;$W$17,"",IF(K13&lt;$X$17,"",K13))</f>
        <v>0.63800000000000001</v>
      </c>
      <c r="AC14" s="515"/>
      <c r="AD14" s="515"/>
      <c r="AE14" s="515"/>
      <c r="AF14" s="515"/>
      <c r="AG14" s="515"/>
      <c r="AH14" s="515"/>
      <c r="AI14" s="515"/>
      <c r="AJ14" s="515"/>
      <c r="AK14" s="515"/>
      <c r="AL14" s="515"/>
    </row>
    <row r="15" spans="1:38" ht="15" thickBot="1" x14ac:dyDescent="0.4">
      <c r="A15" s="503" t="str">
        <f>'680 nm (Bubble) Outlier'!A30</f>
        <v>C</v>
      </c>
      <c r="B15" s="147">
        <f>'680 nm (Bubble) Outlier'!B30</f>
        <v>7.0000000000000007E-2</v>
      </c>
      <c r="D15" s="160"/>
      <c r="E15" s="160"/>
      <c r="F15" s="160"/>
      <c r="G15" s="160"/>
      <c r="H15" s="160"/>
      <c r="I15" s="160"/>
      <c r="J15" s="160"/>
      <c r="K15" s="160"/>
      <c r="L15" s="160"/>
      <c r="M15" s="160"/>
      <c r="S15" s="500" t="s">
        <v>9</v>
      </c>
      <c r="Z15" s="503" t="s">
        <v>2</v>
      </c>
      <c r="AA15" s="147">
        <f t="shared" si="3"/>
        <v>7.0000000000000007E-2</v>
      </c>
      <c r="AB15" s="148">
        <f>IF(L13&gt;$W$17,"",IF(L13&lt;$X$17,"",L13))</f>
        <v>0.63800000000000001</v>
      </c>
      <c r="AC15" s="515"/>
      <c r="AD15" s="515"/>
      <c r="AE15" s="515"/>
      <c r="AF15" s="515"/>
      <c r="AG15" s="515"/>
      <c r="AH15" s="515"/>
      <c r="AI15" s="515"/>
      <c r="AJ15" s="515"/>
      <c r="AK15" s="515"/>
      <c r="AL15" s="515"/>
    </row>
    <row r="16" spans="1:38" x14ac:dyDescent="0.35">
      <c r="A16" s="503" t="str">
        <f>'680 nm (Bubble) Outlier'!A31</f>
        <v>D</v>
      </c>
      <c r="B16" s="147">
        <f>'680 nm (Bubble) Outlier'!B31</f>
        <v>6.8000000000000005E-2</v>
      </c>
      <c r="D16" s="160"/>
      <c r="E16" s="160"/>
      <c r="F16" s="160"/>
      <c r="G16" s="160"/>
      <c r="H16" s="160"/>
      <c r="I16" s="160"/>
      <c r="J16" s="160"/>
      <c r="K16" s="160"/>
      <c r="L16" s="160"/>
      <c r="M16" s="160"/>
      <c r="S16" s="504" t="s">
        <v>214</v>
      </c>
      <c r="T16" s="505" t="s">
        <v>215</v>
      </c>
      <c r="U16" s="505" t="s">
        <v>216</v>
      </c>
      <c r="V16" s="506" t="s">
        <v>217</v>
      </c>
      <c r="W16" s="507" t="s">
        <v>84</v>
      </c>
      <c r="X16" s="508" t="s">
        <v>85</v>
      </c>
      <c r="Z16" s="503" t="s">
        <v>3</v>
      </c>
      <c r="AA16" s="147">
        <f t="shared" si="3"/>
        <v>6.8000000000000005E-2</v>
      </c>
      <c r="AB16" s="148">
        <f>IF(M13&gt;$W$17,"",IF(M13&lt;$X$17,"",M13))</f>
        <v>0.63</v>
      </c>
      <c r="AC16" s="515"/>
      <c r="AD16" s="515"/>
      <c r="AE16" s="515"/>
      <c r="AF16" s="515"/>
      <c r="AG16" s="515"/>
      <c r="AH16" s="515"/>
      <c r="AI16" s="515"/>
      <c r="AJ16" s="515"/>
      <c r="AK16" s="515"/>
      <c r="AL16" s="515"/>
    </row>
    <row r="17" spans="1:42" ht="15" thickBot="1" x14ac:dyDescent="0.4">
      <c r="A17" s="503" t="str">
        <f>'680 nm (Bubble) Outlier'!A32</f>
        <v>E</v>
      </c>
      <c r="B17" s="147">
        <f>'680 nm (Bubble) Outlier'!B32</f>
        <v>7.0000000000000007E-2</v>
      </c>
      <c r="D17" s="160"/>
      <c r="E17" s="160"/>
      <c r="F17" s="160"/>
      <c r="G17" s="160"/>
      <c r="H17" s="160"/>
      <c r="I17" s="160"/>
      <c r="J17" s="160"/>
      <c r="K17" s="160"/>
      <c r="L17" s="160"/>
      <c r="M17" s="160"/>
      <c r="S17" s="501">
        <f>_xlfn.QUARTILE.EXC(C13:Q13,1)</f>
        <v>0.63700000000000001</v>
      </c>
      <c r="T17" s="501">
        <f>_xlfn.QUARTILE.EXC(C13:Q13,2)</f>
        <v>0.64</v>
      </c>
      <c r="U17" s="501">
        <f>_xlfn.QUARTILE.EXC(C13:Q13,3)</f>
        <v>0.64500000000000002</v>
      </c>
      <c r="V17" s="512">
        <f>U17-S17</f>
        <v>8.0000000000000071E-3</v>
      </c>
      <c r="W17" s="513">
        <f>U17+1.5*V17</f>
        <v>0.65700000000000003</v>
      </c>
      <c r="X17" s="514">
        <f>S17-1.5*V17</f>
        <v>0.625</v>
      </c>
      <c r="Z17" s="503" t="s">
        <v>4</v>
      </c>
      <c r="AA17" s="147">
        <f t="shared" si="3"/>
        <v>7.0000000000000007E-2</v>
      </c>
      <c r="AB17" s="148">
        <f>IF(N13&gt;$W$17,"",IF(N13&lt;$X$17,"",N13))</f>
        <v>0.63600000000000001</v>
      </c>
      <c r="AC17" s="515"/>
      <c r="AD17" s="515"/>
      <c r="AE17" s="515"/>
      <c r="AF17" s="515"/>
      <c r="AG17" s="515"/>
      <c r="AH17" s="515"/>
      <c r="AI17" s="515"/>
      <c r="AJ17" s="515"/>
      <c r="AK17" s="515"/>
      <c r="AL17" s="515"/>
    </row>
    <row r="18" spans="1:42" x14ac:dyDescent="0.35">
      <c r="A18" s="503" t="str">
        <f>'680 nm (Bubble) Outlier'!A33</f>
        <v>F</v>
      </c>
      <c r="B18" s="147">
        <f>'680 nm (Bubble) Outlier'!B33</f>
        <v>7.0000000000000007E-2</v>
      </c>
      <c r="D18" s="160"/>
      <c r="E18" s="160"/>
      <c r="F18" s="160"/>
      <c r="G18" s="160"/>
      <c r="H18" s="160"/>
      <c r="I18" s="160"/>
      <c r="J18" s="160"/>
      <c r="K18" s="160"/>
      <c r="L18" s="160"/>
      <c r="M18" s="160"/>
      <c r="Z18" s="503" t="s">
        <v>5</v>
      </c>
      <c r="AA18" s="147">
        <f t="shared" si="3"/>
        <v>7.0000000000000007E-2</v>
      </c>
      <c r="AB18" s="148">
        <f>IF(O13&gt;$W$17,"",IF(O13&lt;$X$17,"",O13))</f>
        <v>0.64100000000000001</v>
      </c>
      <c r="AC18" s="515"/>
      <c r="AD18" s="515"/>
      <c r="AE18" s="515"/>
      <c r="AF18" s="515"/>
      <c r="AG18" s="515"/>
      <c r="AH18" s="515"/>
      <c r="AI18" s="515"/>
      <c r="AJ18" s="515"/>
      <c r="AK18" s="515"/>
      <c r="AL18" s="515"/>
    </row>
    <row r="19" spans="1:42" x14ac:dyDescent="0.35">
      <c r="A19" s="503" t="str">
        <f>'680 nm (Bubble) Outlier'!A34</f>
        <v>G</v>
      </c>
      <c r="B19" s="147">
        <f>'680 nm (Bubble) Outlier'!B34</f>
        <v>6.9000000000000006E-2</v>
      </c>
      <c r="C19" s="195"/>
      <c r="D19" s="160"/>
      <c r="E19" s="160"/>
      <c r="F19" s="160"/>
      <c r="G19" s="160"/>
      <c r="H19" s="160"/>
      <c r="I19" s="160"/>
      <c r="J19" s="160"/>
      <c r="K19" s="160"/>
      <c r="L19" s="160"/>
      <c r="M19" s="160"/>
      <c r="N19" s="523"/>
      <c r="O19" s="195"/>
      <c r="P19" s="195"/>
      <c r="Q19" s="195"/>
      <c r="R19" s="143"/>
      <c r="S19" s="195"/>
      <c r="T19" s="195"/>
      <c r="U19" s="195"/>
      <c r="V19" s="195"/>
      <c r="W19" s="195"/>
      <c r="X19" s="195"/>
      <c r="Y19" s="524"/>
      <c r="Z19" s="503" t="s">
        <v>6</v>
      </c>
      <c r="AA19" s="147">
        <f t="shared" si="3"/>
        <v>6.9000000000000006E-2</v>
      </c>
      <c r="AB19" s="148">
        <f>IF(P13&gt;$W$17,"",IF(P13&lt;$X$17,"",P13))</f>
        <v>0.64</v>
      </c>
      <c r="AC19" s="515"/>
      <c r="AD19" s="515"/>
      <c r="AE19" s="515"/>
      <c r="AF19" s="515"/>
      <c r="AG19" s="515"/>
      <c r="AH19" s="515"/>
      <c r="AI19" s="515"/>
      <c r="AJ19" s="515"/>
      <c r="AK19" s="515"/>
      <c r="AL19" s="515"/>
    </row>
    <row r="20" spans="1:42" ht="15" thickBot="1" x14ac:dyDescent="0.4">
      <c r="A20" s="516" t="str">
        <f>'680 nm (Bubble) Outlier'!A35</f>
        <v>H</v>
      </c>
      <c r="B20" s="517">
        <f>'680 nm (Bubble) Outlier'!B35</f>
        <v>6.9000000000000006E-2</v>
      </c>
      <c r="C20" s="518"/>
      <c r="D20" s="519"/>
      <c r="E20" s="519"/>
      <c r="F20" s="519"/>
      <c r="G20" s="519"/>
      <c r="H20" s="519"/>
      <c r="I20" s="519"/>
      <c r="J20" s="519"/>
      <c r="K20" s="519"/>
      <c r="L20" s="519"/>
      <c r="M20" s="519"/>
      <c r="N20" s="520"/>
      <c r="O20" s="518"/>
      <c r="P20" s="518"/>
      <c r="Q20" s="518"/>
      <c r="R20" s="521"/>
      <c r="S20" s="518"/>
      <c r="T20" s="518"/>
      <c r="U20" s="518"/>
      <c r="V20" s="518"/>
      <c r="W20" s="518"/>
      <c r="X20" s="518"/>
      <c r="Y20" s="522"/>
      <c r="Z20" s="516" t="s">
        <v>7</v>
      </c>
      <c r="AA20" s="517">
        <f t="shared" si="3"/>
        <v>6.9000000000000006E-2</v>
      </c>
      <c r="AB20" s="525">
        <f>IF(Q13&gt;$W$17,"",IF(Q13&lt;$X$17,"",Q13))</f>
        <v>0.63700000000000001</v>
      </c>
      <c r="AC20" s="515"/>
      <c r="AD20" s="515"/>
      <c r="AE20" s="515"/>
      <c r="AF20" s="515"/>
      <c r="AG20" s="515"/>
      <c r="AH20" s="515"/>
      <c r="AI20" s="515"/>
      <c r="AJ20" s="515"/>
      <c r="AK20" s="515"/>
      <c r="AL20" s="515"/>
    </row>
    <row r="21" spans="1:42" ht="15" thickBot="1" x14ac:dyDescent="0.4">
      <c r="S21" s="500" t="s">
        <v>61</v>
      </c>
    </row>
    <row r="22" spans="1:42" x14ac:dyDescent="0.35">
      <c r="A22" s="503" t="str">
        <f>'680 nm (Bubble) Outlier'!A37</f>
        <v>35 min</v>
      </c>
      <c r="B22" s="144">
        <f>'680 nm (Bubble) Outlier'!B37</f>
        <v>1</v>
      </c>
      <c r="C22" s="144">
        <f>'680 nm (Bubble) Outlier'!C37</f>
        <v>2</v>
      </c>
      <c r="D22" s="144">
        <f>'680 nm (Bubble) Outlier'!D37</f>
        <v>3</v>
      </c>
      <c r="E22" s="144">
        <f>'680 nm (Bubble) Outlier'!E37</f>
        <v>4</v>
      </c>
      <c r="F22" s="144">
        <f>'680 nm (Bubble) Outlier'!F37</f>
        <v>5</v>
      </c>
      <c r="G22" s="144">
        <f>'680 nm (Bubble) Outlier'!G37</f>
        <v>6</v>
      </c>
      <c r="H22" s="144">
        <f>'680 nm (Bubble) Outlier'!H37</f>
        <v>7</v>
      </c>
      <c r="I22" s="144">
        <f>'680 nm (Bubble) Outlier'!I37</f>
        <v>8</v>
      </c>
      <c r="J22" s="144">
        <f>'680 nm (Bubble) Outlier'!J37</f>
        <v>9</v>
      </c>
      <c r="K22" s="144" t="s">
        <v>218</v>
      </c>
      <c r="L22" s="144" t="s">
        <v>219</v>
      </c>
      <c r="M22" s="144" t="s">
        <v>220</v>
      </c>
      <c r="N22" s="511" t="s">
        <v>221</v>
      </c>
      <c r="O22" s="144" t="s">
        <v>222</v>
      </c>
      <c r="P22" s="144" t="s">
        <v>223</v>
      </c>
      <c r="Q22" s="144" t="s">
        <v>224</v>
      </c>
      <c r="S22" s="504" t="s">
        <v>214</v>
      </c>
      <c r="T22" s="505" t="s">
        <v>215</v>
      </c>
      <c r="U22" s="505" t="s">
        <v>216</v>
      </c>
      <c r="V22" s="506" t="s">
        <v>217</v>
      </c>
      <c r="W22" s="507" t="s">
        <v>84</v>
      </c>
      <c r="X22" s="508" t="s">
        <v>85</v>
      </c>
      <c r="Z22" s="503" t="str">
        <f>A22</f>
        <v>35 min</v>
      </c>
      <c r="AA22" s="144">
        <v>1</v>
      </c>
      <c r="AB22" s="144">
        <v>2</v>
      </c>
      <c r="AC22" s="144">
        <v>3</v>
      </c>
      <c r="AD22" s="144">
        <v>4</v>
      </c>
      <c r="AE22" s="144">
        <v>5</v>
      </c>
      <c r="AF22" s="144">
        <v>6</v>
      </c>
      <c r="AG22" s="144">
        <v>7</v>
      </c>
      <c r="AH22" s="144">
        <v>8</v>
      </c>
      <c r="AI22" s="144">
        <v>9</v>
      </c>
      <c r="AJ22" s="144">
        <v>10</v>
      </c>
      <c r="AK22" s="144">
        <v>11</v>
      </c>
      <c r="AL22" s="144">
        <v>12</v>
      </c>
    </row>
    <row r="23" spans="1:42" ht="15" thickBot="1" x14ac:dyDescent="0.4">
      <c r="A23" s="503" t="str">
        <f>'680 nm (Bubble) Outlier'!A38</f>
        <v>A</v>
      </c>
      <c r="B23" s="147">
        <f>'680 nm (Bubble) Outlier'!B38</f>
        <v>6.9000000000000006E-2</v>
      </c>
      <c r="C23" s="148">
        <f>'680 nm (Bubble) Outlier'!C38</f>
        <v>0.63200000000000001</v>
      </c>
      <c r="D23" s="148">
        <f>'680 nm (Bubble) Outlier'!D38</f>
        <v>0.63600000000000001</v>
      </c>
      <c r="E23" s="148">
        <f>'680 nm (Bubble) Outlier'!E38</f>
        <v>0.66400000000000003</v>
      </c>
      <c r="F23" s="148">
        <f>'680 nm (Bubble) Outlier'!F38</f>
        <v>0.64400000000000002</v>
      </c>
      <c r="G23" s="148">
        <f>'680 nm (Bubble) Outlier'!G38</f>
        <v>0.64400000000000002</v>
      </c>
      <c r="H23" s="148">
        <f>'680 nm (Bubble) Outlier'!H38</f>
        <v>0.64400000000000002</v>
      </c>
      <c r="I23" s="148">
        <f>'680 nm (Bubble) Outlier'!I38</f>
        <v>0.64700000000000002</v>
      </c>
      <c r="J23" s="148">
        <f>'680 nm (Bubble) Outlier'!J38</f>
        <v>0.64400000000000002</v>
      </c>
      <c r="K23" s="148">
        <f>'680 nm (Bubble) Outlier'!C39</f>
        <v>0.63600000000000001</v>
      </c>
      <c r="L23" s="148">
        <f>'680 nm (Bubble) Outlier'!C40</f>
        <v>0.63700000000000001</v>
      </c>
      <c r="M23" s="148">
        <f>'680 nm (Bubble) Outlier'!C41</f>
        <v>0.629</v>
      </c>
      <c r="N23" s="148">
        <f>'680 nm (Bubble) Outlier'!C42</f>
        <v>0.63500000000000001</v>
      </c>
      <c r="O23" s="148">
        <f>'680 nm (Bubble) Outlier'!C43</f>
        <v>0.64</v>
      </c>
      <c r="P23" s="148">
        <f>'680 nm (Bubble) Outlier'!C44</f>
        <v>0.63900000000000001</v>
      </c>
      <c r="Q23" s="148">
        <f>'680 nm (Bubble) Outlier'!C45</f>
        <v>0.63600000000000001</v>
      </c>
      <c r="S23" s="501">
        <f>_xlfn.QUARTILE.EXC(B23:B30,1)</f>
        <v>6.9250000000000006E-2</v>
      </c>
      <c r="T23" s="501">
        <f>_xlfn.QUARTILE.EXC(B23:B30,2)</f>
        <v>7.0000000000000007E-2</v>
      </c>
      <c r="U23" s="501">
        <f>_xlfn.QUARTILE.EXC(B23:B30,3)</f>
        <v>7.0749999999999993E-2</v>
      </c>
      <c r="V23" s="512">
        <f>U23-S23</f>
        <v>1.4999999999999875E-3</v>
      </c>
      <c r="W23" s="513">
        <f>U23+1.5*V23</f>
        <v>7.2999999999999982E-2</v>
      </c>
      <c r="X23" s="514">
        <f>S23-1.5*V23</f>
        <v>6.7000000000000032E-2</v>
      </c>
      <c r="Z23" s="503" t="s">
        <v>0</v>
      </c>
      <c r="AA23" s="147">
        <f>IF(B23&gt;$W$23,"",IF(B23&lt;$X$23,"",B23))</f>
        <v>6.9000000000000006E-2</v>
      </c>
      <c r="AB23" s="148">
        <f>IF(C23&gt;$W$27,"",IF(C23&lt;$X$27,"",C23))</f>
        <v>0.63200000000000001</v>
      </c>
      <c r="AC23" s="148">
        <f t="shared" ref="AC23:AI23" si="4">IF(D23&gt;$W$27,"",IF(D23&lt;$X$27,"",D23))</f>
        <v>0.63600000000000001</v>
      </c>
      <c r="AD23" s="148" t="str">
        <f t="shared" si="4"/>
        <v/>
      </c>
      <c r="AE23" s="148">
        <f t="shared" si="4"/>
        <v>0.64400000000000002</v>
      </c>
      <c r="AF23" s="148">
        <f t="shared" si="4"/>
        <v>0.64400000000000002</v>
      </c>
      <c r="AG23" s="148">
        <f t="shared" si="4"/>
        <v>0.64400000000000002</v>
      </c>
      <c r="AH23" s="148">
        <f t="shared" si="4"/>
        <v>0.64700000000000002</v>
      </c>
      <c r="AI23" s="148">
        <f t="shared" si="4"/>
        <v>0.64400000000000002</v>
      </c>
      <c r="AJ23" s="515"/>
      <c r="AK23" s="515"/>
      <c r="AL23" s="515"/>
    </row>
    <row r="24" spans="1:42" x14ac:dyDescent="0.35">
      <c r="A24" s="503" t="str">
        <f>'680 nm (Bubble) Outlier'!A39</f>
        <v>B</v>
      </c>
      <c r="B24" s="147">
        <f>'680 nm (Bubble) Outlier'!B39</f>
        <v>7.1999999999999995E-2</v>
      </c>
      <c r="D24" s="160"/>
      <c r="E24" s="160"/>
      <c r="F24" s="160"/>
      <c r="G24" s="160"/>
      <c r="H24" s="160"/>
      <c r="I24" s="160"/>
      <c r="J24" s="160"/>
      <c r="K24" s="160"/>
      <c r="L24" s="160"/>
      <c r="M24" s="160"/>
      <c r="Z24" s="503" t="s">
        <v>1</v>
      </c>
      <c r="AA24" s="147">
        <f t="shared" ref="AA24:AA30" si="5">IF(B24&gt;$W$23,"",IF(B24&lt;$X$23,"",B24))</f>
        <v>7.1999999999999995E-2</v>
      </c>
      <c r="AB24" s="148">
        <f>IF(K23&gt;$W$27,"",IF(K23&lt;$X$27,"",K23))</f>
        <v>0.63600000000000001</v>
      </c>
      <c r="AC24" s="515"/>
      <c r="AD24" s="515"/>
      <c r="AE24" s="515"/>
      <c r="AF24" s="515"/>
      <c r="AG24" s="515"/>
      <c r="AH24" s="515"/>
      <c r="AI24" s="515"/>
      <c r="AJ24" s="515"/>
      <c r="AK24" s="515"/>
      <c r="AL24" s="515"/>
    </row>
    <row r="25" spans="1:42" ht="15" thickBot="1" x14ac:dyDescent="0.4">
      <c r="A25" s="503" t="str">
        <f>'680 nm (Bubble) Outlier'!A40</f>
        <v>C</v>
      </c>
      <c r="B25" s="147">
        <f>'680 nm (Bubble) Outlier'!B40</f>
        <v>7.0000000000000007E-2</v>
      </c>
      <c r="D25" s="160"/>
      <c r="E25" s="160"/>
      <c r="F25" s="160"/>
      <c r="G25" s="160"/>
      <c r="H25" s="160"/>
      <c r="I25" s="160"/>
      <c r="J25" s="160"/>
      <c r="K25" s="160"/>
      <c r="L25" s="160"/>
      <c r="M25" s="160"/>
      <c r="S25" s="500" t="s">
        <v>9</v>
      </c>
      <c r="Z25" s="503" t="s">
        <v>2</v>
      </c>
      <c r="AA25" s="147">
        <f t="shared" si="5"/>
        <v>7.0000000000000007E-2</v>
      </c>
      <c r="AB25" s="148">
        <f>IF(L23&gt;$W$27,"",IF(L23&lt;$X$27,"",L23))</f>
        <v>0.63700000000000001</v>
      </c>
      <c r="AC25" s="515"/>
      <c r="AD25" s="515"/>
      <c r="AE25" s="515"/>
      <c r="AF25" s="515"/>
      <c r="AG25" s="515"/>
      <c r="AH25" s="515"/>
      <c r="AI25" s="515"/>
      <c r="AJ25" s="515"/>
      <c r="AK25" s="515"/>
      <c r="AL25" s="515"/>
    </row>
    <row r="26" spans="1:42" x14ac:dyDescent="0.35">
      <c r="A26" s="503" t="str">
        <f>'680 nm (Bubble) Outlier'!A41</f>
        <v>D</v>
      </c>
      <c r="B26" s="147">
        <f>'680 nm (Bubble) Outlier'!B41</f>
        <v>6.9000000000000006E-2</v>
      </c>
      <c r="D26" s="160"/>
      <c r="E26" s="160"/>
      <c r="F26" s="160"/>
      <c r="G26" s="160"/>
      <c r="H26" s="160"/>
      <c r="I26" s="160"/>
      <c r="J26" s="160"/>
      <c r="K26" s="160"/>
      <c r="L26" s="160"/>
      <c r="M26" s="160"/>
      <c r="S26" s="504" t="s">
        <v>214</v>
      </c>
      <c r="T26" s="505" t="s">
        <v>215</v>
      </c>
      <c r="U26" s="505" t="s">
        <v>216</v>
      </c>
      <c r="V26" s="506" t="s">
        <v>217</v>
      </c>
      <c r="W26" s="507" t="s">
        <v>84</v>
      </c>
      <c r="X26" s="508" t="s">
        <v>85</v>
      </c>
      <c r="Z26" s="503" t="s">
        <v>3</v>
      </c>
      <c r="AA26" s="147">
        <f t="shared" si="5"/>
        <v>6.9000000000000006E-2</v>
      </c>
      <c r="AB26" s="148">
        <f>IF(M23&gt;$W$27,"",IF(M23&lt;$X$27,"",M23))</f>
        <v>0.629</v>
      </c>
      <c r="AC26" s="515"/>
      <c r="AD26" s="515"/>
      <c r="AE26" s="515"/>
      <c r="AF26" s="515"/>
      <c r="AG26" s="515"/>
      <c r="AH26" s="515"/>
      <c r="AI26" s="515"/>
      <c r="AJ26" s="515"/>
      <c r="AK26" s="515"/>
      <c r="AL26" s="515"/>
    </row>
    <row r="27" spans="1:42" ht="15" thickBot="1" x14ac:dyDescent="0.4">
      <c r="A27" s="503" t="str">
        <f>'680 nm (Bubble) Outlier'!A42</f>
        <v>E</v>
      </c>
      <c r="B27" s="147">
        <f>'680 nm (Bubble) Outlier'!B42</f>
        <v>7.0000000000000007E-2</v>
      </c>
      <c r="D27" s="160"/>
      <c r="E27" s="160"/>
      <c r="F27" s="160"/>
      <c r="G27" s="160"/>
      <c r="H27" s="160"/>
      <c r="I27" s="160"/>
      <c r="J27" s="160"/>
      <c r="K27" s="160"/>
      <c r="L27" s="160"/>
      <c r="M27" s="160"/>
      <c r="S27" s="501">
        <f>_xlfn.QUARTILE.EXC(C23:Q23,1)</f>
        <v>0.63600000000000001</v>
      </c>
      <c r="T27" s="501">
        <f>_xlfn.QUARTILE.EXC(C23:Q23,2)</f>
        <v>0.63900000000000001</v>
      </c>
      <c r="U27" s="501">
        <f>_xlfn.QUARTILE.EXC(C23:Q23,3)</f>
        <v>0.64400000000000002</v>
      </c>
      <c r="V27" s="512">
        <f>U27-S27</f>
        <v>8.0000000000000071E-3</v>
      </c>
      <c r="W27" s="513">
        <f>U27+1.5*V27</f>
        <v>0.65600000000000003</v>
      </c>
      <c r="X27" s="514">
        <f>S27-1.5*V27</f>
        <v>0.624</v>
      </c>
      <c r="Z27" s="503" t="s">
        <v>4</v>
      </c>
      <c r="AA27" s="147">
        <f t="shared" si="5"/>
        <v>7.0000000000000007E-2</v>
      </c>
      <c r="AB27" s="148">
        <f>IF(N23&gt;$W$27,"",IF(N23&lt;$X$27,"",N23))</f>
        <v>0.63500000000000001</v>
      </c>
      <c r="AC27" s="515"/>
      <c r="AD27" s="515"/>
      <c r="AE27" s="515"/>
      <c r="AF27" s="515"/>
      <c r="AG27" s="515"/>
      <c r="AH27" s="515"/>
      <c r="AI27" s="515"/>
      <c r="AJ27" s="515"/>
      <c r="AK27" s="515"/>
      <c r="AL27" s="515"/>
    </row>
    <row r="28" spans="1:42" x14ac:dyDescent="0.35">
      <c r="A28" s="503" t="str">
        <f>'680 nm (Bubble) Outlier'!A43</f>
        <v>F</v>
      </c>
      <c r="B28" s="147">
        <f>'680 nm (Bubble) Outlier'!B43</f>
        <v>7.0999999999999994E-2</v>
      </c>
      <c r="D28" s="160"/>
      <c r="E28" s="160"/>
      <c r="F28" s="160"/>
      <c r="G28" s="160"/>
      <c r="H28" s="160"/>
      <c r="I28" s="160"/>
      <c r="J28" s="160"/>
      <c r="K28" s="160"/>
      <c r="L28" s="160"/>
      <c r="M28" s="160"/>
      <c r="Z28" s="503" t="s">
        <v>5</v>
      </c>
      <c r="AA28" s="147">
        <f t="shared" si="5"/>
        <v>7.0999999999999994E-2</v>
      </c>
      <c r="AB28" s="148">
        <f>IF(O23&gt;$W$27,"",IF(O23&lt;$X$27,"",O23))</f>
        <v>0.64</v>
      </c>
      <c r="AC28" s="515"/>
      <c r="AD28" s="515"/>
      <c r="AE28" s="515"/>
      <c r="AF28" s="515"/>
      <c r="AG28" s="515"/>
      <c r="AH28" s="515"/>
      <c r="AI28" s="515"/>
      <c r="AJ28" s="515"/>
      <c r="AK28" s="515"/>
      <c r="AL28" s="515"/>
    </row>
    <row r="29" spans="1:42" x14ac:dyDescent="0.35">
      <c r="A29" s="503" t="str">
        <f>'680 nm (Bubble) Outlier'!A44</f>
        <v>G</v>
      </c>
      <c r="B29" s="147">
        <f>'680 nm (Bubble) Outlier'!B44</f>
        <v>7.0000000000000007E-2</v>
      </c>
      <c r="D29" s="160"/>
      <c r="E29" s="160"/>
      <c r="F29" s="160"/>
      <c r="G29" s="160"/>
      <c r="H29" s="160"/>
      <c r="I29" s="160"/>
      <c r="J29" s="160"/>
      <c r="K29" s="160"/>
      <c r="L29" s="160"/>
      <c r="M29" s="160"/>
      <c r="Z29" s="503" t="s">
        <v>6</v>
      </c>
      <c r="AA29" s="147">
        <f t="shared" si="5"/>
        <v>7.0000000000000007E-2</v>
      </c>
      <c r="AB29" s="148">
        <f>IF(P23&gt;$W$27,"",IF(P23&lt;$X$27,"",P23))</f>
        <v>0.63900000000000001</v>
      </c>
      <c r="AC29" s="515"/>
      <c r="AD29" s="515"/>
      <c r="AE29" s="515"/>
      <c r="AF29" s="515"/>
      <c r="AG29" s="515"/>
      <c r="AH29" s="515"/>
      <c r="AI29" s="515"/>
      <c r="AJ29" s="515"/>
      <c r="AK29" s="515"/>
      <c r="AL29" s="515"/>
    </row>
    <row r="30" spans="1:42" ht="15" thickBot="1" x14ac:dyDescent="0.4">
      <c r="A30" s="516" t="str">
        <f>'680 nm (Bubble) Outlier'!A45</f>
        <v>H</v>
      </c>
      <c r="B30" s="517">
        <f>'680 nm (Bubble) Outlier'!B45</f>
        <v>7.0000000000000007E-2</v>
      </c>
      <c r="C30" s="518"/>
      <c r="D30" s="519"/>
      <c r="E30" s="519"/>
      <c r="F30" s="519"/>
      <c r="G30" s="519"/>
      <c r="H30" s="519"/>
      <c r="I30" s="519"/>
      <c r="J30" s="519"/>
      <c r="K30" s="519"/>
      <c r="L30" s="519"/>
      <c r="M30" s="519"/>
      <c r="N30" s="520"/>
      <c r="O30" s="518"/>
      <c r="P30" s="518"/>
      <c r="Q30" s="518"/>
      <c r="R30" s="521"/>
      <c r="S30" s="518"/>
      <c r="T30" s="518"/>
      <c r="U30" s="518"/>
      <c r="V30" s="518"/>
      <c r="W30" s="518"/>
      <c r="X30" s="518"/>
      <c r="Y30" s="522"/>
      <c r="Z30" s="516" t="s">
        <v>7</v>
      </c>
      <c r="AA30" s="517">
        <f t="shared" si="5"/>
        <v>7.0000000000000007E-2</v>
      </c>
      <c r="AB30" s="525">
        <f>IF(Q23&gt;$W$27,"",IF(Q23&lt;$X$27,"",Q23))</f>
        <v>0.63600000000000001</v>
      </c>
      <c r="AC30" s="515"/>
      <c r="AD30" s="515"/>
      <c r="AE30" s="515"/>
      <c r="AF30" s="515"/>
      <c r="AG30" s="515"/>
      <c r="AH30" s="515"/>
      <c r="AI30" s="515"/>
      <c r="AJ30" s="515"/>
      <c r="AK30" s="515"/>
      <c r="AL30" s="515"/>
    </row>
    <row r="31" spans="1:42" ht="15" thickBot="1" x14ac:dyDescent="0.4">
      <c r="S31" s="500" t="s">
        <v>61</v>
      </c>
      <c r="AN31" s="598" t="s">
        <v>138</v>
      </c>
      <c r="AO31" s="576"/>
      <c r="AP31" s="597"/>
    </row>
    <row r="32" spans="1:42" x14ac:dyDescent="0.35">
      <c r="A32" s="503" t="str">
        <f>'680 nm (Bubble) Outlier'!A47</f>
        <v>50 min</v>
      </c>
      <c r="B32" s="144">
        <f>'680 nm (Bubble) Outlier'!B47</f>
        <v>1</v>
      </c>
      <c r="C32" s="144">
        <f>'680 nm (Bubble) Outlier'!C47</f>
        <v>2</v>
      </c>
      <c r="D32" s="144">
        <f>'680 nm (Bubble) Outlier'!D47</f>
        <v>3</v>
      </c>
      <c r="E32" s="144">
        <f>'680 nm (Bubble) Outlier'!E47</f>
        <v>4</v>
      </c>
      <c r="F32" s="144">
        <f>'680 nm (Bubble) Outlier'!F47</f>
        <v>5</v>
      </c>
      <c r="G32" s="144">
        <f>'680 nm (Bubble) Outlier'!G47</f>
        <v>6</v>
      </c>
      <c r="H32" s="144">
        <f>'680 nm (Bubble) Outlier'!H47</f>
        <v>7</v>
      </c>
      <c r="I32" s="144">
        <f>'680 nm (Bubble) Outlier'!I47</f>
        <v>8</v>
      </c>
      <c r="J32" s="144">
        <f>'680 nm (Bubble) Outlier'!J47</f>
        <v>9</v>
      </c>
      <c r="K32" s="144" t="s">
        <v>218</v>
      </c>
      <c r="L32" s="144" t="s">
        <v>219</v>
      </c>
      <c r="M32" s="144" t="s">
        <v>220</v>
      </c>
      <c r="N32" s="511" t="s">
        <v>221</v>
      </c>
      <c r="O32" s="144" t="s">
        <v>222</v>
      </c>
      <c r="P32" s="144" t="s">
        <v>223</v>
      </c>
      <c r="Q32" s="144" t="s">
        <v>224</v>
      </c>
      <c r="S32" s="504" t="s">
        <v>214</v>
      </c>
      <c r="T32" s="505" t="s">
        <v>215</v>
      </c>
      <c r="U32" s="505" t="s">
        <v>216</v>
      </c>
      <c r="V32" s="506" t="s">
        <v>217</v>
      </c>
      <c r="W32" s="507" t="s">
        <v>84</v>
      </c>
      <c r="X32" s="508" t="s">
        <v>85</v>
      </c>
      <c r="Z32" s="503" t="str">
        <f>A32</f>
        <v>50 min</v>
      </c>
      <c r="AA32" s="144">
        <v>1</v>
      </c>
      <c r="AB32" s="144">
        <v>2</v>
      </c>
      <c r="AC32" s="144">
        <v>3</v>
      </c>
      <c r="AD32" s="144">
        <v>4</v>
      </c>
      <c r="AE32" s="144">
        <v>5</v>
      </c>
      <c r="AF32" s="144">
        <v>6</v>
      </c>
      <c r="AG32" s="144">
        <v>7</v>
      </c>
      <c r="AH32" s="144">
        <v>8</v>
      </c>
      <c r="AI32" s="144">
        <v>9</v>
      </c>
      <c r="AJ32" s="144">
        <v>10</v>
      </c>
      <c r="AK32" s="144">
        <v>11</v>
      </c>
      <c r="AL32" s="144">
        <v>12</v>
      </c>
      <c r="AN32" s="149" t="s">
        <v>54</v>
      </c>
      <c r="AO32" s="150">
        <f>COUNT(AA33:AA40)</f>
        <v>8</v>
      </c>
      <c r="AP32" s="501" t="str">
        <f>IF(AO32&lt;6,"Fail","Pass")</f>
        <v>Pass</v>
      </c>
    </row>
    <row r="33" spans="1:42" ht="15" thickBot="1" x14ac:dyDescent="0.4">
      <c r="A33" s="503" t="str">
        <f>'680 nm (Bubble) Outlier'!A48</f>
        <v>A</v>
      </c>
      <c r="B33" s="147">
        <f>'680 nm (Bubble) Outlier'!B48</f>
        <v>7.0000000000000007E-2</v>
      </c>
      <c r="C33" s="148">
        <f>'680 nm (Bubble) Outlier'!C48</f>
        <v>0.63200000000000001</v>
      </c>
      <c r="D33" s="148">
        <f>'680 nm (Bubble) Outlier'!D48</f>
        <v>0.63700000000000001</v>
      </c>
      <c r="E33" s="148">
        <f>'680 nm (Bubble) Outlier'!E48</f>
        <v>0.66900000000000004</v>
      </c>
      <c r="F33" s="148">
        <f>'680 nm (Bubble) Outlier'!F48</f>
        <v>0.64300000000000002</v>
      </c>
      <c r="G33" s="148">
        <f>'680 nm (Bubble) Outlier'!G48</f>
        <v>0.64300000000000002</v>
      </c>
      <c r="H33" s="148">
        <f>'680 nm (Bubble) Outlier'!H48</f>
        <v>0.64300000000000002</v>
      </c>
      <c r="I33" s="148">
        <f>'680 nm (Bubble) Outlier'!I48</f>
        <v>0.64600000000000002</v>
      </c>
      <c r="J33" s="148">
        <f>'680 nm (Bubble) Outlier'!J48</f>
        <v>0.64300000000000002</v>
      </c>
      <c r="K33" s="148">
        <f>'680 nm (Bubble) Outlier'!C49</f>
        <v>0.63600000000000001</v>
      </c>
      <c r="L33" s="148">
        <f>'680 nm (Bubble) Outlier'!C50</f>
        <v>0.63700000000000001</v>
      </c>
      <c r="M33" s="148">
        <f>'680 nm (Bubble) Outlier'!C51</f>
        <v>0.629</v>
      </c>
      <c r="N33" s="148">
        <f>'680 nm (Bubble) Outlier'!C52</f>
        <v>0.63500000000000001</v>
      </c>
      <c r="O33" s="148">
        <f>'680 nm (Bubble) Outlier'!C53</f>
        <v>0.64</v>
      </c>
      <c r="P33" s="148">
        <f>'680 nm (Bubble) Outlier'!C54</f>
        <v>0.63900000000000001</v>
      </c>
      <c r="Q33" s="148">
        <f>'680 nm (Bubble) Outlier'!C55</f>
        <v>0.63700000000000001</v>
      </c>
      <c r="S33" s="501">
        <f>_xlfn.QUARTILE.EXC(B33:B40,1)</f>
        <v>7.0500000000000007E-2</v>
      </c>
      <c r="T33" s="501">
        <f>_xlfn.QUARTILE.EXC(B33:B40,2)</f>
        <v>7.1999999999999995E-2</v>
      </c>
      <c r="U33" s="501">
        <f>_xlfn.QUARTILE.EXC(B33:B40,3)</f>
        <v>7.2749999999999995E-2</v>
      </c>
      <c r="V33" s="512">
        <f>U33-S33</f>
        <v>2.2499999999999881E-3</v>
      </c>
      <c r="W33" s="513">
        <f>U33+1.5*V33</f>
        <v>7.612499999999997E-2</v>
      </c>
      <c r="X33" s="514">
        <f>S33-1.5*V33</f>
        <v>6.7125000000000018E-2</v>
      </c>
      <c r="Z33" s="503" t="s">
        <v>0</v>
      </c>
      <c r="AA33" s="147">
        <f>IF(B33&gt;$W$33,"",IF(B33&lt;$X$33,"",B33))</f>
        <v>7.0000000000000007E-2</v>
      </c>
      <c r="AB33" s="148">
        <f>IF(C33&gt;$W$37,"",IF(C33&lt;$X$37,"",C33))</f>
        <v>0.63200000000000001</v>
      </c>
      <c r="AC33" s="148">
        <f t="shared" ref="AC33:AI33" si="6">IF(D33&gt;$W$37,"",IF(D33&lt;$X$37,"",D33))</f>
        <v>0.63700000000000001</v>
      </c>
      <c r="AD33" s="148" t="str">
        <f t="shared" si="6"/>
        <v/>
      </c>
      <c r="AE33" s="148">
        <f t="shared" si="6"/>
        <v>0.64300000000000002</v>
      </c>
      <c r="AF33" s="148">
        <f t="shared" si="6"/>
        <v>0.64300000000000002</v>
      </c>
      <c r="AG33" s="148">
        <f t="shared" si="6"/>
        <v>0.64300000000000002</v>
      </c>
      <c r="AH33" s="148">
        <f t="shared" si="6"/>
        <v>0.64600000000000002</v>
      </c>
      <c r="AI33" s="148">
        <f t="shared" si="6"/>
        <v>0.64300000000000002</v>
      </c>
      <c r="AJ33" s="515"/>
      <c r="AK33" s="515"/>
      <c r="AL33" s="515"/>
      <c r="AN33" s="154"/>
      <c r="AO33" s="500"/>
    </row>
    <row r="34" spans="1:42" x14ac:dyDescent="0.35">
      <c r="A34" s="503" t="str">
        <f>'680 nm (Bubble) Outlier'!A49</f>
        <v>B</v>
      </c>
      <c r="B34" s="147">
        <f>'680 nm (Bubble) Outlier'!B49</f>
        <v>7.2999999999999995E-2</v>
      </c>
      <c r="D34" s="160"/>
      <c r="E34" s="160"/>
      <c r="F34" s="160"/>
      <c r="G34" s="160"/>
      <c r="H34" s="160"/>
      <c r="I34" s="160"/>
      <c r="J34" s="160"/>
      <c r="K34" s="160"/>
      <c r="L34" s="160"/>
      <c r="M34" s="160"/>
      <c r="Z34" s="503" t="s">
        <v>1</v>
      </c>
      <c r="AA34" s="147">
        <f t="shared" ref="AA34:AA40" si="7">IF(B34&gt;$W$33,"",IF(B34&lt;$X$33,"",B34))</f>
        <v>7.2999999999999995E-2</v>
      </c>
      <c r="AB34" s="148">
        <f>IF(K33&gt;$W$37,"",IF(K33&lt;$X$37,"",K33))</f>
        <v>0.63600000000000001</v>
      </c>
      <c r="AC34" s="515"/>
      <c r="AD34" s="515"/>
      <c r="AE34" s="515"/>
      <c r="AF34" s="515"/>
      <c r="AG34" s="515"/>
      <c r="AH34" s="515"/>
      <c r="AI34" s="515"/>
      <c r="AJ34" s="515"/>
      <c r="AK34" s="515"/>
      <c r="AL34" s="515"/>
      <c r="AN34" s="596" t="s">
        <v>139</v>
      </c>
      <c r="AO34" s="576"/>
      <c r="AP34" s="597"/>
    </row>
    <row r="35" spans="1:42" ht="15" thickBot="1" x14ac:dyDescent="0.4">
      <c r="A35" s="503" t="str">
        <f>'680 nm (Bubble) Outlier'!A50</f>
        <v>C</v>
      </c>
      <c r="B35" s="147">
        <f>'680 nm (Bubble) Outlier'!B50</f>
        <v>7.1999999999999995E-2</v>
      </c>
      <c r="D35" s="160"/>
      <c r="E35" s="160"/>
      <c r="F35" s="160"/>
      <c r="G35" s="160"/>
      <c r="H35" s="160"/>
      <c r="I35" s="160"/>
      <c r="J35" s="160"/>
      <c r="K35" s="160"/>
      <c r="L35" s="160"/>
      <c r="M35" s="160"/>
      <c r="S35" s="500" t="s">
        <v>9</v>
      </c>
      <c r="Z35" s="503" t="s">
        <v>2</v>
      </c>
      <c r="AA35" s="147">
        <f t="shared" si="7"/>
        <v>7.1999999999999995E-2</v>
      </c>
      <c r="AB35" s="148">
        <f>IF(L33&gt;$W$37,"",IF(L33&lt;$X$37,"",L33))</f>
        <v>0.63700000000000001</v>
      </c>
      <c r="AC35" s="515"/>
      <c r="AD35" s="515"/>
      <c r="AE35" s="515"/>
      <c r="AF35" s="515"/>
      <c r="AG35" s="515"/>
      <c r="AH35" s="515"/>
      <c r="AI35" s="515"/>
      <c r="AJ35" s="515"/>
      <c r="AK35" s="515"/>
      <c r="AL35" s="515"/>
      <c r="AN35" s="149" t="s">
        <v>54</v>
      </c>
      <c r="AO35" s="150">
        <f>COUNT(AB33:AB40,AC33:AI33)</f>
        <v>14</v>
      </c>
      <c r="AP35" s="501" t="str">
        <f>IF(AO35&lt;12,"Fail","Pass")</f>
        <v>Pass</v>
      </c>
    </row>
    <row r="36" spans="1:42" x14ac:dyDescent="0.35">
      <c r="A36" s="503" t="str">
        <f>'680 nm (Bubble) Outlier'!A51</f>
        <v>D</v>
      </c>
      <c r="B36" s="147">
        <f>'680 nm (Bubble) Outlier'!B51</f>
        <v>7.0000000000000007E-2</v>
      </c>
      <c r="D36" s="160"/>
      <c r="E36" s="160"/>
      <c r="F36" s="160"/>
      <c r="G36" s="160"/>
      <c r="H36" s="160"/>
      <c r="I36" s="160"/>
      <c r="J36" s="160"/>
      <c r="K36" s="160"/>
      <c r="L36" s="160"/>
      <c r="M36" s="160"/>
      <c r="S36" s="504" t="s">
        <v>214</v>
      </c>
      <c r="T36" s="505" t="s">
        <v>215</v>
      </c>
      <c r="U36" s="505" t="s">
        <v>216</v>
      </c>
      <c r="V36" s="506" t="s">
        <v>217</v>
      </c>
      <c r="W36" s="507" t="s">
        <v>84</v>
      </c>
      <c r="X36" s="508" t="s">
        <v>85</v>
      </c>
      <c r="Z36" s="503" t="s">
        <v>3</v>
      </c>
      <c r="AA36" s="147">
        <f t="shared" si="7"/>
        <v>7.0000000000000007E-2</v>
      </c>
      <c r="AB36" s="148">
        <f>IF(M33&gt;$W$37,"",IF(M33&lt;$X$37,"",M33))</f>
        <v>0.629</v>
      </c>
      <c r="AC36" s="515"/>
      <c r="AD36" s="515"/>
      <c r="AE36" s="515"/>
      <c r="AF36" s="515"/>
      <c r="AG36" s="515"/>
      <c r="AH36" s="515"/>
      <c r="AI36" s="515"/>
      <c r="AJ36" s="515"/>
      <c r="AK36" s="515"/>
      <c r="AL36" s="515"/>
    </row>
    <row r="37" spans="1:42" ht="15" thickBot="1" x14ac:dyDescent="0.4">
      <c r="A37" s="503" t="str">
        <f>'680 nm (Bubble) Outlier'!A52</f>
        <v>E</v>
      </c>
      <c r="B37" s="147">
        <f>'680 nm (Bubble) Outlier'!B52</f>
        <v>7.1999999999999995E-2</v>
      </c>
      <c r="D37" s="160"/>
      <c r="E37" s="160"/>
      <c r="F37" s="160"/>
      <c r="G37" s="160"/>
      <c r="H37" s="160"/>
      <c r="I37" s="160"/>
      <c r="J37" s="160"/>
      <c r="K37" s="160"/>
      <c r="L37" s="160"/>
      <c r="M37" s="160"/>
      <c r="S37" s="501">
        <f>_xlfn.QUARTILE.EXC(C33:Q33,1)</f>
        <v>0.63600000000000001</v>
      </c>
      <c r="T37" s="501">
        <f>_xlfn.QUARTILE.EXC(C33:Q33,2)</f>
        <v>0.63900000000000001</v>
      </c>
      <c r="U37" s="501">
        <f>_xlfn.QUARTILE.EXC(C33:Q33,3)</f>
        <v>0.64300000000000002</v>
      </c>
      <c r="V37" s="512">
        <f>U37-S37</f>
        <v>7.0000000000000062E-3</v>
      </c>
      <c r="W37" s="513">
        <f>U37+1.5*V37</f>
        <v>0.65349999999999997</v>
      </c>
      <c r="X37" s="514">
        <f>S37-1.5*V37</f>
        <v>0.62549999999999994</v>
      </c>
      <c r="Z37" s="503" t="s">
        <v>4</v>
      </c>
      <c r="AA37" s="147">
        <f t="shared" si="7"/>
        <v>7.1999999999999995E-2</v>
      </c>
      <c r="AB37" s="148">
        <f>IF(N33&gt;$W$37,"",IF(N33&lt;$X$37,"",N33))</f>
        <v>0.63500000000000001</v>
      </c>
      <c r="AC37" s="515"/>
      <c r="AD37" s="515"/>
      <c r="AE37" s="515"/>
      <c r="AF37" s="515"/>
      <c r="AG37" s="515"/>
      <c r="AH37" s="515"/>
      <c r="AI37" s="515"/>
      <c r="AJ37" s="515"/>
      <c r="AK37" s="515"/>
      <c r="AL37" s="515"/>
    </row>
    <row r="38" spans="1:42" x14ac:dyDescent="0.35">
      <c r="A38" s="503" t="str">
        <f>'680 nm (Bubble) Outlier'!A53</f>
        <v>F</v>
      </c>
      <c r="B38" s="147">
        <f>'680 nm (Bubble) Outlier'!B53</f>
        <v>7.2999999999999995E-2</v>
      </c>
      <c r="D38" s="160"/>
      <c r="E38" s="160"/>
      <c r="F38" s="160"/>
      <c r="G38" s="160"/>
      <c r="H38" s="160"/>
      <c r="I38" s="160"/>
      <c r="J38" s="160"/>
      <c r="K38" s="160"/>
      <c r="L38" s="160"/>
      <c r="M38" s="160"/>
      <c r="Z38" s="503" t="s">
        <v>5</v>
      </c>
      <c r="AA38" s="147">
        <f t="shared" si="7"/>
        <v>7.2999999999999995E-2</v>
      </c>
      <c r="AB38" s="148">
        <f>IF(O33&gt;$W$37,"",IF(O33&lt;$X$37,"",O33))</f>
        <v>0.64</v>
      </c>
      <c r="AC38" s="515"/>
      <c r="AD38" s="515"/>
      <c r="AE38" s="515"/>
      <c r="AF38" s="515"/>
      <c r="AG38" s="515"/>
      <c r="AH38" s="515"/>
      <c r="AI38" s="515"/>
      <c r="AJ38" s="515"/>
      <c r="AK38" s="515"/>
      <c r="AL38" s="515"/>
    </row>
    <row r="39" spans="1:42" x14ac:dyDescent="0.35">
      <c r="A39" s="503" t="str">
        <f>'680 nm (Bubble) Outlier'!A54</f>
        <v>G</v>
      </c>
      <c r="B39" s="147">
        <f>'680 nm (Bubble) Outlier'!B54</f>
        <v>7.1999999999999995E-2</v>
      </c>
      <c r="D39" s="160"/>
      <c r="E39" s="160"/>
      <c r="F39" s="160"/>
      <c r="G39" s="160"/>
      <c r="H39" s="160"/>
      <c r="I39" s="160"/>
      <c r="J39" s="160"/>
      <c r="K39" s="160"/>
      <c r="L39" s="160"/>
      <c r="M39" s="160"/>
      <c r="Z39" s="503" t="s">
        <v>6</v>
      </c>
      <c r="AA39" s="147">
        <f t="shared" si="7"/>
        <v>7.1999999999999995E-2</v>
      </c>
      <c r="AB39" s="148">
        <f>IF(P33&gt;$W$37,"",IF(P33&lt;$X$37,"",P33))</f>
        <v>0.63900000000000001</v>
      </c>
      <c r="AC39" s="515"/>
      <c r="AD39" s="515"/>
      <c r="AE39" s="515"/>
      <c r="AF39" s="515"/>
      <c r="AG39" s="515"/>
      <c r="AH39" s="515"/>
      <c r="AI39" s="515"/>
      <c r="AJ39" s="515"/>
      <c r="AK39" s="515"/>
      <c r="AL39" s="515"/>
    </row>
    <row r="40" spans="1:42" x14ac:dyDescent="0.35">
      <c r="A40" s="503" t="str">
        <f>'680 nm (Bubble) Outlier'!A55</f>
        <v>H</v>
      </c>
      <c r="B40" s="147">
        <f>'680 nm (Bubble) Outlier'!B55</f>
        <v>7.1999999999999995E-2</v>
      </c>
      <c r="D40" s="160"/>
      <c r="E40" s="160"/>
      <c r="F40" s="160"/>
      <c r="G40" s="160"/>
      <c r="H40" s="160"/>
      <c r="I40" s="160"/>
      <c r="J40" s="160"/>
      <c r="K40" s="160"/>
      <c r="L40" s="160"/>
      <c r="M40" s="160"/>
      <c r="Z40" s="503" t="s">
        <v>7</v>
      </c>
      <c r="AA40" s="147">
        <f t="shared" si="7"/>
        <v>7.1999999999999995E-2</v>
      </c>
      <c r="AB40" s="148">
        <f>IF(Q33&gt;$W$37,"",IF(Q33&lt;$X$37,"",Q33))</f>
        <v>0.63700000000000001</v>
      </c>
      <c r="AC40" s="515"/>
      <c r="AD40" s="515"/>
      <c r="AE40" s="515"/>
      <c r="AF40" s="515"/>
      <c r="AG40" s="515"/>
      <c r="AH40" s="515"/>
      <c r="AI40" s="515"/>
      <c r="AJ40" s="515"/>
      <c r="AK40" s="515"/>
      <c r="AL40" s="515"/>
    </row>
  </sheetData>
  <sheetProtection algorithmName="SHA-512" hashValue="cDUaAxCvyXG4mIiANYdlzPcIVT4KhEHYKbSOFBDGwUz+GeJ+zL4Ume6dvMwaICJI7D6AiaZxhscguDe6dx793A==" saltValue="LZC++GopGbi2gIzU4eYlcg==" spinCount="100000" sheet="1" objects="1" scenarios="1"/>
  <mergeCells count="2">
    <mergeCell ref="AN31:AP31"/>
    <mergeCell ref="AN34:AP34"/>
  </mergeCells>
  <conditionalFormatting sqref="AP32">
    <cfRule type="containsText" dxfId="290" priority="23" operator="containsText" text="Pass">
      <formula>NOT(ISERROR(SEARCH("Pass",AP32)))</formula>
    </cfRule>
    <cfRule type="containsText" dxfId="289" priority="24" operator="containsText" text="Fail">
      <formula>NOT(ISERROR(SEARCH("Fail",AP32)))</formula>
    </cfRule>
  </conditionalFormatting>
  <conditionalFormatting sqref="AP35">
    <cfRule type="containsText" dxfId="288" priority="21" operator="containsText" text="Pass">
      <formula>NOT(ISERROR(SEARCH("Pass",AP35)))</formula>
    </cfRule>
    <cfRule type="containsText" dxfId="287" priority="22" operator="containsText" text="Fail">
      <formula>NOT(ISERROR(SEARCH("Fail",AP35)))</formula>
    </cfRule>
  </conditionalFormatting>
  <conditionalFormatting sqref="AA3:AB10 AC3:AI3">
    <cfRule type="containsBlanks" dxfId="286" priority="20">
      <formula>LEN(TRIM(AA3))=0</formula>
    </cfRule>
  </conditionalFormatting>
  <conditionalFormatting sqref="AA13:AB20 AC13:AI13 AA23:AB30 AC23:AI23 AA33:AB40 AC33:AI33">
    <cfRule type="containsBlanks" dxfId="285" priority="19">
      <formula>LEN(TRIM(AA13))=0</formula>
    </cfRule>
  </conditionalFormatting>
  <conditionalFormatting sqref="C33:Q33">
    <cfRule type="cellIs" dxfId="284" priority="17" operator="lessThan">
      <formula>$X$37</formula>
    </cfRule>
    <cfRule type="cellIs" dxfId="283" priority="18" operator="greaterThan">
      <formula>$W$37</formula>
    </cfRule>
  </conditionalFormatting>
  <conditionalFormatting sqref="B33:B40">
    <cfRule type="cellIs" dxfId="282" priority="15" operator="lessThan">
      <formula>$X$33</formula>
    </cfRule>
    <cfRule type="cellIs" dxfId="281" priority="16" operator="greaterThan">
      <formula>$W$33</formula>
    </cfRule>
  </conditionalFormatting>
  <conditionalFormatting sqref="B23:B30">
    <cfRule type="cellIs" dxfId="280" priority="13" operator="lessThan">
      <formula>$X$23</formula>
    </cfRule>
    <cfRule type="cellIs" dxfId="279" priority="14" operator="greaterThan">
      <formula>$W$23</formula>
    </cfRule>
  </conditionalFormatting>
  <conditionalFormatting sqref="C23:Q23">
    <cfRule type="cellIs" dxfId="278" priority="11" operator="lessThan">
      <formula>$X$27</formula>
    </cfRule>
    <cfRule type="cellIs" dxfId="277" priority="12" operator="greaterThan">
      <formula>$W$27</formula>
    </cfRule>
  </conditionalFormatting>
  <conditionalFormatting sqref="B13:B20">
    <cfRule type="cellIs" dxfId="276" priority="9" operator="lessThan">
      <formula>$X$13</formula>
    </cfRule>
    <cfRule type="cellIs" dxfId="275" priority="10" operator="greaterThan">
      <formula>$W$13</formula>
    </cfRule>
  </conditionalFormatting>
  <conditionalFormatting sqref="C13:Q13">
    <cfRule type="cellIs" dxfId="274" priority="7" operator="lessThan">
      <formula>$X$17</formula>
    </cfRule>
    <cfRule type="cellIs" dxfId="273" priority="8" operator="greaterThan">
      <formula>$W$17</formula>
    </cfRule>
  </conditionalFormatting>
  <conditionalFormatting sqref="B3:B10">
    <cfRule type="cellIs" dxfId="272" priority="5" operator="lessThan">
      <formula>$X$3</formula>
    </cfRule>
    <cfRule type="cellIs" dxfId="271" priority="6" operator="greaterThan">
      <formula>$W$3</formula>
    </cfRule>
  </conditionalFormatting>
  <conditionalFormatting sqref="C3:Q3">
    <cfRule type="cellIs" dxfId="270" priority="1" operator="lessThan">
      <formula>$X$7</formula>
    </cfRule>
    <cfRule type="cellIs" dxfId="269" priority="2" operator="greaterThan">
      <formula>$W$7</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D42"/>
  <sheetViews>
    <sheetView topLeftCell="N1" zoomScale="80" zoomScaleNormal="80" workbookViewId="0">
      <selection activeCell="X2" sqref="X2"/>
    </sheetView>
  </sheetViews>
  <sheetFormatPr defaultColWidth="8.90625" defaultRowHeight="14.5" x14ac:dyDescent="0.35"/>
  <cols>
    <col min="1" max="1" width="8.90625" style="160"/>
    <col min="2" max="2" width="10.54296875" style="160" customWidth="1"/>
    <col min="3" max="3" width="2.6328125" style="160" customWidth="1"/>
    <col min="4" max="4" width="2.453125" style="160" customWidth="1"/>
    <col min="5" max="5" width="2.1796875" style="160" customWidth="1"/>
    <col min="6" max="6" width="1.81640625" style="160" customWidth="1"/>
    <col min="7" max="7" width="1.90625" style="160" customWidth="1"/>
    <col min="8" max="9" width="1.81640625" style="160" customWidth="1"/>
    <col min="10" max="10" width="1.90625" style="160" customWidth="1"/>
    <col min="11" max="13" width="10.6328125" style="160" customWidth="1"/>
    <col min="14" max="14" width="17.36328125" style="159" customWidth="1"/>
    <col min="15" max="15" width="39" style="159" customWidth="1"/>
    <col min="16" max="17" width="10.90625" style="159" customWidth="1"/>
    <col min="18" max="18" width="31.81640625" style="159" bestFit="1" customWidth="1"/>
    <col min="19" max="19" width="1.90625" style="159" customWidth="1"/>
    <col min="20" max="20" width="15.54296875" style="160" bestFit="1" customWidth="1"/>
    <col min="21" max="21" width="12" style="160" customWidth="1"/>
    <col min="22" max="22" width="14.08984375" style="160" customWidth="1"/>
    <col min="23" max="23" width="2.36328125" style="160" customWidth="1"/>
    <col min="24" max="24" width="58.08984375" style="160" customWidth="1"/>
    <col min="25" max="25" width="38.1796875" style="159" customWidth="1"/>
    <col min="26" max="16384" width="8.90625" style="159"/>
  </cols>
  <sheetData>
    <row r="1" spans="1:30" x14ac:dyDescent="0.35">
      <c r="A1" s="609" t="s">
        <v>125</v>
      </c>
      <c r="B1" s="610"/>
      <c r="C1" s="610"/>
      <c r="D1" s="610"/>
      <c r="E1" s="610"/>
      <c r="F1" s="610"/>
      <c r="G1" s="610"/>
      <c r="H1" s="610"/>
      <c r="I1" s="610"/>
      <c r="J1" s="610"/>
      <c r="K1" s="610"/>
      <c r="L1" s="610"/>
      <c r="M1" s="610"/>
      <c r="N1" s="610"/>
      <c r="O1" s="610"/>
      <c r="P1" s="610"/>
      <c r="Q1" s="610"/>
      <c r="R1" s="610"/>
      <c r="S1" s="610"/>
      <c r="T1" s="610"/>
      <c r="U1" s="610"/>
      <c r="V1" s="610"/>
    </row>
    <row r="2" spans="1:30" ht="15" thickBot="1" x14ac:dyDescent="0.4"/>
    <row r="3" spans="1:30" x14ac:dyDescent="0.35">
      <c r="A3" s="601" t="s">
        <v>68</v>
      </c>
      <c r="B3" s="602"/>
      <c r="C3" s="602"/>
      <c r="D3" s="602"/>
      <c r="E3" s="602"/>
      <c r="F3" s="602"/>
      <c r="G3" s="602"/>
      <c r="H3" s="602"/>
      <c r="I3" s="602"/>
      <c r="J3" s="602"/>
      <c r="K3" s="602"/>
      <c r="L3" s="602"/>
      <c r="M3" s="602"/>
      <c r="N3" s="190" t="s">
        <v>67</v>
      </c>
      <c r="O3" s="190" t="s">
        <v>189</v>
      </c>
      <c r="P3" s="603" t="s">
        <v>76</v>
      </c>
      <c r="Q3" s="604"/>
      <c r="R3" s="605"/>
      <c r="S3" s="218"/>
      <c r="T3" s="606" t="s">
        <v>77</v>
      </c>
      <c r="U3" s="607"/>
      <c r="V3" s="608"/>
      <c r="W3" s="195"/>
      <c r="X3" s="218"/>
      <c r="Y3" s="218"/>
    </row>
    <row r="4" spans="1:30" ht="15" thickBot="1" x14ac:dyDescent="0.4">
      <c r="A4" s="144" t="str">
        <f>'680 nm (Bubble) Outlier'!A17</f>
        <v>5 min</v>
      </c>
      <c r="B4" s="144">
        <f>'680 nm (Bubble) Outlier'!B17</f>
        <v>1</v>
      </c>
      <c r="C4" s="144">
        <f>'680 nm (Bubble) Outlier'!C17</f>
        <v>2</v>
      </c>
      <c r="D4" s="144">
        <f>'680 nm (Bubble) Outlier'!D17</f>
        <v>3</v>
      </c>
      <c r="E4" s="144">
        <f>'680 nm (Bubble) Outlier'!E17</f>
        <v>4</v>
      </c>
      <c r="F4" s="144">
        <f>'680 nm (Bubble) Outlier'!F17</f>
        <v>5</v>
      </c>
      <c r="G4" s="144">
        <f>'680 nm (Bubble) Outlier'!G17</f>
        <v>6</v>
      </c>
      <c r="H4" s="144">
        <f>'680 nm (Bubble) Outlier'!H17</f>
        <v>7</v>
      </c>
      <c r="I4" s="144">
        <f>'680 nm (Bubble) Outlier'!I17</f>
        <v>8</v>
      </c>
      <c r="J4" s="144">
        <f>'680 nm (Bubble) Outlier'!J17</f>
        <v>9</v>
      </c>
      <c r="K4" s="144">
        <f>'680 nm (Bubble) Outlier'!K17</f>
        <v>10</v>
      </c>
      <c r="L4" s="144">
        <f>'680 nm (Bubble) Outlier'!L17</f>
        <v>11</v>
      </c>
      <c r="M4" s="144">
        <f>'680 nm (Bubble) Outlier'!M17</f>
        <v>12</v>
      </c>
      <c r="P4" s="327" t="s">
        <v>20</v>
      </c>
      <c r="Q4" s="161" t="s">
        <v>13</v>
      </c>
      <c r="R4" s="328" t="s">
        <v>75</v>
      </c>
      <c r="T4" s="460"/>
      <c r="U4" s="461"/>
      <c r="V4" s="462"/>
    </row>
    <row r="5" spans="1:30" x14ac:dyDescent="0.35">
      <c r="A5" s="144" t="str">
        <f>'680 nm (Bubble) Outlier'!A18</f>
        <v>A</v>
      </c>
      <c r="B5" s="147">
        <f>'Quartiles Outlier Blank-NC'!AA3</f>
        <v>7.0999999999999994E-2</v>
      </c>
      <c r="C5" s="148">
        <f>'680 nm (Bubble) Outlier'!C18</f>
        <v>0.63700000000000001</v>
      </c>
      <c r="D5" s="148">
        <f>'680 nm (Bubble) Outlier'!D18</f>
        <v>0.64300000000000002</v>
      </c>
      <c r="E5" s="148">
        <f>'680 nm (Bubble) Outlier'!E18</f>
        <v>0.65900000000000003</v>
      </c>
      <c r="F5" s="148">
        <f>'680 nm (Bubble) Outlier'!F18</f>
        <v>0.65200000000000002</v>
      </c>
      <c r="G5" s="148">
        <f>'680 nm (Bubble) Outlier'!G18</f>
        <v>0.65100000000000002</v>
      </c>
      <c r="H5" s="148">
        <f>'680 nm (Bubble) Outlier'!H18</f>
        <v>0.65</v>
      </c>
      <c r="I5" s="148">
        <f>'680 nm (Bubble) Outlier'!I18</f>
        <v>0.65500000000000003</v>
      </c>
      <c r="J5" s="148">
        <f>'680 nm (Bubble) Outlier'!J18</f>
        <v>0.65100000000000002</v>
      </c>
      <c r="K5" s="148"/>
      <c r="L5" s="148"/>
      <c r="M5" s="148"/>
      <c r="N5" s="159" t="str">
        <f>'680 nm (Bubble) Outlier'!N18</f>
        <v>read:412 Read#1</v>
      </c>
      <c r="O5" s="224" t="s">
        <v>58</v>
      </c>
      <c r="P5" s="329">
        <f>AVERAGE(B5:B12)</f>
        <v>7.1833333333333332E-2</v>
      </c>
      <c r="Q5" s="222">
        <f>STDEV(B5:B12)</f>
        <v>4.0824829046386341E-4</v>
      </c>
      <c r="R5" s="330">
        <f>P5-Q5</f>
        <v>7.1425085042869471E-2</v>
      </c>
      <c r="T5" s="327" t="s">
        <v>80</v>
      </c>
      <c r="U5" s="161" t="s">
        <v>74</v>
      </c>
      <c r="V5" s="336" t="s">
        <v>79</v>
      </c>
      <c r="W5" s="326"/>
      <c r="X5" s="342" t="s">
        <v>202</v>
      </c>
      <c r="Z5" s="160"/>
      <c r="AA5" s="163"/>
      <c r="AB5" s="163"/>
      <c r="AC5" s="160"/>
    </row>
    <row r="6" spans="1:30" x14ac:dyDescent="0.35">
      <c r="A6" s="144" t="str">
        <f>'680 nm (Bubble) Outlier'!A19</f>
        <v>B</v>
      </c>
      <c r="B6" s="147" t="str">
        <f>'Quartiles Outlier Blank-NC'!AA4</f>
        <v/>
      </c>
      <c r="C6" s="148">
        <f>'680 nm (Bubble) Outlier'!C19</f>
        <v>0.64300000000000002</v>
      </c>
      <c r="D6" s="151">
        <f>'680 nm (Bubble) Outlier'!D19</f>
        <v>0.315</v>
      </c>
      <c r="E6" s="151">
        <f>'680 nm (Bubble) Outlier'!E19</f>
        <v>0.35299999999999998</v>
      </c>
      <c r="F6" s="151">
        <f>'680 nm (Bubble) Outlier'!F19</f>
        <v>0.32500000000000001</v>
      </c>
      <c r="G6" s="152">
        <f>'680 nm (Bubble) Outlier'!G19</f>
        <v>0.63</v>
      </c>
      <c r="H6" s="152">
        <f>'680 nm (Bubble) Outlier'!H19</f>
        <v>0.63600000000000001</v>
      </c>
      <c r="I6" s="152">
        <f>'680 nm (Bubble) Outlier'!I19</f>
        <v>0.64</v>
      </c>
      <c r="J6" s="152">
        <f>'680 nm (Bubble) Outlier'!J19</f>
        <v>0.63100000000000001</v>
      </c>
      <c r="K6" s="152">
        <f>'680 nm (Bubble) Outlier'!K19</f>
        <v>7.2999999999999995E-2</v>
      </c>
      <c r="L6" s="152">
        <f>'680 nm (Bubble) Outlier'!L19</f>
        <v>7.1999999999999995E-2</v>
      </c>
      <c r="M6" s="152">
        <f>'680 nm (Bubble) Outlier'!M19</f>
        <v>7.2999999999999995E-2</v>
      </c>
      <c r="N6" s="159" t="str">
        <f>'680 nm (Bubble) Outlier'!N19</f>
        <v>read:412 Read#1</v>
      </c>
      <c r="O6" s="15" t="str">
        <f>'Raw Data'!$O$3</f>
        <v>Tri-n-octylphospine oxide</v>
      </c>
      <c r="P6" s="331">
        <f>AVERAGE(K6:M6)</f>
        <v>7.2666666666666657E-2</v>
      </c>
      <c r="Q6" s="223">
        <f>STDEV(K6:M6)</f>
        <v>5.7735026918962634E-4</v>
      </c>
      <c r="R6" s="332">
        <f>P6+Q6</f>
        <v>7.324401693585629E-2</v>
      </c>
      <c r="S6"/>
      <c r="T6" s="329">
        <f>COUNTIF('Study Information'!$C$11:$C$17,"*")</f>
        <v>7</v>
      </c>
      <c r="U6" s="153">
        <f t="shared" ref="U6:U12" si="0">_xlfn.T.TEST($B$5:$B$12,K6:M6,1,2)</f>
        <v>1.9166864418016225E-2</v>
      </c>
      <c r="V6" s="337">
        <f>0.05/T6</f>
        <v>7.1428571428571435E-3</v>
      </c>
      <c r="W6" s="341"/>
      <c r="X6" s="343" t="str">
        <f t="shared" ref="X6:X12" si="1">IF(R6&lt;$R$5,"Potential Interference, reading below NC/PC Blank",IF(U6&lt;V6,"Interference Detected","No Interference Detected"))</f>
        <v>No Interference Detected</v>
      </c>
      <c r="Y6" s="457" t="str">
        <f t="shared" ref="Y6:Y12" si="2">O6</f>
        <v>Tri-n-octylphospine oxide</v>
      </c>
      <c r="AA6" s="163"/>
      <c r="AB6" s="163"/>
    </row>
    <row r="7" spans="1:30" x14ac:dyDescent="0.35">
      <c r="A7" s="144" t="str">
        <f>'680 nm (Bubble) Outlier'!A20</f>
        <v>C</v>
      </c>
      <c r="B7" s="147">
        <f>'Quartiles Outlier Blank-NC'!AA5</f>
        <v>7.1999999999999995E-2</v>
      </c>
      <c r="C7" s="148">
        <f>'680 nm (Bubble) Outlier'!C20</f>
        <v>0.64400000000000002</v>
      </c>
      <c r="D7" s="151">
        <f>'680 nm (Bubble) Outlier'!D20</f>
        <v>0.439</v>
      </c>
      <c r="E7" s="151">
        <f>'680 nm (Bubble) Outlier'!E20</f>
        <v>0.47499999999999998</v>
      </c>
      <c r="F7" s="151">
        <f>'680 nm (Bubble) Outlier'!F20</f>
        <v>0.45400000000000001</v>
      </c>
      <c r="G7" s="155">
        <f>'680 nm (Bubble) Outlier'!G20</f>
        <v>0.63700000000000001</v>
      </c>
      <c r="H7" s="155">
        <f>'680 nm (Bubble) Outlier'!H20</f>
        <v>0.63700000000000001</v>
      </c>
      <c r="I7" s="155">
        <f>'680 nm (Bubble) Outlier'!I20</f>
        <v>0.64200000000000002</v>
      </c>
      <c r="J7" s="155">
        <f>'680 nm (Bubble) Outlier'!J20</f>
        <v>0.64300000000000002</v>
      </c>
      <c r="K7" s="155">
        <f>'680 nm (Bubble) Outlier'!K20</f>
        <v>7.0999999999999994E-2</v>
      </c>
      <c r="L7" s="155">
        <f>'680 nm (Bubble) Outlier'!L20</f>
        <v>7.1999999999999995E-2</v>
      </c>
      <c r="M7" s="155">
        <f>'680 nm (Bubble) Outlier'!M20</f>
        <v>7.1999999999999995E-2</v>
      </c>
      <c r="N7" s="159" t="str">
        <f>'680 nm (Bubble) Outlier'!N20</f>
        <v>read:412 Read#1</v>
      </c>
      <c r="O7" s="15" t="str">
        <f>'Raw Data'!$O$4</f>
        <v>Dicyclohexylcarbodiimide</v>
      </c>
      <c r="P7" s="331">
        <f>AVERAGE(K7:M7)</f>
        <v>7.1666666666666656E-2</v>
      </c>
      <c r="Q7" s="223">
        <f t="shared" ref="Q7:Q12" si="3">STDEV(K7:M7)</f>
        <v>5.7735026918962634E-4</v>
      </c>
      <c r="R7" s="332">
        <f t="shared" ref="R7:R12" si="4">P7+Q7</f>
        <v>7.2244016935856289E-2</v>
      </c>
      <c r="S7"/>
      <c r="T7" s="329">
        <f>COUNTIF('Study Information'!$C$11:$C$17,"*")</f>
        <v>7</v>
      </c>
      <c r="U7" s="153">
        <f t="shared" si="0"/>
        <v>0.31314163302429565</v>
      </c>
      <c r="V7" s="337">
        <f t="shared" ref="V7:V12" si="5">0.05/T7</f>
        <v>7.1428571428571435E-3</v>
      </c>
      <c r="W7" s="341"/>
      <c r="X7" s="343" t="str">
        <f t="shared" si="1"/>
        <v>No Interference Detected</v>
      </c>
      <c r="Y7" s="457" t="str">
        <f t="shared" si="2"/>
        <v>Dicyclohexylcarbodiimide</v>
      </c>
      <c r="AA7" s="163"/>
      <c r="AB7" s="163"/>
    </row>
    <row r="8" spans="1:30" x14ac:dyDescent="0.35">
      <c r="A8" s="144" t="str">
        <f>'680 nm (Bubble) Outlier'!A21</f>
        <v>D</v>
      </c>
      <c r="B8" s="147" t="str">
        <f>'Quartiles Outlier Blank-NC'!AA6</f>
        <v/>
      </c>
      <c r="C8" s="148">
        <f>'680 nm (Bubble) Outlier'!C21</f>
        <v>0.63500000000000001</v>
      </c>
      <c r="D8" s="151">
        <f>'680 nm (Bubble) Outlier'!D21</f>
        <v>0.52600000000000002</v>
      </c>
      <c r="E8" s="151">
        <f>'680 nm (Bubble) Outlier'!E21</f>
        <v>0.55100000000000005</v>
      </c>
      <c r="F8" s="151">
        <f>'680 nm (Bubble) Outlier'!F21</f>
        <v>0.53600000000000003</v>
      </c>
      <c r="G8" s="144">
        <f>'680 nm (Bubble) Outlier'!G21</f>
        <v>0.64500000000000002</v>
      </c>
      <c r="H8" s="144">
        <f>'680 nm (Bubble) Outlier'!H21</f>
        <v>0.64600000000000002</v>
      </c>
      <c r="I8" s="144">
        <f>'680 nm (Bubble) Outlier'!I21</f>
        <v>0.64700000000000002</v>
      </c>
      <c r="J8" s="144">
        <f>'680 nm (Bubble) Outlier'!J21</f>
        <v>0.64400000000000002</v>
      </c>
      <c r="K8" s="144">
        <f>'680 nm (Bubble) Outlier'!K21</f>
        <v>7.5999999999999998E-2</v>
      </c>
      <c r="L8" s="144">
        <f>'680 nm (Bubble) Outlier'!L21</f>
        <v>7.1999999999999995E-2</v>
      </c>
      <c r="M8" s="144">
        <f>'680 nm (Bubble) Outlier'!M21</f>
        <v>7.1999999999999995E-2</v>
      </c>
      <c r="N8" s="159" t="str">
        <f>'680 nm (Bubble) Outlier'!N21</f>
        <v>read:412 Read#1</v>
      </c>
      <c r="O8" s="15" t="str">
        <f>'Raw Data'!$O$5</f>
        <v>Triethanolamine</v>
      </c>
      <c r="P8" s="331">
        <f t="shared" ref="P8:P12" si="6">AVERAGE(K8:M8)</f>
        <v>7.333333333333332E-2</v>
      </c>
      <c r="Q8" s="223">
        <f t="shared" si="3"/>
        <v>2.3094010767585054E-3</v>
      </c>
      <c r="R8" s="332">
        <f t="shared" si="4"/>
        <v>7.5642734410091825E-2</v>
      </c>
      <c r="S8"/>
      <c r="T8" s="329">
        <f>COUNTIF('Study Information'!$C$11:$C$17,"*")</f>
        <v>7</v>
      </c>
      <c r="U8" s="153">
        <f t="shared" si="0"/>
        <v>7.09458013507413E-2</v>
      </c>
      <c r="V8" s="337">
        <f t="shared" si="5"/>
        <v>7.1428571428571435E-3</v>
      </c>
      <c r="W8" s="341"/>
      <c r="X8" s="343" t="str">
        <f t="shared" si="1"/>
        <v>No Interference Detected</v>
      </c>
      <c r="Y8" s="457" t="str">
        <f t="shared" si="2"/>
        <v>Triethanolamine</v>
      </c>
      <c r="AA8" s="163"/>
      <c r="AB8" s="163"/>
    </row>
    <row r="9" spans="1:30" x14ac:dyDescent="0.35">
      <c r="A9" s="144" t="str">
        <f>'680 nm (Bubble) Outlier'!A22</f>
        <v>E</v>
      </c>
      <c r="B9" s="147">
        <f>'Quartiles Outlier Blank-NC'!AA7</f>
        <v>7.1999999999999995E-2</v>
      </c>
      <c r="C9" s="148">
        <f>'680 nm (Bubble) Outlier'!C22</f>
        <v>0.64200000000000002</v>
      </c>
      <c r="D9" s="151">
        <f>'680 nm (Bubble) Outlier'!D22</f>
        <v>0.58299999999999996</v>
      </c>
      <c r="E9" s="151">
        <f>'680 nm (Bubble) Outlier'!E22</f>
        <v>0.60299999999999998</v>
      </c>
      <c r="F9" s="151">
        <f>'680 nm (Bubble) Outlier'!F22</f>
        <v>0.59899999999999998</v>
      </c>
      <c r="G9" s="156">
        <f>'680 nm (Bubble) Outlier'!G22</f>
        <v>0.63600000000000001</v>
      </c>
      <c r="H9" s="156">
        <f>'680 nm (Bubble) Outlier'!H22</f>
        <v>0.63800000000000001</v>
      </c>
      <c r="I9" s="156">
        <f>'680 nm (Bubble) Outlier'!I22</f>
        <v>0.64500000000000002</v>
      </c>
      <c r="J9" s="156">
        <f>'680 nm (Bubble) Outlier'!J22</f>
        <v>0.63800000000000001</v>
      </c>
      <c r="K9" s="156">
        <f>'680 nm (Bubble) Outlier'!K22</f>
        <v>7.0999999999999994E-2</v>
      </c>
      <c r="L9" s="156">
        <f>'680 nm (Bubble) Outlier'!L22</f>
        <v>7.2999999999999995E-2</v>
      </c>
      <c r="M9" s="156">
        <f>'680 nm (Bubble) Outlier'!M22</f>
        <v>7.2999999999999995E-2</v>
      </c>
      <c r="N9" s="159" t="str">
        <f>'680 nm (Bubble) Outlier'!N22</f>
        <v>read:412 Read#1</v>
      </c>
      <c r="O9" s="15" t="str">
        <f>'Raw Data'!$O$6</f>
        <v>Pentaerythritol triacrylate</v>
      </c>
      <c r="P9" s="331">
        <f t="shared" si="6"/>
        <v>7.2333333333333319E-2</v>
      </c>
      <c r="Q9" s="223">
        <f t="shared" si="3"/>
        <v>1.1547005383792527E-3</v>
      </c>
      <c r="R9" s="332">
        <f t="shared" si="4"/>
        <v>7.3488033871712571E-2</v>
      </c>
      <c r="S9"/>
      <c r="T9" s="329">
        <f>COUNTIF('Study Information'!$C$11:$C$17,"*")</f>
        <v>7</v>
      </c>
      <c r="U9" s="153">
        <f t="shared" si="0"/>
        <v>0.17530833141010993</v>
      </c>
      <c r="V9" s="337">
        <f t="shared" si="5"/>
        <v>7.1428571428571435E-3</v>
      </c>
      <c r="W9" s="341"/>
      <c r="X9" s="343" t="str">
        <f t="shared" si="1"/>
        <v>No Interference Detected</v>
      </c>
      <c r="Y9" s="457" t="str">
        <f t="shared" si="2"/>
        <v>Pentaerythritol triacrylate</v>
      </c>
      <c r="AA9" s="163"/>
      <c r="AB9" s="163"/>
    </row>
    <row r="10" spans="1:30" x14ac:dyDescent="0.35">
      <c r="A10" s="144" t="str">
        <f>'680 nm (Bubble) Outlier'!A23</f>
        <v>F</v>
      </c>
      <c r="B10" s="147">
        <f>'Quartiles Outlier Blank-NC'!AA8</f>
        <v>7.1999999999999995E-2</v>
      </c>
      <c r="C10" s="148">
        <f>'680 nm (Bubble) Outlier'!C23</f>
        <v>0.64600000000000002</v>
      </c>
      <c r="D10" s="151">
        <f>'680 nm (Bubble) Outlier'!D23</f>
        <v>0.61099999999999999</v>
      </c>
      <c r="E10" s="151">
        <f>'680 nm (Bubble) Outlier'!E23</f>
        <v>0.627</v>
      </c>
      <c r="F10" s="151">
        <f>'680 nm (Bubble) Outlier'!F23</f>
        <v>0.63200000000000001</v>
      </c>
      <c r="G10" s="157">
        <f>'680 nm (Bubble) Outlier'!G23</f>
        <v>0.65</v>
      </c>
      <c r="H10" s="157">
        <f>'680 nm (Bubble) Outlier'!H23</f>
        <v>0.65100000000000002</v>
      </c>
      <c r="I10" s="157">
        <f>'680 nm (Bubble) Outlier'!I23</f>
        <v>0.65400000000000003</v>
      </c>
      <c r="J10" s="157">
        <f>'680 nm (Bubble) Outlier'!J23</f>
        <v>0.64900000000000002</v>
      </c>
      <c r="K10" s="157">
        <f>'680 nm (Bubble) Outlier'!K23</f>
        <v>7.1999999999999995E-2</v>
      </c>
      <c r="L10" s="157">
        <f>'680 nm (Bubble) Outlier'!L23</f>
        <v>7.1999999999999995E-2</v>
      </c>
      <c r="M10" s="157">
        <f>'680 nm (Bubble) Outlier'!M23</f>
        <v>7.1999999999999995E-2</v>
      </c>
      <c r="N10" s="159" t="str">
        <f>'680 nm (Bubble) Outlier'!N23</f>
        <v>read:412 Read#1</v>
      </c>
      <c r="O10" s="15" t="str">
        <f>'Raw Data'!$O$7</f>
        <v>Clarithromycin</v>
      </c>
      <c r="P10" s="331">
        <f t="shared" si="6"/>
        <v>7.1999999999999995E-2</v>
      </c>
      <c r="Q10" s="223">
        <f t="shared" si="3"/>
        <v>0</v>
      </c>
      <c r="R10" s="332">
        <f t="shared" si="4"/>
        <v>7.1999999999999995E-2</v>
      </c>
      <c r="S10"/>
      <c r="T10" s="329">
        <f>COUNTIF('Study Information'!$C$11:$C$17,"*")</f>
        <v>7</v>
      </c>
      <c r="U10" s="153">
        <f t="shared" si="0"/>
        <v>0.25824477615061869</v>
      </c>
      <c r="V10" s="337">
        <f t="shared" si="5"/>
        <v>7.1428571428571435E-3</v>
      </c>
      <c r="W10" s="341"/>
      <c r="X10" s="343" t="str">
        <f t="shared" si="1"/>
        <v>No Interference Detected</v>
      </c>
      <c r="Y10" s="457" t="str">
        <f t="shared" si="2"/>
        <v>Clarithromycin</v>
      </c>
      <c r="AA10" s="163"/>
      <c r="AB10" s="163"/>
    </row>
    <row r="11" spans="1:30" x14ac:dyDescent="0.35">
      <c r="A11" s="144" t="str">
        <f>'680 nm (Bubble) Outlier'!A24</f>
        <v>G</v>
      </c>
      <c r="B11" s="147">
        <f>'Quartiles Outlier Blank-NC'!AA9</f>
        <v>7.1999999999999995E-2</v>
      </c>
      <c r="C11" s="148">
        <f>'680 nm (Bubble) Outlier'!C24</f>
        <v>0.64500000000000002</v>
      </c>
      <c r="D11" s="151">
        <f>'680 nm (Bubble) Outlier'!D24</f>
        <v>0.626</v>
      </c>
      <c r="E11" s="151">
        <f>'680 nm (Bubble) Outlier'!E24</f>
        <v>0.64300000000000002</v>
      </c>
      <c r="F11" s="151">
        <f>'680 nm (Bubble) Outlier'!F24</f>
        <v>0.64100000000000001</v>
      </c>
      <c r="G11" s="158">
        <f>'680 nm (Bubble) Outlier'!G24</f>
        <v>0.629</v>
      </c>
      <c r="H11" s="158">
        <f>'680 nm (Bubble) Outlier'!H24</f>
        <v>0.629</v>
      </c>
      <c r="I11" s="158">
        <f>'680 nm (Bubble) Outlier'!I24</f>
        <v>0.63700000000000001</v>
      </c>
      <c r="J11" s="158">
        <f>'680 nm (Bubble) Outlier'!J24</f>
        <v>0.63200000000000001</v>
      </c>
      <c r="K11" s="158">
        <f>'680 nm (Bubble) Outlier'!K24</f>
        <v>7.2999999999999995E-2</v>
      </c>
      <c r="L11" s="158">
        <f>'680 nm (Bubble) Outlier'!L24</f>
        <v>7.6999999999999999E-2</v>
      </c>
      <c r="M11" s="158">
        <f>'680 nm (Bubble) Outlier'!M24</f>
        <v>7.3999999999999996E-2</v>
      </c>
      <c r="N11" s="159" t="str">
        <f>'680 nm (Bubble) Outlier'!N24</f>
        <v>read:412 Read#1</v>
      </c>
      <c r="O11" s="15" t="str">
        <f>'Raw Data'!$O$8</f>
        <v>o-Benzyl-p-chlorophenol</v>
      </c>
      <c r="P11" s="331">
        <f t="shared" si="6"/>
        <v>7.4666666666666659E-2</v>
      </c>
      <c r="Q11" s="223">
        <f t="shared" si="3"/>
        <v>2.0816659994661348E-3</v>
      </c>
      <c r="R11" s="332">
        <f t="shared" si="4"/>
        <v>7.674833266613279E-2</v>
      </c>
      <c r="S11"/>
      <c r="T11" s="329">
        <f>COUNTIF('Study Information'!$C$11:$C$17,"*")</f>
        <v>7</v>
      </c>
      <c r="U11" s="153">
        <f t="shared" si="0"/>
        <v>5.4220047030754427E-3</v>
      </c>
      <c r="V11" s="337">
        <f t="shared" si="5"/>
        <v>7.1428571428571435E-3</v>
      </c>
      <c r="W11" s="341"/>
      <c r="X11" s="343" t="str">
        <f t="shared" si="1"/>
        <v>Interference Detected</v>
      </c>
      <c r="Y11" s="457" t="str">
        <f t="shared" si="2"/>
        <v>o-Benzyl-p-chlorophenol</v>
      </c>
      <c r="AA11" s="163"/>
      <c r="AB11" s="163"/>
    </row>
    <row r="12" spans="1:30" x14ac:dyDescent="0.35">
      <c r="A12" s="144" t="str">
        <f>'680 nm (Bubble) Outlier'!A25</f>
        <v>H</v>
      </c>
      <c r="B12" s="147">
        <f>'Quartiles Outlier Blank-NC'!AA10</f>
        <v>7.1999999999999995E-2</v>
      </c>
      <c r="C12" s="148">
        <f>'680 nm (Bubble) Outlier'!C25</f>
        <v>0.64100000000000001</v>
      </c>
      <c r="D12" s="151">
        <f>'680 nm (Bubble) Outlier'!D25</f>
        <v>0.63400000000000001</v>
      </c>
      <c r="E12" s="151">
        <f>'680 nm (Bubble) Outlier'!E25</f>
        <v>0.64800000000000002</v>
      </c>
      <c r="F12" s="151">
        <f>'680 nm (Bubble) Outlier'!F25</f>
        <v>0.64500000000000002</v>
      </c>
      <c r="G12" s="147">
        <f>'680 nm (Bubble) Outlier'!G25</f>
        <v>0.66100000000000003</v>
      </c>
      <c r="H12" s="147">
        <f>'680 nm (Bubble) Outlier'!H25</f>
        <v>0.65400000000000003</v>
      </c>
      <c r="I12" s="147">
        <f>'680 nm (Bubble) Outlier'!I25</f>
        <v>0.65800000000000003</v>
      </c>
      <c r="J12" s="147">
        <f>'680 nm (Bubble) Outlier'!J25</f>
        <v>0.65900000000000003</v>
      </c>
      <c r="K12" s="147">
        <f>'680 nm (Bubble) Outlier'!K25</f>
        <v>8.5000000000000006E-2</v>
      </c>
      <c r="L12" s="147">
        <f>'680 nm (Bubble) Outlier'!L25</f>
        <v>8.5000000000000006E-2</v>
      </c>
      <c r="M12" s="147">
        <f>'680 nm (Bubble) Outlier'!M25</f>
        <v>8.5999999999999993E-2</v>
      </c>
      <c r="N12" s="159" t="str">
        <f>'680 nm (Bubble) Outlier'!N25</f>
        <v>read:412 Read#1</v>
      </c>
      <c r="O12" s="15" t="str">
        <f>'Raw Data'!$O$9</f>
        <v>5-Amino-o-cresol</v>
      </c>
      <c r="P12" s="331">
        <f t="shared" si="6"/>
        <v>8.533333333333333E-2</v>
      </c>
      <c r="Q12" s="223">
        <f t="shared" si="3"/>
        <v>5.7735026918961832E-4</v>
      </c>
      <c r="R12" s="332">
        <f t="shared" si="4"/>
        <v>8.591068360252295E-2</v>
      </c>
      <c r="S12"/>
      <c r="T12" s="329">
        <f>COUNTIF('Study Information'!$C$11:$C$17,"*")</f>
        <v>7</v>
      </c>
      <c r="U12" s="153">
        <f t="shared" si="0"/>
        <v>6.4228983226825748E-10</v>
      </c>
      <c r="V12" s="337">
        <f t="shared" si="5"/>
        <v>7.1428571428571435E-3</v>
      </c>
      <c r="W12" s="341"/>
      <c r="X12" s="343" t="str">
        <f t="shared" si="1"/>
        <v>Interference Detected</v>
      </c>
      <c r="Y12" s="457" t="str">
        <f t="shared" si="2"/>
        <v>5-Amino-o-cresol</v>
      </c>
      <c r="AA12" s="163"/>
      <c r="AB12" s="163"/>
    </row>
    <row r="13" spans="1:30" x14ac:dyDescent="0.35">
      <c r="O13" s="160"/>
      <c r="P13" s="465"/>
      <c r="Q13" s="466"/>
      <c r="R13" s="467"/>
      <c r="T13" s="460"/>
      <c r="U13" s="461"/>
      <c r="V13" s="462"/>
      <c r="X13" s="463"/>
      <c r="Y13"/>
      <c r="AA13" s="163"/>
      <c r="AB13" s="163"/>
    </row>
    <row r="14" spans="1:30" x14ac:dyDescent="0.35">
      <c r="A14" s="144" t="str">
        <f>'680 nm (Bubble) Outlier'!A27</f>
        <v>20 min</v>
      </c>
      <c r="B14" s="144">
        <f>'680 nm (Bubble) Outlier'!B27</f>
        <v>1</v>
      </c>
      <c r="C14" s="144">
        <f>'680 nm (Bubble) Outlier'!C27</f>
        <v>2</v>
      </c>
      <c r="D14" s="144">
        <f>'680 nm (Bubble) Outlier'!D27</f>
        <v>3</v>
      </c>
      <c r="E14" s="144">
        <f>'680 nm (Bubble) Outlier'!E27</f>
        <v>4</v>
      </c>
      <c r="F14" s="144">
        <f>'680 nm (Bubble) Outlier'!F27</f>
        <v>5</v>
      </c>
      <c r="G14" s="144">
        <f>'680 nm (Bubble) Outlier'!G27</f>
        <v>6</v>
      </c>
      <c r="H14" s="144">
        <f>'680 nm (Bubble) Outlier'!H27</f>
        <v>7</v>
      </c>
      <c r="I14" s="144">
        <f>'680 nm (Bubble) Outlier'!I27</f>
        <v>8</v>
      </c>
      <c r="J14" s="144">
        <f>'680 nm (Bubble) Outlier'!J27</f>
        <v>9</v>
      </c>
      <c r="K14" s="144">
        <f>'680 nm (Bubble) Outlier'!K27</f>
        <v>10</v>
      </c>
      <c r="L14" s="144">
        <f>'680 nm (Bubble) Outlier'!L27</f>
        <v>11</v>
      </c>
      <c r="M14" s="144">
        <f>'680 nm (Bubble) Outlier'!M27</f>
        <v>12</v>
      </c>
      <c r="P14" s="327" t="s">
        <v>20</v>
      </c>
      <c r="Q14" s="161" t="s">
        <v>13</v>
      </c>
      <c r="R14" s="328" t="s">
        <v>75</v>
      </c>
      <c r="T14" s="460"/>
      <c r="U14" s="461"/>
      <c r="V14" s="462"/>
      <c r="X14" s="463"/>
      <c r="Y14"/>
      <c r="AA14" s="163"/>
      <c r="AB14" s="163"/>
    </row>
    <row r="15" spans="1:30" x14ac:dyDescent="0.35">
      <c r="A15" s="144" t="str">
        <f>'680 nm (Bubble) Outlier'!A28</f>
        <v>A</v>
      </c>
      <c r="B15" s="147">
        <f>'Quartiles Outlier Blank-NC'!AA13</f>
        <v>6.9000000000000006E-2</v>
      </c>
      <c r="C15" s="148">
        <f>'680 nm (Bubble) Outlier'!C28</f>
        <v>0.63300000000000001</v>
      </c>
      <c r="D15" s="148">
        <f>'680 nm (Bubble) Outlier'!D28</f>
        <v>0.63800000000000001</v>
      </c>
      <c r="E15" s="148">
        <f>'680 nm (Bubble) Outlier'!E28</f>
        <v>0.66100000000000003</v>
      </c>
      <c r="F15" s="148">
        <f>'680 nm (Bubble) Outlier'!F28</f>
        <v>0.64500000000000002</v>
      </c>
      <c r="G15" s="148">
        <f>'680 nm (Bubble) Outlier'!G28</f>
        <v>0.64500000000000002</v>
      </c>
      <c r="H15" s="148">
        <f>'680 nm (Bubble) Outlier'!H28</f>
        <v>0.64500000000000002</v>
      </c>
      <c r="I15" s="148">
        <f>'680 nm (Bubble) Outlier'!I28</f>
        <v>0.64900000000000002</v>
      </c>
      <c r="J15" s="148">
        <f>'680 nm (Bubble) Outlier'!J28</f>
        <v>0.64500000000000002</v>
      </c>
      <c r="K15" s="148"/>
      <c r="L15" s="148"/>
      <c r="M15" s="148"/>
      <c r="N15" s="159" t="str">
        <f>'680 nm (Bubble) Outlier'!N28</f>
        <v>read:412 Read#2</v>
      </c>
      <c r="O15" s="224" t="s">
        <v>58</v>
      </c>
      <c r="P15" s="459">
        <f>AVERAGE(B15:B22)</f>
        <v>6.9500000000000006E-2</v>
      </c>
      <c r="Q15" s="222">
        <f>STDEV(B15:B22)</f>
        <v>9.25820099772549E-4</v>
      </c>
      <c r="R15" s="330">
        <f>P15-Q15</f>
        <v>6.8574179900227461E-2</v>
      </c>
      <c r="T15" s="327" t="s">
        <v>73</v>
      </c>
      <c r="U15" s="161" t="s">
        <v>74</v>
      </c>
      <c r="V15" s="336" t="s">
        <v>79</v>
      </c>
      <c r="W15" s="326"/>
      <c r="X15" s="344" t="s">
        <v>203</v>
      </c>
      <c r="AA15" s="163"/>
      <c r="AB15" s="163"/>
    </row>
    <row r="16" spans="1:30" x14ac:dyDescent="0.35">
      <c r="A16" s="144" t="str">
        <f>'680 nm (Bubble) Outlier'!A29</f>
        <v>B</v>
      </c>
      <c r="B16" s="147">
        <f>'Quartiles Outlier Blank-NC'!AA14</f>
        <v>7.0999999999999994E-2</v>
      </c>
      <c r="C16" s="148">
        <f>'680 nm (Bubble) Outlier'!C29</f>
        <v>0.63800000000000001</v>
      </c>
      <c r="D16" s="151">
        <f>'680 nm (Bubble) Outlier'!D29</f>
        <v>9.6000000000000002E-2</v>
      </c>
      <c r="E16" s="151">
        <f>'680 nm (Bubble) Outlier'!E29</f>
        <v>0.112</v>
      </c>
      <c r="F16" s="151">
        <f>'680 nm (Bubble) Outlier'!F29</f>
        <v>9.1999999999999998E-2</v>
      </c>
      <c r="G16" s="152">
        <f>'680 nm (Bubble) Outlier'!G29</f>
        <v>0.628</v>
      </c>
      <c r="H16" s="152">
        <f>'680 nm (Bubble) Outlier'!H29</f>
        <v>0.63400000000000001</v>
      </c>
      <c r="I16" s="152">
        <f>'680 nm (Bubble) Outlier'!I29</f>
        <v>0.63800000000000001</v>
      </c>
      <c r="J16" s="152">
        <f>'680 nm (Bubble) Outlier'!J29</f>
        <v>0.629</v>
      </c>
      <c r="K16" s="152">
        <f>'680 nm (Bubble) Outlier'!K29</f>
        <v>7.0999999999999994E-2</v>
      </c>
      <c r="L16" s="152">
        <f>'680 nm (Bubble) Outlier'!L29</f>
        <v>7.0000000000000007E-2</v>
      </c>
      <c r="M16" s="152">
        <f>'680 nm (Bubble) Outlier'!M29</f>
        <v>7.0000000000000007E-2</v>
      </c>
      <c r="N16" s="159" t="str">
        <f>'680 nm (Bubble) Outlier'!N29</f>
        <v>read:412 Read#2</v>
      </c>
      <c r="O16" s="15" t="str">
        <f>'Raw Data'!$O$3</f>
        <v>Tri-n-octylphospine oxide</v>
      </c>
      <c r="P16" s="331">
        <f>AVERAGE(K16:M16)</f>
        <v>7.0333333333333345E-2</v>
      </c>
      <c r="Q16" s="223">
        <f>STDEV(K16:M16)</f>
        <v>5.7735026918961832E-4</v>
      </c>
      <c r="R16" s="332">
        <f>P16+Q16</f>
        <v>7.0910683602522964E-2</v>
      </c>
      <c r="S16"/>
      <c r="T16" s="329">
        <f>COUNTIF('Study Information'!$C$11:$C$17,"*")</f>
        <v>7</v>
      </c>
      <c r="U16" s="153">
        <f t="shared" ref="U16:U22" si="7">_xlfn.T.TEST($B$15:$B$22,K16:M16,1,2)</f>
        <v>9.3223254736309311E-2</v>
      </c>
      <c r="V16" s="337">
        <f>0.05/T16</f>
        <v>7.1428571428571435E-3</v>
      </c>
      <c r="W16" s="341"/>
      <c r="X16" s="343" t="str">
        <f t="shared" ref="X16:X22" si="8">IF(R16&lt;$R$15,"Potential Interference, reading below NC/PC Blank",IF(U16&lt;V16,"Interference Detected","No Interference Detected"))</f>
        <v>No Interference Detected</v>
      </c>
      <c r="Y16" s="457" t="str">
        <f t="shared" ref="Y16:Y22" si="9">O16</f>
        <v>Tri-n-octylphospine oxide</v>
      </c>
      <c r="AC16" s="160"/>
      <c r="AD16" s="160"/>
    </row>
    <row r="17" spans="1:30" x14ac:dyDescent="0.35">
      <c r="A17" s="144" t="str">
        <f>'680 nm (Bubble) Outlier'!A30</f>
        <v>C</v>
      </c>
      <c r="B17" s="147">
        <f>'Quartiles Outlier Blank-NC'!AA15</f>
        <v>7.0000000000000007E-2</v>
      </c>
      <c r="C17" s="148">
        <f>'680 nm (Bubble) Outlier'!C30</f>
        <v>0.63800000000000001</v>
      </c>
      <c r="D17" s="151">
        <f>'680 nm (Bubble) Outlier'!D30</f>
        <v>0.16600000000000001</v>
      </c>
      <c r="E17" s="151">
        <f>'680 nm (Bubble) Outlier'!E30</f>
        <v>0.20300000000000001</v>
      </c>
      <c r="F17" s="151">
        <f>'680 nm (Bubble) Outlier'!F30</f>
        <v>0.16500000000000001</v>
      </c>
      <c r="G17" s="155">
        <f>'680 nm (Bubble) Outlier'!G30</f>
        <v>0.61199999999999999</v>
      </c>
      <c r="H17" s="155">
        <f>'680 nm (Bubble) Outlier'!H30</f>
        <v>0.61099999999999999</v>
      </c>
      <c r="I17" s="155">
        <f>'680 nm (Bubble) Outlier'!I30</f>
        <v>0.61399999999999999</v>
      </c>
      <c r="J17" s="155">
        <f>'680 nm (Bubble) Outlier'!J30</f>
        <v>0.61399999999999999</v>
      </c>
      <c r="K17" s="155">
        <f>'680 nm (Bubble) Outlier'!K30</f>
        <v>6.8000000000000005E-2</v>
      </c>
      <c r="L17" s="155">
        <f>'680 nm (Bubble) Outlier'!L30</f>
        <v>6.9000000000000006E-2</v>
      </c>
      <c r="M17" s="155">
        <f>'680 nm (Bubble) Outlier'!M30</f>
        <v>6.9000000000000006E-2</v>
      </c>
      <c r="N17" s="159" t="str">
        <f>'680 nm (Bubble) Outlier'!N30</f>
        <v>read:412 Read#2</v>
      </c>
      <c r="O17" s="15" t="str">
        <f>'Raw Data'!$O$4</f>
        <v>Dicyclohexylcarbodiimide</v>
      </c>
      <c r="P17" s="331">
        <f>AVERAGE(K17:M17)</f>
        <v>6.8666666666666668E-2</v>
      </c>
      <c r="Q17" s="223">
        <f t="shared" ref="Q17:Q22" si="10">STDEV(K17:M17)</f>
        <v>5.7735026918962634E-4</v>
      </c>
      <c r="R17" s="332">
        <f t="shared" ref="R17:R22" si="11">P17+Q17</f>
        <v>6.9244016935856301E-2</v>
      </c>
      <c r="S17"/>
      <c r="T17" s="329">
        <f>COUNTIF('Study Information'!$C$11:$C$17,"*")</f>
        <v>7</v>
      </c>
      <c r="U17" s="153">
        <f t="shared" si="7"/>
        <v>9.3223254736309435E-2</v>
      </c>
      <c r="V17" s="337">
        <f t="shared" ref="V17:V22" si="12">0.05/T17</f>
        <v>7.1428571428571435E-3</v>
      </c>
      <c r="W17" s="341"/>
      <c r="X17" s="343" t="str">
        <f t="shared" si="8"/>
        <v>No Interference Detected</v>
      </c>
      <c r="Y17" s="457" t="str">
        <f t="shared" si="9"/>
        <v>Dicyclohexylcarbodiimide</v>
      </c>
      <c r="AC17" s="162"/>
      <c r="AD17" s="164"/>
    </row>
    <row r="18" spans="1:30" x14ac:dyDescent="0.35">
      <c r="A18" s="144" t="str">
        <f>'680 nm (Bubble) Outlier'!A31</f>
        <v>D</v>
      </c>
      <c r="B18" s="147">
        <f>'Quartiles Outlier Blank-NC'!AA16</f>
        <v>6.8000000000000005E-2</v>
      </c>
      <c r="C18" s="148">
        <f>'680 nm (Bubble) Outlier'!C31</f>
        <v>0.63</v>
      </c>
      <c r="D18" s="151">
        <f>'680 nm (Bubble) Outlier'!D31</f>
        <v>0.30499999999999999</v>
      </c>
      <c r="E18" s="151">
        <f>'680 nm (Bubble) Outlier'!E31</f>
        <v>0.33700000000000002</v>
      </c>
      <c r="F18" s="151">
        <f>'680 nm (Bubble) Outlier'!F31</f>
        <v>0.29799999999999999</v>
      </c>
      <c r="G18" s="144">
        <f>'680 nm (Bubble) Outlier'!G31</f>
        <v>0.64100000000000001</v>
      </c>
      <c r="H18" s="144">
        <f>'680 nm (Bubble) Outlier'!H31</f>
        <v>0.64300000000000002</v>
      </c>
      <c r="I18" s="144">
        <f>'680 nm (Bubble) Outlier'!I31</f>
        <v>0.64300000000000002</v>
      </c>
      <c r="J18" s="144">
        <f>'680 nm (Bubble) Outlier'!J31</f>
        <v>0.63900000000000001</v>
      </c>
      <c r="K18" s="144">
        <f>'680 nm (Bubble) Outlier'!K31</f>
        <v>7.0000000000000007E-2</v>
      </c>
      <c r="L18" s="144">
        <f>'680 nm (Bubble) Outlier'!L31</f>
        <v>6.9000000000000006E-2</v>
      </c>
      <c r="M18" s="144">
        <f>'680 nm (Bubble) Outlier'!M31</f>
        <v>6.9000000000000006E-2</v>
      </c>
      <c r="N18" s="159" t="str">
        <f>'680 nm (Bubble) Outlier'!N31</f>
        <v>read:412 Read#2</v>
      </c>
      <c r="O18" s="15" t="str">
        <f>'Raw Data'!$O$5</f>
        <v>Triethanolamine</v>
      </c>
      <c r="P18" s="331">
        <f t="shared" ref="P18:P22" si="13">AVERAGE(K18:M18)</f>
        <v>6.9333333333333344E-2</v>
      </c>
      <c r="Q18" s="223">
        <f t="shared" si="10"/>
        <v>5.7735026918962634E-4</v>
      </c>
      <c r="R18" s="332">
        <f t="shared" si="11"/>
        <v>6.9910683602522977E-2</v>
      </c>
      <c r="S18"/>
      <c r="T18" s="329">
        <f>COUNTIF('Study Information'!$C$11:$C$17,"*")</f>
        <v>7</v>
      </c>
      <c r="U18" s="153">
        <f t="shared" si="7"/>
        <v>0.39066157410884939</v>
      </c>
      <c r="V18" s="337">
        <f t="shared" si="12"/>
        <v>7.1428571428571435E-3</v>
      </c>
      <c r="W18" s="341"/>
      <c r="X18" s="343" t="str">
        <f t="shared" si="8"/>
        <v>No Interference Detected</v>
      </c>
      <c r="Y18" s="457" t="str">
        <f t="shared" si="9"/>
        <v>Triethanolamine</v>
      </c>
      <c r="AC18" s="162"/>
      <c r="AD18" s="164"/>
    </row>
    <row r="19" spans="1:30" x14ac:dyDescent="0.35">
      <c r="A19" s="144" t="str">
        <f>'680 nm (Bubble) Outlier'!A32</f>
        <v>E</v>
      </c>
      <c r="B19" s="147">
        <f>'Quartiles Outlier Blank-NC'!AA17</f>
        <v>7.0000000000000007E-2</v>
      </c>
      <c r="C19" s="148">
        <f>'680 nm (Bubble) Outlier'!C32</f>
        <v>0.63600000000000001</v>
      </c>
      <c r="D19" s="151">
        <f>'680 nm (Bubble) Outlier'!D32</f>
        <v>0.433</v>
      </c>
      <c r="E19" s="151">
        <f>'680 nm (Bubble) Outlier'!E32</f>
        <v>0.46300000000000002</v>
      </c>
      <c r="F19" s="151">
        <f>'680 nm (Bubble) Outlier'!F32</f>
        <v>0.45100000000000001</v>
      </c>
      <c r="G19" s="156">
        <f>'680 nm (Bubble) Outlier'!G32</f>
        <v>0.624</v>
      </c>
      <c r="H19" s="156">
        <f>'680 nm (Bubble) Outlier'!H32</f>
        <v>0.625</v>
      </c>
      <c r="I19" s="156">
        <f>'680 nm (Bubble) Outlier'!I32</f>
        <v>0.63</v>
      </c>
      <c r="J19" s="156">
        <f>'680 nm (Bubble) Outlier'!J32</f>
        <v>0.624</v>
      </c>
      <c r="K19" s="156">
        <f>'680 nm (Bubble) Outlier'!K32</f>
        <v>6.9000000000000006E-2</v>
      </c>
      <c r="L19" s="156">
        <f>'680 nm (Bubble) Outlier'!L32</f>
        <v>7.0000000000000007E-2</v>
      </c>
      <c r="M19" s="156">
        <f>'680 nm (Bubble) Outlier'!M32</f>
        <v>7.0000000000000007E-2</v>
      </c>
      <c r="N19" s="159" t="str">
        <f>'680 nm (Bubble) Outlier'!N32</f>
        <v>read:412 Read#2</v>
      </c>
      <c r="O19" s="15" t="str">
        <f>'Raw Data'!$O$6</f>
        <v>Pentaerythritol triacrylate</v>
      </c>
      <c r="P19" s="331">
        <f t="shared" si="13"/>
        <v>6.9666666666666668E-2</v>
      </c>
      <c r="Q19" s="223">
        <f t="shared" si="10"/>
        <v>5.7735026918962634E-4</v>
      </c>
      <c r="R19" s="332">
        <f t="shared" si="11"/>
        <v>7.0244016935856302E-2</v>
      </c>
      <c r="S19"/>
      <c r="T19" s="329">
        <f>COUNTIF('Study Information'!$C$11:$C$17,"*")</f>
        <v>7</v>
      </c>
      <c r="U19" s="153">
        <f t="shared" si="7"/>
        <v>0.39066157410884939</v>
      </c>
      <c r="V19" s="337">
        <f t="shared" si="12"/>
        <v>7.1428571428571435E-3</v>
      </c>
      <c r="W19" s="341"/>
      <c r="X19" s="343" t="str">
        <f t="shared" si="8"/>
        <v>No Interference Detected</v>
      </c>
      <c r="Y19" s="457" t="str">
        <f t="shared" si="9"/>
        <v>Pentaerythritol triacrylate</v>
      </c>
      <c r="AC19" s="162"/>
      <c r="AD19" s="164"/>
    </row>
    <row r="20" spans="1:30" x14ac:dyDescent="0.35">
      <c r="A20" s="144" t="str">
        <f>'680 nm (Bubble) Outlier'!A33</f>
        <v>F</v>
      </c>
      <c r="B20" s="147">
        <f>'Quartiles Outlier Blank-NC'!AA18</f>
        <v>7.0000000000000007E-2</v>
      </c>
      <c r="C20" s="148">
        <f>'680 nm (Bubble) Outlier'!C33</f>
        <v>0.64100000000000001</v>
      </c>
      <c r="D20" s="151">
        <f>'680 nm (Bubble) Outlier'!D33</f>
        <v>0.51900000000000002</v>
      </c>
      <c r="E20" s="151">
        <f>'680 nm (Bubble) Outlier'!E33</f>
        <v>0.54300000000000004</v>
      </c>
      <c r="F20" s="151">
        <f>'680 nm (Bubble) Outlier'!F33</f>
        <v>0.54200000000000004</v>
      </c>
      <c r="G20" s="157">
        <f>'680 nm (Bubble) Outlier'!G33</f>
        <v>0.64600000000000002</v>
      </c>
      <c r="H20" s="157">
        <f>'680 nm (Bubble) Outlier'!H33</f>
        <v>0.64700000000000002</v>
      </c>
      <c r="I20" s="157">
        <f>'680 nm (Bubble) Outlier'!I33</f>
        <v>0.64900000000000002</v>
      </c>
      <c r="J20" s="157">
        <f>'680 nm (Bubble) Outlier'!J33</f>
        <v>0.64500000000000002</v>
      </c>
      <c r="K20" s="157">
        <f>'680 nm (Bubble) Outlier'!K33</f>
        <v>7.0000000000000007E-2</v>
      </c>
      <c r="L20" s="157">
        <f>'680 nm (Bubble) Outlier'!L33</f>
        <v>6.9000000000000006E-2</v>
      </c>
      <c r="M20" s="157">
        <f>'680 nm (Bubble) Outlier'!M33</f>
        <v>6.9000000000000006E-2</v>
      </c>
      <c r="N20" s="159" t="str">
        <f>'680 nm (Bubble) Outlier'!N33</f>
        <v>read:412 Read#2</v>
      </c>
      <c r="O20" s="15" t="str">
        <f>'Raw Data'!$O$7</f>
        <v>Clarithromycin</v>
      </c>
      <c r="P20" s="331">
        <f t="shared" si="13"/>
        <v>6.9333333333333344E-2</v>
      </c>
      <c r="Q20" s="223">
        <f t="shared" si="10"/>
        <v>5.7735026918962634E-4</v>
      </c>
      <c r="R20" s="332">
        <f t="shared" si="11"/>
        <v>6.9910683602522977E-2</v>
      </c>
      <c r="S20"/>
      <c r="T20" s="329">
        <f>COUNTIF('Study Information'!$C$11:$C$17,"*")</f>
        <v>7</v>
      </c>
      <c r="U20" s="153">
        <f t="shared" si="7"/>
        <v>0.39066157410884939</v>
      </c>
      <c r="V20" s="337">
        <f t="shared" si="12"/>
        <v>7.1428571428571435E-3</v>
      </c>
      <c r="W20" s="341"/>
      <c r="X20" s="343" t="str">
        <f t="shared" si="8"/>
        <v>No Interference Detected</v>
      </c>
      <c r="Y20" s="457" t="str">
        <f t="shared" si="9"/>
        <v>Clarithromycin</v>
      </c>
      <c r="AC20" s="162"/>
      <c r="AD20" s="164"/>
    </row>
    <row r="21" spans="1:30" x14ac:dyDescent="0.35">
      <c r="A21" s="144" t="str">
        <f>'680 nm (Bubble) Outlier'!A34</f>
        <v>G</v>
      </c>
      <c r="B21" s="147">
        <f>'Quartiles Outlier Blank-NC'!AA19</f>
        <v>6.9000000000000006E-2</v>
      </c>
      <c r="C21" s="148">
        <f>'680 nm (Bubble) Outlier'!C34</f>
        <v>0.64</v>
      </c>
      <c r="D21" s="151">
        <f>'680 nm (Bubble) Outlier'!D34</f>
        <v>0.57399999999999995</v>
      </c>
      <c r="E21" s="151">
        <f>'680 nm (Bubble) Outlier'!E34</f>
        <v>0.59499999999999997</v>
      </c>
      <c r="F21" s="151">
        <f>'680 nm (Bubble) Outlier'!F34</f>
        <v>0.58799999999999997</v>
      </c>
      <c r="G21" s="158">
        <f>'680 nm (Bubble) Outlier'!G34</f>
        <v>0.61799999999999999</v>
      </c>
      <c r="H21" s="158">
        <f>'680 nm (Bubble) Outlier'!H34</f>
        <v>0.61499999999999999</v>
      </c>
      <c r="I21" s="158">
        <f>'680 nm (Bubble) Outlier'!I34</f>
        <v>0.623</v>
      </c>
      <c r="J21" s="158">
        <f>'680 nm (Bubble) Outlier'!J34</f>
        <v>0.62</v>
      </c>
      <c r="K21" s="158">
        <f>'680 nm (Bubble) Outlier'!K34</f>
        <v>7.0000000000000007E-2</v>
      </c>
      <c r="L21" s="158">
        <f>'680 nm (Bubble) Outlier'!L34</f>
        <v>7.3999999999999996E-2</v>
      </c>
      <c r="M21" s="158">
        <f>'680 nm (Bubble) Outlier'!M34</f>
        <v>7.1999999999999995E-2</v>
      </c>
      <c r="N21" s="159" t="str">
        <f>'680 nm (Bubble) Outlier'!N34</f>
        <v>read:412 Read#2</v>
      </c>
      <c r="O21" s="15" t="str">
        <f>'Raw Data'!$O$8</f>
        <v>o-Benzyl-p-chlorophenol</v>
      </c>
      <c r="P21" s="331">
        <f t="shared" si="13"/>
        <v>7.2000000000000008E-2</v>
      </c>
      <c r="Q21" s="223">
        <f t="shared" si="10"/>
        <v>1.9999999999999948E-3</v>
      </c>
      <c r="R21" s="332">
        <f t="shared" si="11"/>
        <v>7.400000000000001E-2</v>
      </c>
      <c r="S21"/>
      <c r="T21" s="329">
        <f>COUNTIF('Study Information'!$C$11:$C$17,"*")</f>
        <v>7</v>
      </c>
      <c r="U21" s="153">
        <f t="shared" si="7"/>
        <v>7.9696209945809837E-3</v>
      </c>
      <c r="V21" s="337">
        <f t="shared" si="12"/>
        <v>7.1428571428571435E-3</v>
      </c>
      <c r="W21" s="341"/>
      <c r="X21" s="343" t="str">
        <f t="shared" si="8"/>
        <v>No Interference Detected</v>
      </c>
      <c r="Y21" s="457" t="str">
        <f t="shared" si="9"/>
        <v>o-Benzyl-p-chlorophenol</v>
      </c>
      <c r="AC21" s="162"/>
      <c r="AD21" s="164"/>
    </row>
    <row r="22" spans="1:30" x14ac:dyDescent="0.35">
      <c r="A22" s="144" t="str">
        <f>'680 nm (Bubble) Outlier'!A35</f>
        <v>H</v>
      </c>
      <c r="B22" s="147">
        <f>'Quartiles Outlier Blank-NC'!AA20</f>
        <v>6.9000000000000006E-2</v>
      </c>
      <c r="C22" s="148">
        <f>'680 nm (Bubble) Outlier'!C35</f>
        <v>0.63700000000000001</v>
      </c>
      <c r="D22" s="151">
        <f>'680 nm (Bubble) Outlier'!D35</f>
        <v>0.60599999999999998</v>
      </c>
      <c r="E22" s="151">
        <f>'680 nm (Bubble) Outlier'!E35</f>
        <v>0.61899999999999999</v>
      </c>
      <c r="F22" s="151">
        <f>'680 nm (Bubble) Outlier'!F35</f>
        <v>0.61599999999999999</v>
      </c>
      <c r="G22" s="147">
        <f>'680 nm (Bubble) Outlier'!G35</f>
        <v>0.64200000000000002</v>
      </c>
      <c r="H22" s="147">
        <f>'680 nm (Bubble) Outlier'!H35</f>
        <v>0.63400000000000001</v>
      </c>
      <c r="I22" s="147">
        <f>'680 nm (Bubble) Outlier'!I35</f>
        <v>0.63700000000000001</v>
      </c>
      <c r="J22" s="147">
        <f>'680 nm (Bubble) Outlier'!J35</f>
        <v>0.63900000000000001</v>
      </c>
      <c r="K22" s="147">
        <f>'680 nm (Bubble) Outlier'!K35</f>
        <v>8.2000000000000003E-2</v>
      </c>
      <c r="L22" s="147">
        <f>'680 nm (Bubble) Outlier'!L35</f>
        <v>8.3000000000000004E-2</v>
      </c>
      <c r="M22" s="147">
        <f>'680 nm (Bubble) Outlier'!M35</f>
        <v>8.3000000000000004E-2</v>
      </c>
      <c r="N22" s="159" t="str">
        <f>'680 nm (Bubble) Outlier'!N35</f>
        <v>read:412 Read#2</v>
      </c>
      <c r="O22" s="15" t="str">
        <f>'Raw Data'!$O$9</f>
        <v>5-Amino-o-cresol</v>
      </c>
      <c r="P22" s="468">
        <f t="shared" si="13"/>
        <v>8.2666666666666666E-2</v>
      </c>
      <c r="Q22" s="469">
        <f t="shared" si="10"/>
        <v>5.7735026918962634E-4</v>
      </c>
      <c r="R22" s="470">
        <f t="shared" si="11"/>
        <v>8.3244016935856299E-2</v>
      </c>
      <c r="S22"/>
      <c r="T22" s="329">
        <f>COUNTIF('Study Information'!$C$11:$C$17,"*")</f>
        <v>7</v>
      </c>
      <c r="U22" s="153">
        <f t="shared" si="7"/>
        <v>1.5428633801694415E-9</v>
      </c>
      <c r="V22" s="337">
        <f t="shared" si="12"/>
        <v>7.1428571428571435E-3</v>
      </c>
      <c r="W22" s="341"/>
      <c r="X22" s="343" t="str">
        <f t="shared" si="8"/>
        <v>Interference Detected</v>
      </c>
      <c r="Y22" s="457" t="str">
        <f t="shared" si="9"/>
        <v>5-Amino-o-cresol</v>
      </c>
      <c r="AC22" s="162"/>
      <c r="AD22" s="164"/>
    </row>
    <row r="23" spans="1:30" x14ac:dyDescent="0.35">
      <c r="P23" s="465"/>
      <c r="Q23" s="466"/>
      <c r="R23" s="467"/>
      <c r="T23" s="460"/>
      <c r="U23" s="461"/>
      <c r="V23" s="462"/>
      <c r="X23" s="464"/>
      <c r="AC23" s="162"/>
      <c r="AD23" s="164"/>
    </row>
    <row r="24" spans="1:30" x14ac:dyDescent="0.35">
      <c r="A24" s="144" t="str">
        <f>'680 nm (Bubble) Outlier'!A37</f>
        <v>35 min</v>
      </c>
      <c r="B24" s="144">
        <f>'680 nm (Bubble) Outlier'!B37</f>
        <v>1</v>
      </c>
      <c r="C24" s="144">
        <f>'680 nm (Bubble) Outlier'!C37</f>
        <v>2</v>
      </c>
      <c r="D24" s="144">
        <f>'680 nm (Bubble) Outlier'!D37</f>
        <v>3</v>
      </c>
      <c r="E24" s="144">
        <f>'680 nm (Bubble) Outlier'!E37</f>
        <v>4</v>
      </c>
      <c r="F24" s="144">
        <f>'680 nm (Bubble) Outlier'!F37</f>
        <v>5</v>
      </c>
      <c r="G24" s="144">
        <f>'680 nm (Bubble) Outlier'!G37</f>
        <v>6</v>
      </c>
      <c r="H24" s="144">
        <f>'680 nm (Bubble) Outlier'!H37</f>
        <v>7</v>
      </c>
      <c r="I24" s="144">
        <f>'680 nm (Bubble) Outlier'!I37</f>
        <v>8</v>
      </c>
      <c r="J24" s="144">
        <f>'680 nm (Bubble) Outlier'!J37</f>
        <v>9</v>
      </c>
      <c r="K24" s="144">
        <f>'680 nm (Bubble) Outlier'!K37</f>
        <v>10</v>
      </c>
      <c r="L24" s="144">
        <f>'680 nm (Bubble) Outlier'!L37</f>
        <v>11</v>
      </c>
      <c r="M24" s="144">
        <f>'680 nm (Bubble) Outlier'!M37</f>
        <v>12</v>
      </c>
      <c r="P24" s="327" t="s">
        <v>20</v>
      </c>
      <c r="Q24" s="161" t="s">
        <v>13</v>
      </c>
      <c r="R24" s="328" t="s">
        <v>75</v>
      </c>
      <c r="T24" s="460"/>
      <c r="U24" s="461"/>
      <c r="V24" s="462"/>
      <c r="X24" s="464"/>
      <c r="AC24" s="162"/>
      <c r="AD24" s="164"/>
    </row>
    <row r="25" spans="1:30" x14ac:dyDescent="0.35">
      <c r="A25" s="144" t="str">
        <f>'680 nm (Bubble) Outlier'!A38</f>
        <v>A</v>
      </c>
      <c r="B25" s="147">
        <f>'Quartiles Outlier Blank-NC'!AA23</f>
        <v>6.9000000000000006E-2</v>
      </c>
      <c r="C25" s="148">
        <f>'680 nm (Bubble) Outlier'!C38</f>
        <v>0.63200000000000001</v>
      </c>
      <c r="D25" s="148">
        <f>'680 nm (Bubble) Outlier'!D38</f>
        <v>0.63600000000000001</v>
      </c>
      <c r="E25" s="148">
        <f>'680 nm (Bubble) Outlier'!E38</f>
        <v>0.66400000000000003</v>
      </c>
      <c r="F25" s="148">
        <f>'680 nm (Bubble) Outlier'!F38</f>
        <v>0.64400000000000002</v>
      </c>
      <c r="G25" s="148">
        <f>'680 nm (Bubble) Outlier'!G38</f>
        <v>0.64400000000000002</v>
      </c>
      <c r="H25" s="148">
        <f>'680 nm (Bubble) Outlier'!H38</f>
        <v>0.64400000000000002</v>
      </c>
      <c r="I25" s="148">
        <f>'680 nm (Bubble) Outlier'!I38</f>
        <v>0.64700000000000002</v>
      </c>
      <c r="J25" s="148">
        <f>'680 nm (Bubble) Outlier'!J38</f>
        <v>0.64400000000000002</v>
      </c>
      <c r="K25" s="148"/>
      <c r="L25" s="148"/>
      <c r="M25" s="148"/>
      <c r="N25" s="159" t="str">
        <f>'680 nm (Bubble) Outlier'!N38</f>
        <v>read:412 Read#3</v>
      </c>
      <c r="O25" s="224" t="s">
        <v>58</v>
      </c>
      <c r="P25" s="459">
        <f>AVERAGE(B25:B32)</f>
        <v>7.0125000000000007E-2</v>
      </c>
      <c r="Q25" s="222">
        <f>STDEV(B25:B32)</f>
        <v>9.9103120896511026E-4</v>
      </c>
      <c r="R25" s="330">
        <f>P25-Q25</f>
        <v>6.9133968791034894E-2</v>
      </c>
      <c r="T25" s="327" t="s">
        <v>73</v>
      </c>
      <c r="U25" s="161" t="s">
        <v>74</v>
      </c>
      <c r="V25" s="336" t="s">
        <v>79</v>
      </c>
      <c r="W25" s="326"/>
      <c r="X25" s="344" t="s">
        <v>204</v>
      </c>
      <c r="AC25" s="162"/>
      <c r="AD25" s="164"/>
    </row>
    <row r="26" spans="1:30" x14ac:dyDescent="0.35">
      <c r="A26" s="144" t="s">
        <v>1</v>
      </c>
      <c r="B26" s="147">
        <f>'Quartiles Outlier Blank-NC'!AA24</f>
        <v>7.1999999999999995E-2</v>
      </c>
      <c r="C26" s="148">
        <f>'680 nm (Bubble) Outlier'!C39</f>
        <v>0.63600000000000001</v>
      </c>
      <c r="D26" s="151">
        <f>'680 nm (Bubble) Outlier'!D39</f>
        <v>9.0999999999999998E-2</v>
      </c>
      <c r="E26" s="151">
        <f>'680 nm (Bubble) Outlier'!E39</f>
        <v>8.6999999999999994E-2</v>
      </c>
      <c r="F26" s="151">
        <f>'680 nm (Bubble) Outlier'!F39</f>
        <v>8.2000000000000003E-2</v>
      </c>
      <c r="G26" s="152">
        <f>'680 nm (Bubble) Outlier'!G39</f>
        <v>0.628</v>
      </c>
      <c r="H26" s="152">
        <f>'680 nm (Bubble) Outlier'!H39</f>
        <v>0.63300000000000001</v>
      </c>
      <c r="I26" s="152">
        <f>'680 nm (Bubble) Outlier'!I39</f>
        <v>0.63700000000000001</v>
      </c>
      <c r="J26" s="152">
        <f>'680 nm (Bubble) Outlier'!J39</f>
        <v>0.628</v>
      </c>
      <c r="K26" s="152">
        <f>'680 nm (Bubble) Outlier'!K39</f>
        <v>7.1999999999999995E-2</v>
      </c>
      <c r="L26" s="152">
        <f>'680 nm (Bubble) Outlier'!L39</f>
        <v>7.0999999999999994E-2</v>
      </c>
      <c r="M26" s="152">
        <f>'680 nm (Bubble) Outlier'!M39</f>
        <v>7.1999999999999995E-2</v>
      </c>
      <c r="N26" s="159" t="str">
        <f>'680 nm (Bubble) Outlier'!N39</f>
        <v>read:412 Read#3</v>
      </c>
      <c r="O26" s="15" t="str">
        <f>'Raw Data'!$O$3</f>
        <v>Tri-n-octylphospine oxide</v>
      </c>
      <c r="P26" s="331">
        <f>AVERAGE(K26:M26)</f>
        <v>7.1666666666666656E-2</v>
      </c>
      <c r="Q26" s="223">
        <f>STDEV(K26:M26)</f>
        <v>5.7735026918962634E-4</v>
      </c>
      <c r="R26" s="332">
        <f>P26+Q26</f>
        <v>7.2244016935856289E-2</v>
      </c>
      <c r="S26"/>
      <c r="T26" s="329">
        <f>COUNTIF('Study Information'!$C$11:$C$17,"*")</f>
        <v>7</v>
      </c>
      <c r="U26" s="153">
        <f t="shared" ref="U26:U32" si="14">_xlfn.T.TEST($B$25:$B$32,K26:M26,1,2)</f>
        <v>1.7277807003685589E-2</v>
      </c>
      <c r="V26" s="337">
        <f>0.05/T26</f>
        <v>7.1428571428571435E-3</v>
      </c>
      <c r="W26" s="341"/>
      <c r="X26" s="343" t="str">
        <f t="shared" ref="X26:X32" si="15">IF(R26&lt;$R$25,"Potential Interference, reading below NC/PC Blank",IF(U26&lt;V26,"Interference Detected","No Interference Detected"))</f>
        <v>No Interference Detected</v>
      </c>
      <c r="Y26" s="457" t="str">
        <f t="shared" ref="Y26:Y32" si="16">O26</f>
        <v>Tri-n-octylphospine oxide</v>
      </c>
    </row>
    <row r="27" spans="1:30" x14ac:dyDescent="0.35">
      <c r="A27" s="144" t="s">
        <v>2</v>
      </c>
      <c r="B27" s="147">
        <f>'Quartiles Outlier Blank-NC'!AA25</f>
        <v>7.0000000000000007E-2</v>
      </c>
      <c r="C27" s="148">
        <f>'680 nm (Bubble) Outlier'!C40</f>
        <v>0.63700000000000001</v>
      </c>
      <c r="D27" s="151">
        <f>'680 nm (Bubble) Outlier'!D40</f>
        <v>0.1</v>
      </c>
      <c r="E27" s="151">
        <f>'680 nm (Bubble) Outlier'!E40</f>
        <v>0.13300000000000001</v>
      </c>
      <c r="F27" s="151">
        <f>'680 nm (Bubble) Outlier'!F40</f>
        <v>9.9000000000000005E-2</v>
      </c>
      <c r="G27" s="155">
        <f>'680 nm (Bubble) Outlier'!G40</f>
        <v>0.60599999999999998</v>
      </c>
      <c r="H27" s="155">
        <f>'680 nm (Bubble) Outlier'!H40</f>
        <v>0.60299999999999998</v>
      </c>
      <c r="I27" s="155">
        <f>'680 nm (Bubble) Outlier'!I40</f>
        <v>0.60499999999999998</v>
      </c>
      <c r="J27" s="155">
        <f>'680 nm (Bubble) Outlier'!J40</f>
        <v>0.60599999999999998</v>
      </c>
      <c r="K27" s="155">
        <f>'680 nm (Bubble) Outlier'!K40</f>
        <v>6.9000000000000006E-2</v>
      </c>
      <c r="L27" s="155">
        <f>'680 nm (Bubble) Outlier'!L40</f>
        <v>7.0000000000000007E-2</v>
      </c>
      <c r="M27" s="155">
        <f>'680 nm (Bubble) Outlier'!M40</f>
        <v>7.0999999999999994E-2</v>
      </c>
      <c r="N27" s="159" t="str">
        <f>'680 nm (Bubble) Outlier'!N40</f>
        <v>read:412 Read#3</v>
      </c>
      <c r="O27" s="15" t="str">
        <f>'Raw Data'!$O$4</f>
        <v>Dicyclohexylcarbodiimide</v>
      </c>
      <c r="P27" s="331">
        <f>AVERAGE(K27:M27)</f>
        <v>7.0000000000000007E-2</v>
      </c>
      <c r="Q27" s="223">
        <f t="shared" ref="Q27:Q32" si="17">STDEV(K27:M27)</f>
        <v>9.9999999999999395E-4</v>
      </c>
      <c r="R27" s="332">
        <f t="shared" ref="R27:R32" si="18">P27+Q27</f>
        <v>7.1000000000000008E-2</v>
      </c>
      <c r="S27"/>
      <c r="T27" s="329">
        <f>COUNTIF('Study Information'!$C$11:$C$17,"*")</f>
        <v>7</v>
      </c>
      <c r="U27" s="153">
        <f t="shared" si="14"/>
        <v>0.42831024852758237</v>
      </c>
      <c r="V27" s="337">
        <f t="shared" ref="V27:V32" si="19">0.05/T27</f>
        <v>7.1428571428571435E-3</v>
      </c>
      <c r="W27" s="341"/>
      <c r="X27" s="343" t="str">
        <f t="shared" si="15"/>
        <v>No Interference Detected</v>
      </c>
      <c r="Y27" s="457" t="str">
        <f t="shared" si="16"/>
        <v>Dicyclohexylcarbodiimide</v>
      </c>
    </row>
    <row r="28" spans="1:30" x14ac:dyDescent="0.35">
      <c r="A28" s="144" t="s">
        <v>3</v>
      </c>
      <c r="B28" s="147">
        <f>'Quartiles Outlier Blank-NC'!AA26</f>
        <v>6.9000000000000006E-2</v>
      </c>
      <c r="C28" s="148">
        <f>'680 nm (Bubble) Outlier'!C41</f>
        <v>0.629</v>
      </c>
      <c r="D28" s="151">
        <f>'680 nm (Bubble) Outlier'!D41</f>
        <v>0.19500000000000001</v>
      </c>
      <c r="E28" s="151">
        <f>'680 nm (Bubble) Outlier'!E41</f>
        <v>0.222</v>
      </c>
      <c r="F28" s="151">
        <f>'680 nm (Bubble) Outlier'!F41</f>
        <v>0.186</v>
      </c>
      <c r="G28" s="144">
        <f>'680 nm (Bubble) Outlier'!G41</f>
        <v>0.64</v>
      </c>
      <c r="H28" s="144">
        <f>'680 nm (Bubble) Outlier'!H41</f>
        <v>0.64100000000000001</v>
      </c>
      <c r="I28" s="144">
        <f>'680 nm (Bubble) Outlier'!I41</f>
        <v>0.64100000000000001</v>
      </c>
      <c r="J28" s="144">
        <f>'680 nm (Bubble) Outlier'!J41</f>
        <v>0.63700000000000001</v>
      </c>
      <c r="K28" s="144">
        <f>'680 nm (Bubble) Outlier'!K41</f>
        <v>7.0000000000000007E-2</v>
      </c>
      <c r="L28" s="144">
        <f>'680 nm (Bubble) Outlier'!L41</f>
        <v>7.0000000000000007E-2</v>
      </c>
      <c r="M28" s="144">
        <f>'680 nm (Bubble) Outlier'!M41</f>
        <v>7.0000000000000007E-2</v>
      </c>
      <c r="N28" s="159" t="str">
        <f>'680 nm (Bubble) Outlier'!N41</f>
        <v>read:412 Read#3</v>
      </c>
      <c r="O28" s="15" t="str">
        <f>'Raw Data'!$O$5</f>
        <v>Triethanolamine</v>
      </c>
      <c r="P28" s="331">
        <f t="shared" ref="P28:P32" si="20">AVERAGE(K28:M28)</f>
        <v>7.0000000000000007E-2</v>
      </c>
      <c r="Q28" s="223">
        <f t="shared" si="17"/>
        <v>0</v>
      </c>
      <c r="R28" s="332">
        <f t="shared" si="18"/>
        <v>7.0000000000000007E-2</v>
      </c>
      <c r="S28"/>
      <c r="T28" s="329">
        <f>COUNTIF('Study Information'!$C$11:$C$17,"*")</f>
        <v>7</v>
      </c>
      <c r="U28" s="153">
        <f t="shared" si="14"/>
        <v>0.41869768625422982</v>
      </c>
      <c r="V28" s="337">
        <f t="shared" si="19"/>
        <v>7.1428571428571435E-3</v>
      </c>
      <c r="W28" s="341"/>
      <c r="X28" s="343" t="str">
        <f t="shared" si="15"/>
        <v>No Interference Detected</v>
      </c>
      <c r="Y28" s="457" t="str">
        <f t="shared" si="16"/>
        <v>Triethanolamine</v>
      </c>
    </row>
    <row r="29" spans="1:30" x14ac:dyDescent="0.35">
      <c r="A29" s="144" t="s">
        <v>4</v>
      </c>
      <c r="B29" s="147">
        <f>'Quartiles Outlier Blank-NC'!AA27</f>
        <v>7.0000000000000007E-2</v>
      </c>
      <c r="C29" s="148">
        <f>'680 nm (Bubble) Outlier'!C42</f>
        <v>0.63500000000000001</v>
      </c>
      <c r="D29" s="151">
        <f>'680 nm (Bubble) Outlier'!D42</f>
        <v>0.33600000000000002</v>
      </c>
      <c r="E29" s="151">
        <f>'680 nm (Bubble) Outlier'!E42</f>
        <v>0.36899999999999999</v>
      </c>
      <c r="F29" s="151">
        <f>'680 nm (Bubble) Outlier'!F42</f>
        <v>0.35399999999999998</v>
      </c>
      <c r="G29" s="156">
        <f>'680 nm (Bubble) Outlier'!G42</f>
        <v>0.61399999999999999</v>
      </c>
      <c r="H29" s="156">
        <f>'680 nm (Bubble) Outlier'!H42</f>
        <v>0.61399999999999999</v>
      </c>
      <c r="I29" s="156">
        <f>'680 nm (Bubble) Outlier'!I42</f>
        <v>0.61899999999999999</v>
      </c>
      <c r="J29" s="156">
        <f>'680 nm (Bubble) Outlier'!J42</f>
        <v>0.61399999999999999</v>
      </c>
      <c r="K29" s="156">
        <f>'680 nm (Bubble) Outlier'!K42</f>
        <v>6.9000000000000006E-2</v>
      </c>
      <c r="L29" s="156">
        <f>'680 nm (Bubble) Outlier'!L42</f>
        <v>7.0000000000000007E-2</v>
      </c>
      <c r="M29" s="156">
        <f>'680 nm (Bubble) Outlier'!M42</f>
        <v>7.0999999999999994E-2</v>
      </c>
      <c r="N29" s="159" t="str">
        <f>'680 nm (Bubble) Outlier'!N42</f>
        <v>read:412 Read#3</v>
      </c>
      <c r="O29" s="15" t="str">
        <f>'Raw Data'!$O$6</f>
        <v>Pentaerythritol triacrylate</v>
      </c>
      <c r="P29" s="331">
        <f t="shared" si="20"/>
        <v>7.0000000000000007E-2</v>
      </c>
      <c r="Q29" s="223">
        <f t="shared" si="17"/>
        <v>9.9999999999999395E-4</v>
      </c>
      <c r="R29" s="332">
        <f t="shared" si="18"/>
        <v>7.1000000000000008E-2</v>
      </c>
      <c r="S29"/>
      <c r="T29" s="329">
        <f>COUNTIF('Study Information'!$C$11:$C$17,"*")</f>
        <v>7</v>
      </c>
      <c r="U29" s="153">
        <f t="shared" si="14"/>
        <v>0.42831024852758237</v>
      </c>
      <c r="V29" s="337">
        <f t="shared" si="19"/>
        <v>7.1428571428571435E-3</v>
      </c>
      <c r="W29" s="341"/>
      <c r="X29" s="343" t="str">
        <f t="shared" si="15"/>
        <v>No Interference Detected</v>
      </c>
      <c r="Y29" s="457" t="str">
        <f t="shared" si="16"/>
        <v>Pentaerythritol triacrylate</v>
      </c>
    </row>
    <row r="30" spans="1:30" x14ac:dyDescent="0.35">
      <c r="A30" s="144" t="s">
        <v>5</v>
      </c>
      <c r="B30" s="147">
        <f>'Quartiles Outlier Blank-NC'!AA28</f>
        <v>7.0999999999999994E-2</v>
      </c>
      <c r="C30" s="148">
        <f>'680 nm (Bubble) Outlier'!C43</f>
        <v>0.64</v>
      </c>
      <c r="D30" s="151">
        <f>'680 nm (Bubble) Outlier'!D43</f>
        <v>0.45400000000000001</v>
      </c>
      <c r="E30" s="151">
        <f>'680 nm (Bubble) Outlier'!E43</f>
        <v>0.48</v>
      </c>
      <c r="F30" s="151">
        <f>'680 nm (Bubble) Outlier'!F43</f>
        <v>0.47699999999999998</v>
      </c>
      <c r="G30" s="157">
        <f>'680 nm (Bubble) Outlier'!G43</f>
        <v>0.64500000000000002</v>
      </c>
      <c r="H30" s="157">
        <f>'680 nm (Bubble) Outlier'!H43</f>
        <v>0.64400000000000002</v>
      </c>
      <c r="I30" s="157">
        <f>'680 nm (Bubble) Outlier'!I43</f>
        <v>0.64600000000000002</v>
      </c>
      <c r="J30" s="157">
        <f>'680 nm (Bubble) Outlier'!J43</f>
        <v>0.64200000000000002</v>
      </c>
      <c r="K30" s="157">
        <f>'680 nm (Bubble) Outlier'!K43</f>
        <v>7.0000000000000007E-2</v>
      </c>
      <c r="L30" s="157">
        <f>'680 nm (Bubble) Outlier'!L43</f>
        <v>7.0000000000000007E-2</v>
      </c>
      <c r="M30" s="157">
        <f>'680 nm (Bubble) Outlier'!M43</f>
        <v>7.0000000000000007E-2</v>
      </c>
      <c r="N30" s="159" t="str">
        <f>'680 nm (Bubble) Outlier'!N43</f>
        <v>read:412 Read#3</v>
      </c>
      <c r="O30" s="15" t="str">
        <f>'Raw Data'!$O$7</f>
        <v>Clarithromycin</v>
      </c>
      <c r="P30" s="331">
        <f t="shared" si="20"/>
        <v>7.0000000000000007E-2</v>
      </c>
      <c r="Q30" s="223">
        <f t="shared" si="17"/>
        <v>0</v>
      </c>
      <c r="R30" s="332">
        <f t="shared" si="18"/>
        <v>7.0000000000000007E-2</v>
      </c>
      <c r="S30"/>
      <c r="T30" s="329">
        <f>COUNTIF('Study Information'!$C$11:$C$17,"*")</f>
        <v>7</v>
      </c>
      <c r="U30" s="153">
        <f t="shared" si="14"/>
        <v>0.41869768625422982</v>
      </c>
      <c r="V30" s="337">
        <f t="shared" si="19"/>
        <v>7.1428571428571435E-3</v>
      </c>
      <c r="W30" s="341"/>
      <c r="X30" s="343" t="str">
        <f t="shared" si="15"/>
        <v>No Interference Detected</v>
      </c>
      <c r="Y30" s="457" t="str">
        <f t="shared" si="16"/>
        <v>Clarithromycin</v>
      </c>
    </row>
    <row r="31" spans="1:30" x14ac:dyDescent="0.35">
      <c r="A31" s="144" t="s">
        <v>6</v>
      </c>
      <c r="B31" s="147">
        <f>'Quartiles Outlier Blank-NC'!AA29</f>
        <v>7.0000000000000007E-2</v>
      </c>
      <c r="C31" s="148">
        <f>'680 nm (Bubble) Outlier'!C44</f>
        <v>0.63900000000000001</v>
      </c>
      <c r="D31" s="151">
        <f>'680 nm (Bubble) Outlier'!D44</f>
        <v>0.53800000000000003</v>
      </c>
      <c r="E31" s="151">
        <f>'680 nm (Bubble) Outlier'!E44</f>
        <v>0.55800000000000005</v>
      </c>
      <c r="F31" s="151">
        <f>'680 nm (Bubble) Outlier'!F44</f>
        <v>0.55000000000000004</v>
      </c>
      <c r="G31" s="158">
        <f>'680 nm (Bubble) Outlier'!G44</f>
        <v>0.60699999999999998</v>
      </c>
      <c r="H31" s="158">
        <f>'680 nm (Bubble) Outlier'!H44</f>
        <v>0.60299999999999998</v>
      </c>
      <c r="I31" s="158">
        <f>'680 nm (Bubble) Outlier'!I44</f>
        <v>0.61199999999999999</v>
      </c>
      <c r="J31" s="158">
        <f>'680 nm (Bubble) Outlier'!J44</f>
        <v>0.60899999999999999</v>
      </c>
      <c r="K31" s="158">
        <f>'680 nm (Bubble) Outlier'!K44</f>
        <v>7.0999999999999994E-2</v>
      </c>
      <c r="L31" s="158">
        <f>'680 nm (Bubble) Outlier'!L44</f>
        <v>7.4999999999999997E-2</v>
      </c>
      <c r="M31" s="158">
        <f>'680 nm (Bubble) Outlier'!M44</f>
        <v>7.2999999999999995E-2</v>
      </c>
      <c r="N31" s="159" t="str">
        <f>'680 nm (Bubble) Outlier'!N44</f>
        <v>read:412 Read#3</v>
      </c>
      <c r="O31" s="15" t="str">
        <f>'Raw Data'!$O$8</f>
        <v>o-Benzyl-p-chlorophenol</v>
      </c>
      <c r="P31" s="331">
        <f t="shared" si="20"/>
        <v>7.2999999999999995E-2</v>
      </c>
      <c r="Q31" s="223">
        <f t="shared" si="17"/>
        <v>2.0000000000000018E-3</v>
      </c>
      <c r="R31" s="332">
        <f t="shared" si="18"/>
        <v>7.4999999999999997E-2</v>
      </c>
      <c r="S31"/>
      <c r="T31" s="329">
        <f>COUNTIF('Study Information'!$C$11:$C$17,"*")</f>
        <v>7</v>
      </c>
      <c r="U31" s="153">
        <f t="shared" si="14"/>
        <v>4.5911830402284763E-3</v>
      </c>
      <c r="V31" s="337">
        <f t="shared" si="19"/>
        <v>7.1428571428571435E-3</v>
      </c>
      <c r="W31" s="341"/>
      <c r="X31" s="343" t="str">
        <f t="shared" si="15"/>
        <v>Interference Detected</v>
      </c>
      <c r="Y31" s="457" t="str">
        <f t="shared" si="16"/>
        <v>o-Benzyl-p-chlorophenol</v>
      </c>
    </row>
    <row r="32" spans="1:30" x14ac:dyDescent="0.35">
      <c r="A32" s="144" t="s">
        <v>7</v>
      </c>
      <c r="B32" s="147">
        <f>'Quartiles Outlier Blank-NC'!AA30</f>
        <v>7.0000000000000007E-2</v>
      </c>
      <c r="C32" s="148">
        <f>'680 nm (Bubble) Outlier'!C45</f>
        <v>0.63600000000000001</v>
      </c>
      <c r="D32" s="151">
        <f>'680 nm (Bubble) Outlier'!D45</f>
        <v>0.58599999999999997</v>
      </c>
      <c r="E32" s="151">
        <f>'680 nm (Bubble) Outlier'!E45</f>
        <v>0.59799999999999998</v>
      </c>
      <c r="F32" s="151">
        <f>'680 nm (Bubble) Outlier'!F45</f>
        <v>0.59599999999999997</v>
      </c>
      <c r="G32" s="147">
        <f>'680 nm (Bubble) Outlier'!G45</f>
        <v>0.624</v>
      </c>
      <c r="H32" s="147">
        <f>'680 nm (Bubble) Outlier'!H45</f>
        <v>0.61599999999999999</v>
      </c>
      <c r="I32" s="147">
        <f>'680 nm (Bubble) Outlier'!I45</f>
        <v>0.61899999999999999</v>
      </c>
      <c r="J32" s="147">
        <f>'680 nm (Bubble) Outlier'!J45</f>
        <v>0.621</v>
      </c>
      <c r="K32" s="147">
        <f>'680 nm (Bubble) Outlier'!K45</f>
        <v>8.3000000000000004E-2</v>
      </c>
      <c r="L32" s="147">
        <f>'680 nm (Bubble) Outlier'!L45</f>
        <v>8.4000000000000005E-2</v>
      </c>
      <c r="M32" s="147">
        <f>'680 nm (Bubble) Outlier'!M45</f>
        <v>8.5000000000000006E-2</v>
      </c>
      <c r="N32" s="159" t="str">
        <f>'680 nm (Bubble) Outlier'!N45</f>
        <v>read:412 Read#3</v>
      </c>
      <c r="O32" s="15" t="str">
        <f>'Raw Data'!$O$9</f>
        <v>5-Amino-o-cresol</v>
      </c>
      <c r="P32" s="331">
        <f t="shared" si="20"/>
        <v>8.4000000000000005E-2</v>
      </c>
      <c r="Q32" s="223">
        <f t="shared" si="17"/>
        <v>1.0000000000000009E-3</v>
      </c>
      <c r="R32" s="332">
        <f t="shared" si="18"/>
        <v>8.5000000000000006E-2</v>
      </c>
      <c r="S32"/>
      <c r="T32" s="329">
        <f>COUNTIF('Study Information'!$C$11:$C$17,"*")</f>
        <v>7</v>
      </c>
      <c r="U32" s="153">
        <f t="shared" si="14"/>
        <v>3.4401147546098199E-9</v>
      </c>
      <c r="V32" s="337">
        <f t="shared" si="19"/>
        <v>7.1428571428571435E-3</v>
      </c>
      <c r="W32" s="341"/>
      <c r="X32" s="343" t="str">
        <f t="shared" si="15"/>
        <v>Interference Detected</v>
      </c>
      <c r="Y32" s="457" t="str">
        <f t="shared" si="16"/>
        <v>5-Amino-o-cresol</v>
      </c>
    </row>
    <row r="33" spans="1:25" x14ac:dyDescent="0.35">
      <c r="P33" s="465"/>
      <c r="Q33" s="466"/>
      <c r="R33" s="467"/>
      <c r="T33" s="460"/>
      <c r="U33" s="461"/>
      <c r="V33" s="462"/>
      <c r="X33" s="464"/>
    </row>
    <row r="34" spans="1:25" x14ac:dyDescent="0.35">
      <c r="A34" s="144" t="str">
        <f>'680 nm (Bubble) Outlier'!A47</f>
        <v>50 min</v>
      </c>
      <c r="B34" s="144">
        <f>'680 nm (Bubble) Outlier'!B47</f>
        <v>1</v>
      </c>
      <c r="C34" s="144">
        <f>'680 nm (Bubble) Outlier'!C47</f>
        <v>2</v>
      </c>
      <c r="D34" s="144">
        <f>'680 nm (Bubble) Outlier'!D47</f>
        <v>3</v>
      </c>
      <c r="E34" s="144">
        <f>'680 nm (Bubble) Outlier'!E47</f>
        <v>4</v>
      </c>
      <c r="F34" s="144">
        <f>'680 nm (Bubble) Outlier'!F47</f>
        <v>5</v>
      </c>
      <c r="G34" s="144">
        <f>'680 nm (Bubble) Outlier'!G47</f>
        <v>6</v>
      </c>
      <c r="H34" s="144">
        <f>'680 nm (Bubble) Outlier'!H47</f>
        <v>7</v>
      </c>
      <c r="I34" s="144">
        <f>'680 nm (Bubble) Outlier'!I47</f>
        <v>8</v>
      </c>
      <c r="J34" s="144">
        <f>'680 nm (Bubble) Outlier'!J47</f>
        <v>9</v>
      </c>
      <c r="K34" s="144">
        <f>'680 nm (Bubble) Outlier'!K47</f>
        <v>10</v>
      </c>
      <c r="L34" s="144">
        <f>'680 nm (Bubble) Outlier'!L47</f>
        <v>11</v>
      </c>
      <c r="M34" s="144">
        <f>'680 nm (Bubble) Outlier'!M47</f>
        <v>12</v>
      </c>
      <c r="P34" s="327" t="s">
        <v>20</v>
      </c>
      <c r="Q34" s="161" t="s">
        <v>13</v>
      </c>
      <c r="R34" s="328" t="s">
        <v>75</v>
      </c>
      <c r="T34" s="460"/>
      <c r="U34" s="461"/>
      <c r="V34" s="462"/>
      <c r="X34" s="464"/>
    </row>
    <row r="35" spans="1:25" x14ac:dyDescent="0.35">
      <c r="A35" s="144" t="str">
        <f>'680 nm (Bubble) Outlier'!A48</f>
        <v>A</v>
      </c>
      <c r="B35" s="147">
        <f>'Quartiles Outlier Blank-NC'!AA33</f>
        <v>7.0000000000000007E-2</v>
      </c>
      <c r="C35" s="148">
        <f>'680 nm (Bubble) Outlier'!C48</f>
        <v>0.63200000000000001</v>
      </c>
      <c r="D35" s="148">
        <f>'680 nm (Bubble) Outlier'!D48</f>
        <v>0.63700000000000001</v>
      </c>
      <c r="E35" s="148">
        <f>'680 nm (Bubble) Outlier'!E48</f>
        <v>0.66900000000000004</v>
      </c>
      <c r="F35" s="148">
        <f>'680 nm (Bubble) Outlier'!F48</f>
        <v>0.64300000000000002</v>
      </c>
      <c r="G35" s="148">
        <f>'680 nm (Bubble) Outlier'!G48</f>
        <v>0.64300000000000002</v>
      </c>
      <c r="H35" s="148">
        <f>'680 nm (Bubble) Outlier'!H48</f>
        <v>0.64300000000000002</v>
      </c>
      <c r="I35" s="148">
        <f>'680 nm (Bubble) Outlier'!I48</f>
        <v>0.64600000000000002</v>
      </c>
      <c r="J35" s="148">
        <f>'680 nm (Bubble) Outlier'!J48</f>
        <v>0.64300000000000002</v>
      </c>
      <c r="K35" s="148"/>
      <c r="L35" s="148"/>
      <c r="M35" s="148"/>
      <c r="N35" s="159" t="str">
        <f>'680 nm (Bubble) Outlier'!N48</f>
        <v>read:412 Read#4</v>
      </c>
      <c r="O35" s="224" t="s">
        <v>58</v>
      </c>
      <c r="P35" s="459">
        <f>AVERAGE(B35:B42)</f>
        <v>7.1749999999999994E-2</v>
      </c>
      <c r="Q35" s="222">
        <f>STDEV(B35:B42)</f>
        <v>1.1649647450214301E-3</v>
      </c>
      <c r="R35" s="330">
        <f>P35-Q35</f>
        <v>7.058503525497857E-2</v>
      </c>
      <c r="T35" s="327" t="s">
        <v>73</v>
      </c>
      <c r="U35" s="161" t="s">
        <v>74</v>
      </c>
      <c r="V35" s="336" t="s">
        <v>79</v>
      </c>
      <c r="W35" s="326"/>
      <c r="X35" s="344" t="s">
        <v>205</v>
      </c>
    </row>
    <row r="36" spans="1:25" x14ac:dyDescent="0.35">
      <c r="A36" s="144" t="str">
        <f>'680 nm (Bubble) Outlier'!A49</f>
        <v>B</v>
      </c>
      <c r="B36" s="147">
        <f>'Quartiles Outlier Blank-NC'!AA34</f>
        <v>7.2999999999999995E-2</v>
      </c>
      <c r="C36" s="148">
        <f>'680 nm (Bubble) Outlier'!C49</f>
        <v>0.63600000000000001</v>
      </c>
      <c r="D36" s="151">
        <f>'680 nm (Bubble) Outlier'!D49</f>
        <v>9.1999999999999998E-2</v>
      </c>
      <c r="E36" s="151">
        <f>'680 nm (Bubble) Outlier'!E49</f>
        <v>8.6999999999999994E-2</v>
      </c>
      <c r="F36" s="151">
        <f>'680 nm (Bubble) Outlier'!F49</f>
        <v>8.4000000000000005E-2</v>
      </c>
      <c r="G36" s="152">
        <f>'680 nm (Bubble) Outlier'!G49</f>
        <v>0.629</v>
      </c>
      <c r="H36" s="152">
        <f>'680 nm (Bubble) Outlier'!H49</f>
        <v>0.63400000000000001</v>
      </c>
      <c r="I36" s="152">
        <f>'680 nm (Bubble) Outlier'!I49</f>
        <v>0.63800000000000001</v>
      </c>
      <c r="J36" s="152">
        <f>'680 nm (Bubble) Outlier'!J49</f>
        <v>0.628</v>
      </c>
      <c r="K36" s="152">
        <f>'680 nm (Bubble) Outlier'!K49</f>
        <v>7.3999999999999996E-2</v>
      </c>
      <c r="L36" s="152">
        <f>'680 nm (Bubble) Outlier'!L49</f>
        <v>7.3999999999999996E-2</v>
      </c>
      <c r="M36" s="152">
        <f>'680 nm (Bubble) Outlier'!M49</f>
        <v>7.4999999999999997E-2</v>
      </c>
      <c r="N36" s="159" t="str">
        <f>'680 nm (Bubble) Outlier'!N49</f>
        <v>read:412 Read#4</v>
      </c>
      <c r="O36" s="15" t="str">
        <f>'Raw Data'!$O$3</f>
        <v>Tri-n-octylphospine oxide</v>
      </c>
      <c r="P36" s="331">
        <f>AVERAGE(K36:M36)</f>
        <v>7.4333333333333321E-2</v>
      </c>
      <c r="Q36" s="223">
        <f>STDEV(K36:M36)</f>
        <v>5.7735026918962634E-4</v>
      </c>
      <c r="R36" s="332">
        <f>P36+Q36</f>
        <v>7.4910683602522954E-2</v>
      </c>
      <c r="S36"/>
      <c r="T36" s="329">
        <f>COUNTIF('Study Information'!$C$11:$C$17,"*")</f>
        <v>7</v>
      </c>
      <c r="U36" s="153">
        <f t="shared" ref="U36:U42" si="21">_xlfn.T.TEST($B$35:$B$42,K36:M36,1,2)</f>
        <v>2.9183649813827334E-3</v>
      </c>
      <c r="V36" s="337">
        <f>0.05/T36</f>
        <v>7.1428571428571435E-3</v>
      </c>
      <c r="W36" s="341"/>
      <c r="X36" s="343" t="str">
        <f t="shared" ref="X36:X42" si="22">IF(R36&lt;$R$35,"Potential Interference, reading below NC/PC Blank",IF(U36&lt;V36,"Interference Detected","No Interference Detected"))</f>
        <v>Interference Detected</v>
      </c>
      <c r="Y36" s="457" t="str">
        <f>O36</f>
        <v>Tri-n-octylphospine oxide</v>
      </c>
    </row>
    <row r="37" spans="1:25" x14ac:dyDescent="0.35">
      <c r="A37" s="144" t="str">
        <f>'680 nm (Bubble) Outlier'!A50</f>
        <v>C</v>
      </c>
      <c r="B37" s="147">
        <f>'Quartiles Outlier Blank-NC'!AA35</f>
        <v>7.1999999999999995E-2</v>
      </c>
      <c r="C37" s="148">
        <f>'680 nm (Bubble) Outlier'!C50</f>
        <v>0.63700000000000001</v>
      </c>
      <c r="D37" s="151">
        <f>'680 nm (Bubble) Outlier'!D50</f>
        <v>8.7999999999999995E-2</v>
      </c>
      <c r="E37" s="151">
        <f>'680 nm (Bubble) Outlier'!E50</f>
        <v>0.108</v>
      </c>
      <c r="F37" s="151">
        <f>'680 nm (Bubble) Outlier'!F50</f>
        <v>8.7999999999999995E-2</v>
      </c>
      <c r="G37" s="155">
        <f>'680 nm (Bubble) Outlier'!G50</f>
        <v>0.60799999999999998</v>
      </c>
      <c r="H37" s="155">
        <f>'680 nm (Bubble) Outlier'!H50</f>
        <v>0.60299999999999998</v>
      </c>
      <c r="I37" s="155">
        <f>'680 nm (Bubble) Outlier'!I50</f>
        <v>0.60499999999999998</v>
      </c>
      <c r="J37" s="155">
        <f>'680 nm (Bubble) Outlier'!J50</f>
        <v>0.60599999999999998</v>
      </c>
      <c r="K37" s="155">
        <f>'680 nm (Bubble) Outlier'!K50</f>
        <v>7.0999999999999994E-2</v>
      </c>
      <c r="L37" s="155">
        <f>'680 nm (Bubble) Outlier'!L50</f>
        <v>7.1999999999999995E-2</v>
      </c>
      <c r="M37" s="155">
        <f>'680 nm (Bubble) Outlier'!M50</f>
        <v>7.2999999999999995E-2</v>
      </c>
      <c r="N37" s="159" t="str">
        <f>'680 nm (Bubble) Outlier'!N50</f>
        <v>read:412 Read#4</v>
      </c>
      <c r="O37" s="15" t="str">
        <f>'Raw Data'!$O$4</f>
        <v>Dicyclohexylcarbodiimide</v>
      </c>
      <c r="P37" s="331">
        <f>AVERAGE(K37:M37)</f>
        <v>7.1999999999999995E-2</v>
      </c>
      <c r="Q37" s="223">
        <f t="shared" ref="Q37:Q42" si="23">STDEV(K37:M37)</f>
        <v>1.0000000000000009E-3</v>
      </c>
      <c r="R37" s="332">
        <f t="shared" ref="R37:R42" si="24">P37+Q37</f>
        <v>7.2999999999999995E-2</v>
      </c>
      <c r="S37"/>
      <c r="T37" s="329">
        <f>COUNTIF('Study Information'!$C$11:$C$17,"*")</f>
        <v>7</v>
      </c>
      <c r="U37" s="153">
        <f t="shared" si="21"/>
        <v>0.37568979016253279</v>
      </c>
      <c r="V37" s="337">
        <f t="shared" ref="V37:V42" si="25">0.05/T37</f>
        <v>7.1428571428571435E-3</v>
      </c>
      <c r="W37" s="341"/>
      <c r="X37" s="343" t="str">
        <f t="shared" si="22"/>
        <v>No Interference Detected</v>
      </c>
      <c r="Y37" s="457" t="str">
        <f t="shared" ref="Y37:Y42" si="26">O37</f>
        <v>Dicyclohexylcarbodiimide</v>
      </c>
    </row>
    <row r="38" spans="1:25" x14ac:dyDescent="0.35">
      <c r="A38" s="144" t="str">
        <f>'680 nm (Bubble) Outlier'!A51</f>
        <v>D</v>
      </c>
      <c r="B38" s="147">
        <f>'Quartiles Outlier Blank-NC'!AA36</f>
        <v>7.0000000000000007E-2</v>
      </c>
      <c r="C38" s="148">
        <f>'680 nm (Bubble) Outlier'!C51</f>
        <v>0.629</v>
      </c>
      <c r="D38" s="151">
        <f>'680 nm (Bubble) Outlier'!D51</f>
        <v>0.14199999999999999</v>
      </c>
      <c r="E38" s="151">
        <f>'680 nm (Bubble) Outlier'!E51</f>
        <v>0.16200000000000001</v>
      </c>
      <c r="F38" s="151">
        <f>'680 nm (Bubble) Outlier'!F51</f>
        <v>0.13500000000000001</v>
      </c>
      <c r="G38" s="144">
        <f>'680 nm (Bubble) Outlier'!G51</f>
        <v>0.64</v>
      </c>
      <c r="H38" s="144">
        <f>'680 nm (Bubble) Outlier'!H51</f>
        <v>0.64</v>
      </c>
      <c r="I38" s="144">
        <f>'680 nm (Bubble) Outlier'!I51</f>
        <v>0.64100000000000001</v>
      </c>
      <c r="J38" s="144">
        <f>'680 nm (Bubble) Outlier'!J51</f>
        <v>0.63700000000000001</v>
      </c>
      <c r="K38" s="144">
        <f>'680 nm (Bubble) Outlier'!K51</f>
        <v>7.0999999999999994E-2</v>
      </c>
      <c r="L38" s="144">
        <f>'680 nm (Bubble) Outlier'!L51</f>
        <v>7.2999999999999995E-2</v>
      </c>
      <c r="M38" s="144">
        <f>'680 nm (Bubble) Outlier'!M51</f>
        <v>7.2999999999999995E-2</v>
      </c>
      <c r="N38" s="159" t="str">
        <f>'680 nm (Bubble) Outlier'!N51</f>
        <v>read:412 Read#4</v>
      </c>
      <c r="O38" s="15" t="str">
        <f>'Raw Data'!$O$5</f>
        <v>Triethanolamine</v>
      </c>
      <c r="P38" s="331">
        <f t="shared" ref="P38:P42" si="27">AVERAGE(K38:M38)</f>
        <v>7.2333333333333319E-2</v>
      </c>
      <c r="Q38" s="223">
        <f t="shared" si="23"/>
        <v>1.1547005383792527E-3</v>
      </c>
      <c r="R38" s="332">
        <f t="shared" si="24"/>
        <v>7.3488033871712571E-2</v>
      </c>
      <c r="S38"/>
      <c r="T38" s="329">
        <f>COUNTIF('Study Information'!$C$11:$C$17,"*")</f>
        <v>7</v>
      </c>
      <c r="U38" s="153">
        <f t="shared" si="21"/>
        <v>0.23876908773687727</v>
      </c>
      <c r="V38" s="337">
        <f t="shared" si="25"/>
        <v>7.1428571428571435E-3</v>
      </c>
      <c r="W38" s="341"/>
      <c r="X38" s="343" t="str">
        <f t="shared" si="22"/>
        <v>No Interference Detected</v>
      </c>
      <c r="Y38" s="457" t="str">
        <f t="shared" si="26"/>
        <v>Triethanolamine</v>
      </c>
    </row>
    <row r="39" spans="1:25" x14ac:dyDescent="0.35">
      <c r="A39" s="144" t="str">
        <f>'680 nm (Bubble) Outlier'!A52</f>
        <v>E</v>
      </c>
      <c r="B39" s="147">
        <f>'Quartiles Outlier Blank-NC'!AA37</f>
        <v>7.1999999999999995E-2</v>
      </c>
      <c r="C39" s="148">
        <f>'680 nm (Bubble) Outlier'!C52</f>
        <v>0.63500000000000001</v>
      </c>
      <c r="D39" s="151">
        <f>'680 nm (Bubble) Outlier'!D52</f>
        <v>0.27500000000000002</v>
      </c>
      <c r="E39" s="151">
        <f>'680 nm (Bubble) Outlier'!E52</f>
        <v>0.307</v>
      </c>
      <c r="F39" s="151">
        <f>'680 nm (Bubble) Outlier'!F52</f>
        <v>0.29199999999999998</v>
      </c>
      <c r="G39" s="156">
        <f>'680 nm (Bubble) Outlier'!G52</f>
        <v>0.60599999999999998</v>
      </c>
      <c r="H39" s="156">
        <f>'680 nm (Bubble) Outlier'!H52</f>
        <v>0.60299999999999998</v>
      </c>
      <c r="I39" s="156">
        <f>'680 nm (Bubble) Outlier'!I52</f>
        <v>0.60899999999999999</v>
      </c>
      <c r="J39" s="156">
        <f>'680 nm (Bubble) Outlier'!J52</f>
        <v>0.60499999999999998</v>
      </c>
      <c r="K39" s="156">
        <f>'680 nm (Bubble) Outlier'!K52</f>
        <v>7.0999999999999994E-2</v>
      </c>
      <c r="L39" s="156">
        <f>'680 nm (Bubble) Outlier'!L52</f>
        <v>7.1999999999999995E-2</v>
      </c>
      <c r="M39" s="156">
        <f>'680 nm (Bubble) Outlier'!M52</f>
        <v>7.3999999999999996E-2</v>
      </c>
      <c r="N39" s="159" t="str">
        <f>'680 nm (Bubble) Outlier'!N52</f>
        <v>read:412 Read#4</v>
      </c>
      <c r="O39" s="15" t="str">
        <f>'Raw Data'!$O$6</f>
        <v>Pentaerythritol triacrylate</v>
      </c>
      <c r="P39" s="331">
        <f t="shared" si="27"/>
        <v>7.2333333333333319E-2</v>
      </c>
      <c r="Q39" s="223">
        <f t="shared" si="23"/>
        <v>1.5275252316519479E-3</v>
      </c>
      <c r="R39" s="332">
        <f t="shared" si="24"/>
        <v>7.3860858564985268E-2</v>
      </c>
      <c r="S39"/>
      <c r="T39" s="329">
        <f>COUNTIF('Study Information'!$C$11:$C$17,"*")</f>
        <v>7</v>
      </c>
      <c r="U39" s="153">
        <f t="shared" si="21"/>
        <v>0.25476598630681502</v>
      </c>
      <c r="V39" s="337">
        <f t="shared" si="25"/>
        <v>7.1428571428571435E-3</v>
      </c>
      <c r="W39" s="341"/>
      <c r="X39" s="343" t="str">
        <f t="shared" si="22"/>
        <v>No Interference Detected</v>
      </c>
      <c r="Y39" s="457" t="str">
        <f t="shared" si="26"/>
        <v>Pentaerythritol triacrylate</v>
      </c>
    </row>
    <row r="40" spans="1:25" x14ac:dyDescent="0.35">
      <c r="A40" s="144" t="str">
        <f>'680 nm (Bubble) Outlier'!A53</f>
        <v>F</v>
      </c>
      <c r="B40" s="147">
        <f>'Quartiles Outlier Blank-NC'!AA38</f>
        <v>7.2999999999999995E-2</v>
      </c>
      <c r="C40" s="148">
        <f>'680 nm (Bubble) Outlier'!C53</f>
        <v>0.64</v>
      </c>
      <c r="D40" s="151">
        <f>'680 nm (Bubble) Outlier'!D53</f>
        <v>0.40899999999999997</v>
      </c>
      <c r="E40" s="151">
        <f>'680 nm (Bubble) Outlier'!E53</f>
        <v>0.436</v>
      </c>
      <c r="F40" s="151">
        <f>'680 nm (Bubble) Outlier'!F53</f>
        <v>0.433</v>
      </c>
      <c r="G40" s="157">
        <f>'680 nm (Bubble) Outlier'!G53</f>
        <v>0.64400000000000002</v>
      </c>
      <c r="H40" s="157">
        <f>'680 nm (Bubble) Outlier'!H53</f>
        <v>0.64300000000000002</v>
      </c>
      <c r="I40" s="157">
        <f>'680 nm (Bubble) Outlier'!I53</f>
        <v>0.64500000000000002</v>
      </c>
      <c r="J40" s="157">
        <f>'680 nm (Bubble) Outlier'!J53</f>
        <v>0.64100000000000001</v>
      </c>
      <c r="K40" s="157">
        <f>'680 nm (Bubble) Outlier'!K53</f>
        <v>7.0999999999999994E-2</v>
      </c>
      <c r="L40" s="157">
        <f>'680 nm (Bubble) Outlier'!L53</f>
        <v>7.0000000000000007E-2</v>
      </c>
      <c r="M40" s="157">
        <f>'680 nm (Bubble) Outlier'!M53</f>
        <v>7.1999999999999995E-2</v>
      </c>
      <c r="N40" s="159" t="str">
        <f>'680 nm (Bubble) Outlier'!N53</f>
        <v>read:412 Read#4</v>
      </c>
      <c r="O40" s="15" t="str">
        <f>'Raw Data'!$O$7</f>
        <v>Clarithromycin</v>
      </c>
      <c r="P40" s="331">
        <f t="shared" si="27"/>
        <v>7.1000000000000008E-2</v>
      </c>
      <c r="Q40" s="223">
        <f t="shared" si="23"/>
        <v>9.9999999999999395E-4</v>
      </c>
      <c r="R40" s="332">
        <f t="shared" si="24"/>
        <v>7.2000000000000008E-2</v>
      </c>
      <c r="S40"/>
      <c r="T40" s="329">
        <f>COUNTIF('Study Information'!$C$11:$C$17,"*")</f>
        <v>7</v>
      </c>
      <c r="U40" s="153">
        <f t="shared" si="21"/>
        <v>0.17633783640609868</v>
      </c>
      <c r="V40" s="337">
        <f t="shared" si="25"/>
        <v>7.1428571428571435E-3</v>
      </c>
      <c r="W40" s="341"/>
      <c r="X40" s="343" t="str">
        <f t="shared" si="22"/>
        <v>No Interference Detected</v>
      </c>
      <c r="Y40" s="457" t="str">
        <f t="shared" si="26"/>
        <v>Clarithromycin</v>
      </c>
    </row>
    <row r="41" spans="1:25" x14ac:dyDescent="0.35">
      <c r="A41" s="144" t="str">
        <f>'680 nm (Bubble) Outlier'!A54</f>
        <v>G</v>
      </c>
      <c r="B41" s="147">
        <f>'Quartiles Outlier Blank-NC'!AA39</f>
        <v>7.1999999999999995E-2</v>
      </c>
      <c r="C41" s="148">
        <f>'680 nm (Bubble) Outlier'!C54</f>
        <v>0.63900000000000001</v>
      </c>
      <c r="D41" s="151">
        <f>'680 nm (Bubble) Outlier'!D54</f>
        <v>0.51300000000000001</v>
      </c>
      <c r="E41" s="151">
        <f>'680 nm (Bubble) Outlier'!E54</f>
        <v>0.53200000000000003</v>
      </c>
      <c r="F41" s="151">
        <f>'680 nm (Bubble) Outlier'!F54</f>
        <v>0.52300000000000002</v>
      </c>
      <c r="G41" s="158">
        <f>'680 nm (Bubble) Outlier'!G54</f>
        <v>0.59799999999999998</v>
      </c>
      <c r="H41" s="158">
        <f>'680 nm (Bubble) Outlier'!H54</f>
        <v>0.59199999999999997</v>
      </c>
      <c r="I41" s="158">
        <f>'680 nm (Bubble) Outlier'!I54</f>
        <v>0.60199999999999998</v>
      </c>
      <c r="J41" s="158">
        <f>'680 nm (Bubble) Outlier'!J54</f>
        <v>0.60099999999999998</v>
      </c>
      <c r="K41" s="158">
        <f>'680 nm (Bubble) Outlier'!K54</f>
        <v>7.2999999999999995E-2</v>
      </c>
      <c r="L41" s="158">
        <f>'680 nm (Bubble) Outlier'!L54</f>
        <v>7.6999999999999999E-2</v>
      </c>
      <c r="M41" s="158">
        <f>'680 nm (Bubble) Outlier'!M54</f>
        <v>7.4999999999999997E-2</v>
      </c>
      <c r="N41" s="159" t="str">
        <f>'680 nm (Bubble) Outlier'!N54</f>
        <v>read:412 Read#4</v>
      </c>
      <c r="O41" s="15" t="str">
        <f>'Raw Data'!$O$8</f>
        <v>o-Benzyl-p-chlorophenol</v>
      </c>
      <c r="P41" s="331">
        <f t="shared" si="27"/>
        <v>7.4999999999999997E-2</v>
      </c>
      <c r="Q41" s="223">
        <f t="shared" si="23"/>
        <v>2.0000000000000018E-3</v>
      </c>
      <c r="R41" s="332">
        <f t="shared" si="24"/>
        <v>7.6999999999999999E-2</v>
      </c>
      <c r="S41"/>
      <c r="T41" s="329">
        <f>COUNTIF('Study Information'!$C$11:$C$17,"*")</f>
        <v>7</v>
      </c>
      <c r="U41" s="153">
        <f t="shared" si="21"/>
        <v>3.6797281241969793E-3</v>
      </c>
      <c r="V41" s="337">
        <f t="shared" si="25"/>
        <v>7.1428571428571435E-3</v>
      </c>
      <c r="W41" s="341"/>
      <c r="X41" s="343" t="str">
        <f t="shared" si="22"/>
        <v>Interference Detected</v>
      </c>
      <c r="Y41" s="457" t="str">
        <f t="shared" si="26"/>
        <v>o-Benzyl-p-chlorophenol</v>
      </c>
    </row>
    <row r="42" spans="1:25" ht="15" thickBot="1" x14ac:dyDescent="0.4">
      <c r="A42" s="144" t="str">
        <f>'680 nm (Bubble) Outlier'!A55</f>
        <v>H</v>
      </c>
      <c r="B42" s="147">
        <f>'Quartiles Outlier Blank-NC'!AA40</f>
        <v>7.1999999999999995E-2</v>
      </c>
      <c r="C42" s="148">
        <f>'680 nm (Bubble) Outlier'!C55</f>
        <v>0.63700000000000001</v>
      </c>
      <c r="D42" s="151">
        <f>'680 nm (Bubble) Outlier'!D55</f>
        <v>0.57299999999999995</v>
      </c>
      <c r="E42" s="151">
        <f>'680 nm (Bubble) Outlier'!E55</f>
        <v>0.58399999999999996</v>
      </c>
      <c r="F42" s="151">
        <f>'680 nm (Bubble) Outlier'!F55</f>
        <v>0.58099999999999996</v>
      </c>
      <c r="G42" s="147">
        <f>'680 nm (Bubble) Outlier'!G55</f>
        <v>0.60799999999999998</v>
      </c>
      <c r="H42" s="147">
        <f>'680 nm (Bubble) Outlier'!H55</f>
        <v>0.59899999999999998</v>
      </c>
      <c r="I42" s="147">
        <f>'680 nm (Bubble) Outlier'!I55</f>
        <v>0.60299999999999998</v>
      </c>
      <c r="J42" s="147">
        <f>'680 nm (Bubble) Outlier'!J55</f>
        <v>0.60499999999999998</v>
      </c>
      <c r="K42" s="147">
        <f>'680 nm (Bubble) Outlier'!K55</f>
        <v>8.5000000000000006E-2</v>
      </c>
      <c r="L42" s="147">
        <f>'680 nm (Bubble) Outlier'!L55</f>
        <v>8.5999999999999993E-2</v>
      </c>
      <c r="M42" s="147">
        <f>'680 nm (Bubble) Outlier'!M55</f>
        <v>8.6999999999999994E-2</v>
      </c>
      <c r="N42" s="159" t="str">
        <f>'680 nm (Bubble) Outlier'!N55</f>
        <v>read:412 Read#4</v>
      </c>
      <c r="O42" s="15" t="str">
        <f>'Raw Data'!$O$9</f>
        <v>5-Amino-o-cresol</v>
      </c>
      <c r="P42" s="333">
        <f t="shared" si="27"/>
        <v>8.6000000000000007E-2</v>
      </c>
      <c r="Q42" s="334">
        <f t="shared" si="23"/>
        <v>9.9999999999999395E-4</v>
      </c>
      <c r="R42" s="335">
        <f t="shared" si="24"/>
        <v>8.6999999999999994E-2</v>
      </c>
      <c r="S42"/>
      <c r="T42" s="338">
        <f>COUNTIF('Study Information'!$C$11:$C$17,"*")</f>
        <v>7</v>
      </c>
      <c r="U42" s="339">
        <f t="shared" si="21"/>
        <v>8.5179775266331428E-9</v>
      </c>
      <c r="V42" s="340">
        <f t="shared" si="25"/>
        <v>7.1428571428571435E-3</v>
      </c>
      <c r="W42" s="341"/>
      <c r="X42" s="345" t="str">
        <f t="shared" si="22"/>
        <v>Interference Detected</v>
      </c>
      <c r="Y42" s="457" t="str">
        <f t="shared" si="26"/>
        <v>5-Amino-o-cresol</v>
      </c>
    </row>
  </sheetData>
  <sheetProtection algorithmName="SHA-512" hashValue="vnnhoZ9Q3DEsWlEi1LuqsdjrtoqKPQ88U7P7X7M4r6x+JiQMSop5p+LLmid/FVM56tJPPZ59FXIXlYLOUB2AZA==" saltValue="5Pcrww0Wgr/7kjEMnMM09A==" spinCount="100000" sheet="1" objects="1" scenarios="1"/>
  <mergeCells count="4">
    <mergeCell ref="A3:M3"/>
    <mergeCell ref="P3:R3"/>
    <mergeCell ref="T3:V3"/>
    <mergeCell ref="A1:V1"/>
  </mergeCells>
  <conditionalFormatting sqref="AA5:AB15">
    <cfRule type="containsText" dxfId="268" priority="93" operator="containsText" text="n">
      <formula>NOT(ISERROR(SEARCH("n",AA5)))</formula>
    </cfRule>
    <cfRule type="containsText" dxfId="267" priority="94" operator="containsText" text="n">
      <formula>NOT(ISERROR(SEARCH("n",AA5)))</formula>
    </cfRule>
  </conditionalFormatting>
  <conditionalFormatting sqref="AA5:AB15">
    <cfRule type="cellIs" dxfId="266" priority="95" operator="greaterThan">
      <formula>$K$18</formula>
    </cfRule>
  </conditionalFormatting>
  <conditionalFormatting sqref="AC5">
    <cfRule type="containsText" dxfId="265" priority="91" operator="containsText" text="Pass">
      <formula>NOT(ISERROR(SEARCH("Pass",AC5)))</formula>
    </cfRule>
    <cfRule type="containsText" dxfId="264" priority="92" operator="containsText" text="OUTLIER">
      <formula>NOT(ISERROR(SEARCH("OUTLIER",AC5)))</formula>
    </cfRule>
  </conditionalFormatting>
  <conditionalFormatting sqref="B5:M12 B15:M22 B25:M32 B35:M42">
    <cfRule type="containsBlanks" dxfId="263" priority="90">
      <formula>LEN(TRIM(B5))=0</formula>
    </cfRule>
  </conditionalFormatting>
  <conditionalFormatting sqref="K5:M12 K15:M22 K25:M32 K35:M42">
    <cfRule type="containsBlanks" dxfId="262" priority="69">
      <formula>LEN(TRIM(K5))=0</formula>
    </cfRule>
  </conditionalFormatting>
  <conditionalFormatting sqref="X26:X32">
    <cfRule type="containsText" dxfId="261" priority="42" operator="containsText" text="No">
      <formula>NOT(ISERROR(SEARCH("No",X26)))</formula>
    </cfRule>
    <cfRule type="containsText" dxfId="260" priority="43" operator="containsText" text="Interference Detected">
      <formula>NOT(ISERROR(SEARCH("Interference Detected",X26)))</formula>
    </cfRule>
    <cfRule type="containsText" dxfId="259" priority="44" operator="containsText" text="No Interference Detected">
      <formula>NOT(ISERROR(SEARCH("No Interference Detected",X26)))</formula>
    </cfRule>
    <cfRule type="containsText" dxfId="258" priority="45" operator="containsText" text="Interference Detected">
      <formula>NOT(ISERROR(SEARCH("Interference Detected",X26)))</formula>
    </cfRule>
    <cfRule type="containsText" dxfId="257" priority="46" operator="containsText" text="No">
      <formula>NOT(ISERROR(SEARCH("No",X26)))</formula>
    </cfRule>
  </conditionalFormatting>
  <conditionalFormatting sqref="X36:X42">
    <cfRule type="containsText" dxfId="256" priority="37" operator="containsText" text="No">
      <formula>NOT(ISERROR(SEARCH("No",X36)))</formula>
    </cfRule>
    <cfRule type="containsText" dxfId="255" priority="38" operator="containsText" text="Interference Detected">
      <formula>NOT(ISERROR(SEARCH("Interference Detected",X36)))</formula>
    </cfRule>
    <cfRule type="containsText" dxfId="254" priority="39" operator="containsText" text="No Interference Detected">
      <formula>NOT(ISERROR(SEARCH("No Interference Detected",X36)))</formula>
    </cfRule>
    <cfRule type="containsText" dxfId="253" priority="40" operator="containsText" text="Interference Detected">
      <formula>NOT(ISERROR(SEARCH("Interference Detected",X36)))</formula>
    </cfRule>
    <cfRule type="containsText" dxfId="252" priority="41" operator="containsText" text="No">
      <formula>NOT(ISERROR(SEARCH("No",X36)))</formula>
    </cfRule>
  </conditionalFormatting>
  <conditionalFormatting sqref="K6:M12">
    <cfRule type="cellIs" dxfId="251" priority="316" operator="between">
      <formula>#REF!</formula>
      <formula>#REF!</formula>
    </cfRule>
    <cfRule type="cellIs" dxfId="250" priority="317" operator="lessThan">
      <formula>#REF!</formula>
    </cfRule>
    <cfRule type="cellIs" dxfId="249" priority="318" operator="greaterThan">
      <formula>#REF!</formula>
    </cfRule>
  </conditionalFormatting>
  <conditionalFormatting sqref="K16:M22">
    <cfRule type="cellIs" dxfId="248" priority="319" operator="between">
      <formula>#REF!</formula>
      <formula>#REF!</formula>
    </cfRule>
    <cfRule type="cellIs" dxfId="247" priority="320" operator="lessThan">
      <formula>#REF!</formula>
    </cfRule>
    <cfRule type="cellIs" dxfId="246" priority="321" operator="greaterThan">
      <formula>#REF!</formula>
    </cfRule>
  </conditionalFormatting>
  <conditionalFormatting sqref="K26:M32">
    <cfRule type="cellIs" dxfId="245" priority="322" operator="between">
      <formula>#REF!</formula>
      <formula>#REF!</formula>
    </cfRule>
    <cfRule type="cellIs" dxfId="244" priority="323" operator="lessThan">
      <formula>#REF!</formula>
    </cfRule>
    <cfRule type="cellIs" dxfId="243" priority="324" operator="greaterThan">
      <formula>#REF!</formula>
    </cfRule>
  </conditionalFormatting>
  <conditionalFormatting sqref="K36:M42">
    <cfRule type="cellIs" dxfId="242" priority="325" operator="between">
      <formula>#REF!</formula>
      <formula>#REF!</formula>
    </cfRule>
    <cfRule type="cellIs" dxfId="241" priority="326" operator="lessThan">
      <formula>#REF!</formula>
    </cfRule>
    <cfRule type="cellIs" dxfId="240" priority="327" operator="greaterThan">
      <formula>#REF!</formula>
    </cfRule>
  </conditionalFormatting>
  <conditionalFormatting sqref="X6:X12">
    <cfRule type="containsText" dxfId="239" priority="32" operator="containsText" text="No">
      <formula>NOT(ISERROR(SEARCH("No",X6)))</formula>
    </cfRule>
    <cfRule type="containsText" dxfId="238" priority="33" operator="containsText" text="Interference Detected">
      <formula>NOT(ISERROR(SEARCH("Interference Detected",X6)))</formula>
    </cfRule>
    <cfRule type="containsText" dxfId="237" priority="34" operator="containsText" text="No Interference Detected">
      <formula>NOT(ISERROR(SEARCH("No Interference Detected",X6)))</formula>
    </cfRule>
    <cfRule type="containsText" dxfId="236" priority="35" operator="containsText" text="Interference Detected">
      <formula>NOT(ISERROR(SEARCH("Interference Detected",X6)))</formula>
    </cfRule>
    <cfRule type="containsText" dxfId="235" priority="36" operator="containsText" text="No">
      <formula>NOT(ISERROR(SEARCH("No",X6)))</formula>
    </cfRule>
  </conditionalFormatting>
  <conditionalFormatting sqref="X16:X22">
    <cfRule type="containsText" dxfId="234" priority="27" operator="containsText" text="No">
      <formula>NOT(ISERROR(SEARCH("No",X16)))</formula>
    </cfRule>
    <cfRule type="containsText" dxfId="233" priority="28" operator="containsText" text="Interference Detected">
      <formula>NOT(ISERROR(SEARCH("Interference Detected",X16)))</formula>
    </cfRule>
    <cfRule type="containsText" dxfId="232" priority="29" operator="containsText" text="No Interference Detected">
      <formula>NOT(ISERROR(SEARCH("No Interference Detected",X16)))</formula>
    </cfRule>
    <cfRule type="containsText" dxfId="231" priority="30" operator="containsText" text="Interference Detected">
      <formula>NOT(ISERROR(SEARCH("Interference Detected",X16)))</formula>
    </cfRule>
    <cfRule type="containsText" dxfId="230" priority="31" operator="containsText" text="No">
      <formula>NOT(ISERROR(SEARCH("No",X16)))</formula>
    </cfRule>
  </conditionalFormatting>
  <conditionalFormatting sqref="X6:X42">
    <cfRule type="containsText" dxfId="229" priority="26" operator="containsText" text="Potential">
      <formula>NOT(ISERROR(SEARCH("Potential",X6)))</formula>
    </cfRule>
  </conditionalFormatting>
  <conditionalFormatting sqref="X16:X22">
    <cfRule type="containsText" dxfId="228" priority="21" operator="containsText" text="No">
      <formula>NOT(ISERROR(SEARCH("No",X16)))</formula>
    </cfRule>
    <cfRule type="containsText" dxfId="227" priority="22" operator="containsText" text="Interference Detected">
      <formula>NOT(ISERROR(SEARCH("Interference Detected",X16)))</formula>
    </cfRule>
    <cfRule type="containsText" dxfId="226" priority="23" operator="containsText" text="No Interference Detected">
      <formula>NOT(ISERROR(SEARCH("No Interference Detected",X16)))</formula>
    </cfRule>
    <cfRule type="containsText" dxfId="225" priority="24" operator="containsText" text="Interference Detected">
      <formula>NOT(ISERROR(SEARCH("Interference Detected",X16)))</formula>
    </cfRule>
    <cfRule type="containsText" dxfId="224" priority="25" operator="containsText" text="No">
      <formula>NOT(ISERROR(SEARCH("No",X16)))</formula>
    </cfRule>
  </conditionalFormatting>
  <conditionalFormatting sqref="X26:X32">
    <cfRule type="containsText" dxfId="223" priority="16" operator="containsText" text="No">
      <formula>NOT(ISERROR(SEARCH("No",X26)))</formula>
    </cfRule>
    <cfRule type="containsText" dxfId="222" priority="17" operator="containsText" text="Interference Detected">
      <formula>NOT(ISERROR(SEARCH("Interference Detected",X26)))</formula>
    </cfRule>
    <cfRule type="containsText" dxfId="221" priority="18" operator="containsText" text="No Interference Detected">
      <formula>NOT(ISERROR(SEARCH("No Interference Detected",X26)))</formula>
    </cfRule>
    <cfRule type="containsText" dxfId="220" priority="19" operator="containsText" text="Interference Detected">
      <formula>NOT(ISERROR(SEARCH("Interference Detected",X26)))</formula>
    </cfRule>
    <cfRule type="containsText" dxfId="219" priority="20" operator="containsText" text="No">
      <formula>NOT(ISERROR(SEARCH("No",X26)))</formula>
    </cfRule>
  </conditionalFormatting>
  <conditionalFormatting sqref="X26:X32">
    <cfRule type="containsText" dxfId="218" priority="11" operator="containsText" text="No">
      <formula>NOT(ISERROR(SEARCH("No",X26)))</formula>
    </cfRule>
    <cfRule type="containsText" dxfId="217" priority="12" operator="containsText" text="Interference Detected">
      <formula>NOT(ISERROR(SEARCH("Interference Detected",X26)))</formula>
    </cfRule>
    <cfRule type="containsText" dxfId="216" priority="13" operator="containsText" text="No Interference Detected">
      <formula>NOT(ISERROR(SEARCH("No Interference Detected",X26)))</formula>
    </cfRule>
    <cfRule type="containsText" dxfId="215" priority="14" operator="containsText" text="Interference Detected">
      <formula>NOT(ISERROR(SEARCH("Interference Detected",X26)))</formula>
    </cfRule>
    <cfRule type="containsText" dxfId="214" priority="15" operator="containsText" text="No">
      <formula>NOT(ISERROR(SEARCH("No",X26)))</formula>
    </cfRule>
  </conditionalFormatting>
  <conditionalFormatting sqref="X36:X42">
    <cfRule type="containsText" dxfId="213" priority="6" operator="containsText" text="No">
      <formula>NOT(ISERROR(SEARCH("No",X36)))</formula>
    </cfRule>
    <cfRule type="containsText" dxfId="212" priority="7" operator="containsText" text="Interference Detected">
      <formula>NOT(ISERROR(SEARCH("Interference Detected",X36)))</formula>
    </cfRule>
    <cfRule type="containsText" dxfId="211" priority="8" operator="containsText" text="No Interference Detected">
      <formula>NOT(ISERROR(SEARCH("No Interference Detected",X36)))</formula>
    </cfRule>
    <cfRule type="containsText" dxfId="210" priority="9" operator="containsText" text="Interference Detected">
      <formula>NOT(ISERROR(SEARCH("Interference Detected",X36)))</formula>
    </cfRule>
    <cfRule type="containsText" dxfId="209" priority="10" operator="containsText" text="No">
      <formula>NOT(ISERROR(SEARCH("No",X36)))</formula>
    </cfRule>
  </conditionalFormatting>
  <conditionalFormatting sqref="X36:X42">
    <cfRule type="containsText" dxfId="208" priority="1" operator="containsText" text="No">
      <formula>NOT(ISERROR(SEARCH("No",X36)))</formula>
    </cfRule>
    <cfRule type="containsText" dxfId="207" priority="2" operator="containsText" text="Interference Detected">
      <formula>NOT(ISERROR(SEARCH("Interference Detected",X36)))</formula>
    </cfRule>
    <cfRule type="containsText" dxfId="206" priority="3" operator="containsText" text="No Interference Detected">
      <formula>NOT(ISERROR(SEARCH("No Interference Detected",X36)))</formula>
    </cfRule>
    <cfRule type="containsText" dxfId="205" priority="4" operator="containsText" text="Interference Detected">
      <formula>NOT(ISERROR(SEARCH("Interference Detected",X36)))</formula>
    </cfRule>
    <cfRule type="containsText" dxfId="204" priority="5" operator="containsText" text="No">
      <formula>NOT(ISERROR(SEARCH("No",X36)))</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D50"/>
  <sheetViews>
    <sheetView topLeftCell="BI1" zoomScale="69" zoomScaleNormal="69" workbookViewId="0">
      <selection activeCell="BW24" sqref="BW24"/>
    </sheetView>
  </sheetViews>
  <sheetFormatPr defaultColWidth="8.90625" defaultRowHeight="14.5" x14ac:dyDescent="0.35"/>
  <cols>
    <col min="1" max="13" width="11.6328125" style="1" customWidth="1"/>
    <col min="14" max="14" width="11.6328125" customWidth="1"/>
    <col min="15" max="15" width="1" style="18" customWidth="1"/>
    <col min="16" max="16" width="37.36328125" style="128" customWidth="1"/>
    <col min="17" max="17" width="16.453125" style="22" customWidth="1"/>
    <col min="18" max="18" width="1" style="22" customWidth="1"/>
    <col min="19" max="28" width="12.08984375" style="24" customWidth="1"/>
    <col min="29" max="31" width="6.453125" style="24" customWidth="1"/>
    <col min="32" max="32" width="33.36328125" style="24" customWidth="1"/>
    <col min="33" max="34" width="12" style="22" customWidth="1"/>
    <col min="35" max="35" width="1.1796875" style="22" customWidth="1"/>
    <col min="36" max="45" width="11.6328125" style="24" customWidth="1"/>
    <col min="46" max="48" width="6.6328125" style="24" customWidth="1"/>
    <col min="49" max="49" width="1.54296875" style="24" customWidth="1"/>
    <col min="50" max="52" width="15.90625" style="22" customWidth="1"/>
    <col min="53" max="53" width="36.1796875" style="22" customWidth="1"/>
    <col min="54" max="54" width="11" style="22" customWidth="1"/>
    <col min="55" max="55" width="35.90625" style="22" customWidth="1"/>
    <col min="56" max="56" width="10" style="22" customWidth="1"/>
    <col min="57" max="57" width="35.453125" style="22" customWidth="1"/>
    <col min="58" max="58" width="10.6328125" style="22" customWidth="1"/>
    <col min="59" max="59" width="34.08984375" style="22" customWidth="1"/>
    <col min="60" max="60" width="12.1796875" style="22" customWidth="1"/>
    <col min="61" max="61" width="1.54296875" style="22" customWidth="1"/>
    <col min="62" max="72" width="8.90625" style="24"/>
    <col min="73" max="73" width="12" style="24" customWidth="1"/>
    <col min="74" max="74" width="11.36328125" style="24" customWidth="1"/>
    <col min="75" max="81" width="33.90625" style="24" customWidth="1"/>
    <col min="82" max="82" width="8.90625" style="24"/>
    <col min="83" max="16384" width="8.90625" style="18"/>
  </cols>
  <sheetData>
    <row r="1" spans="1:81" ht="15" thickBot="1" x14ac:dyDescent="0.4">
      <c r="O1" s="17"/>
      <c r="P1" s="21" t="s">
        <v>36</v>
      </c>
      <c r="R1" s="23"/>
      <c r="S1" s="21" t="s">
        <v>18</v>
      </c>
      <c r="AI1" s="23"/>
      <c r="AJ1" s="21" t="s">
        <v>33</v>
      </c>
      <c r="AW1" s="25"/>
      <c r="AX1" s="619" t="s">
        <v>34</v>
      </c>
      <c r="AY1" s="619"/>
      <c r="AZ1" s="619"/>
      <c r="BA1" s="619"/>
      <c r="BB1" s="619"/>
      <c r="BC1" s="619"/>
      <c r="BD1" s="619"/>
      <c r="BE1" s="619"/>
      <c r="BF1" s="619"/>
      <c r="BG1" s="619"/>
      <c r="BH1" s="619"/>
      <c r="BI1" s="23"/>
      <c r="BJ1" s="21" t="s">
        <v>38</v>
      </c>
      <c r="BU1" s="614" t="s">
        <v>22</v>
      </c>
      <c r="BV1" s="617"/>
      <c r="BW1" s="617"/>
      <c r="BX1" s="617"/>
      <c r="BY1" s="617"/>
      <c r="BZ1" s="617"/>
      <c r="CA1" s="617"/>
      <c r="CB1" s="617"/>
      <c r="CC1" s="618"/>
    </row>
    <row r="2" spans="1:81" ht="15" thickBot="1" x14ac:dyDescent="0.4">
      <c r="A2" s="168" t="str">
        <f>'680 nm (Bubble) Outlier'!A17</f>
        <v>5 min</v>
      </c>
      <c r="B2" s="168">
        <f>'680 nm (Bubble) Outlier'!B17</f>
        <v>1</v>
      </c>
      <c r="C2" s="168">
        <f>'680 nm (Bubble) Outlier'!C17</f>
        <v>2</v>
      </c>
      <c r="D2" s="168">
        <f>'680 nm (Bubble) Outlier'!D17</f>
        <v>3</v>
      </c>
      <c r="E2" s="168">
        <f>'680 nm (Bubble) Outlier'!E17</f>
        <v>4</v>
      </c>
      <c r="F2" s="168">
        <f>'680 nm (Bubble) Outlier'!F17</f>
        <v>5</v>
      </c>
      <c r="G2" s="168">
        <f>'680 nm (Bubble) Outlier'!G17</f>
        <v>6</v>
      </c>
      <c r="H2" s="168">
        <f>'680 nm (Bubble) Outlier'!H17</f>
        <v>7</v>
      </c>
      <c r="I2" s="168">
        <f>'680 nm (Bubble) Outlier'!I17</f>
        <v>8</v>
      </c>
      <c r="J2" s="168">
        <f>'680 nm (Bubble) Outlier'!J17</f>
        <v>9</v>
      </c>
      <c r="K2" s="168">
        <f>'680 nm (Bubble) Outlier'!K17</f>
        <v>10</v>
      </c>
      <c r="L2" s="168">
        <f>'680 nm (Bubble) Outlier'!L17</f>
        <v>11</v>
      </c>
      <c r="M2" s="168">
        <f>'680 nm (Bubble) Outlier'!M17</f>
        <v>12</v>
      </c>
      <c r="O2" s="17"/>
      <c r="P2" s="26" t="s">
        <v>19</v>
      </c>
      <c r="Q2" s="27" t="s">
        <v>14</v>
      </c>
      <c r="R2" s="28"/>
      <c r="S2" s="29" t="s">
        <v>8</v>
      </c>
      <c r="T2" s="30">
        <v>1</v>
      </c>
      <c r="U2" s="30">
        <v>2</v>
      </c>
      <c r="V2" s="30">
        <v>3</v>
      </c>
      <c r="W2" s="30">
        <v>4</v>
      </c>
      <c r="X2" s="30">
        <v>5</v>
      </c>
      <c r="Y2" s="30">
        <v>6</v>
      </c>
      <c r="Z2" s="30">
        <v>7</v>
      </c>
      <c r="AA2" s="30">
        <v>8</v>
      </c>
      <c r="AB2" s="30">
        <v>9</v>
      </c>
      <c r="AC2" s="30">
        <v>10</v>
      </c>
      <c r="AD2" s="30">
        <v>11</v>
      </c>
      <c r="AE2" s="31">
        <v>12</v>
      </c>
      <c r="AF2" s="26" t="s">
        <v>19</v>
      </c>
      <c r="AG2" s="32" t="s">
        <v>20</v>
      </c>
      <c r="AH2" s="27" t="s">
        <v>13</v>
      </c>
      <c r="AI2" s="28"/>
      <c r="AJ2" s="29" t="s">
        <v>8</v>
      </c>
      <c r="AK2" s="30">
        <v>1</v>
      </c>
      <c r="AL2" s="30">
        <v>2</v>
      </c>
      <c r="AM2" s="30">
        <v>3</v>
      </c>
      <c r="AN2" s="30">
        <v>4</v>
      </c>
      <c r="AO2" s="30">
        <v>5</v>
      </c>
      <c r="AP2" s="30">
        <v>6</v>
      </c>
      <c r="AQ2" s="30">
        <v>7</v>
      </c>
      <c r="AR2" s="30">
        <v>8</v>
      </c>
      <c r="AS2" s="30">
        <v>9</v>
      </c>
      <c r="AT2" s="30">
        <v>10</v>
      </c>
      <c r="AU2" s="30">
        <v>11</v>
      </c>
      <c r="AV2" s="31">
        <v>12</v>
      </c>
      <c r="AW2" s="33"/>
      <c r="AX2" s="611" t="s">
        <v>21</v>
      </c>
      <c r="AY2" s="612"/>
      <c r="AZ2" s="613"/>
      <c r="BA2" s="34" t="s">
        <v>8</v>
      </c>
      <c r="BI2" s="23"/>
      <c r="BU2" s="35" t="s">
        <v>17</v>
      </c>
      <c r="BV2" s="36" t="s">
        <v>9</v>
      </c>
      <c r="BW2" s="37" t="str">
        <f>BC3</f>
        <v>Tri-n-octylphospine oxide</v>
      </c>
      <c r="BX2" s="38" t="str">
        <f>BE3</f>
        <v>Dicyclohexylcarbodiimide</v>
      </c>
      <c r="BY2" s="39" t="str">
        <f>BG3</f>
        <v>Triethanolamine</v>
      </c>
      <c r="BZ2" s="40" t="str">
        <f>BA6</f>
        <v>Pentaerythritol triacrylate</v>
      </c>
      <c r="CA2" s="41" t="str">
        <f>BC6</f>
        <v>Clarithromycin</v>
      </c>
      <c r="CB2" s="42" t="str">
        <f>BE6</f>
        <v>o-Benzyl-p-chlorophenol</v>
      </c>
      <c r="CC2" s="43" t="str">
        <f>BG6</f>
        <v>5-Amino-o-cresol</v>
      </c>
    </row>
    <row r="3" spans="1:81" ht="15" thickBot="1" x14ac:dyDescent="0.4">
      <c r="A3" s="168" t="str">
        <f>'680 nm (Bubble) Outlier'!A18</f>
        <v>A</v>
      </c>
      <c r="B3" s="170">
        <f>'Quartiles Outlier Blank-NC'!AA3</f>
        <v>7.0999999999999994E-2</v>
      </c>
      <c r="C3" s="171">
        <f>'Quartiles Outlier Blank-NC'!AB3</f>
        <v>0.63700000000000001</v>
      </c>
      <c r="D3" s="171">
        <f>'Quartiles Outlier Blank-NC'!AC3</f>
        <v>0.64300000000000002</v>
      </c>
      <c r="E3" s="171">
        <f>'Quartiles Outlier Blank-NC'!AD3</f>
        <v>0.65900000000000003</v>
      </c>
      <c r="F3" s="171">
        <f>'Quartiles Outlier Blank-NC'!AE3</f>
        <v>0.65200000000000002</v>
      </c>
      <c r="G3" s="171">
        <f>'Quartiles Outlier Blank-NC'!AF3</f>
        <v>0.65100000000000002</v>
      </c>
      <c r="H3" s="171">
        <f>'Quartiles Outlier Blank-NC'!AG3</f>
        <v>0.65</v>
      </c>
      <c r="I3" s="171">
        <f>'Quartiles Outlier Blank-NC'!AH3</f>
        <v>0.65500000000000003</v>
      </c>
      <c r="J3" s="171">
        <f>'Quartiles Outlier Blank-NC'!AI3</f>
        <v>0.65100000000000002</v>
      </c>
      <c r="K3" s="168"/>
      <c r="L3" s="168"/>
      <c r="M3" s="168"/>
      <c r="N3" s="189" t="str">
        <f>'680 nm (Bubble) Outlier'!N18</f>
        <v>read:412 Read#1</v>
      </c>
      <c r="O3" s="19"/>
      <c r="P3" s="44" t="s">
        <v>32</v>
      </c>
      <c r="Q3" s="200">
        <f>AVERAGE(B3:B10)</f>
        <v>7.1833333333333332E-2</v>
      </c>
      <c r="R3" s="45"/>
      <c r="S3" s="30" t="s">
        <v>0</v>
      </c>
      <c r="T3" s="46" t="s">
        <v>24</v>
      </c>
      <c r="U3" s="203">
        <f t="shared" ref="U3:AB3" si="0">IF(C3="","",IF($Q$3="","",C3-$Q$3))</f>
        <v>0.56516666666666671</v>
      </c>
      <c r="V3" s="203">
        <f t="shared" si="0"/>
        <v>0.57116666666666671</v>
      </c>
      <c r="W3" s="203">
        <f t="shared" si="0"/>
        <v>0.58716666666666673</v>
      </c>
      <c r="X3" s="203">
        <f t="shared" si="0"/>
        <v>0.58016666666666672</v>
      </c>
      <c r="Y3" s="204">
        <f t="shared" si="0"/>
        <v>0.57916666666666672</v>
      </c>
      <c r="Z3" s="204">
        <f t="shared" si="0"/>
        <v>0.57816666666666672</v>
      </c>
      <c r="AA3" s="204">
        <f t="shared" si="0"/>
        <v>0.58316666666666672</v>
      </c>
      <c r="AB3" s="204">
        <f t="shared" si="0"/>
        <v>0.57916666666666672</v>
      </c>
      <c r="AC3" s="205"/>
      <c r="AD3" s="205"/>
      <c r="AE3" s="206"/>
      <c r="AF3" s="47" t="s">
        <v>9</v>
      </c>
      <c r="AG3" s="219">
        <f>AVERAGE(U3:U10,V3:AB3)</f>
        <v>0.57443333333333346</v>
      </c>
      <c r="AH3" s="220">
        <f>STDEV(U3:U10,V3:AB3)</f>
        <v>6.638272867747058E-3</v>
      </c>
      <c r="AI3" s="48"/>
      <c r="AJ3" s="30" t="s">
        <v>0</v>
      </c>
      <c r="AK3" s="46" t="s">
        <v>24</v>
      </c>
      <c r="AL3" s="49">
        <f>IF(U3="","",1-U3/$AG$3)</f>
        <v>1.613184007427626E-2</v>
      </c>
      <c r="AM3" s="50">
        <f t="shared" ref="AM3:AO4" si="1">IF(V3="","",1-V3/$AG$3)</f>
        <v>5.6867637671910165E-3</v>
      </c>
      <c r="AN3" s="50">
        <f t="shared" si="1"/>
        <v>-2.2166773051703004E-2</v>
      </c>
      <c r="AO3" s="50">
        <f t="shared" si="1"/>
        <v>-9.9808506934369046E-3</v>
      </c>
      <c r="AP3" s="50">
        <f t="shared" ref="AP3" si="2">IF(Y3="","",1-Y3/$AG$3)</f>
        <v>-8.2400046422559381E-3</v>
      </c>
      <c r="AQ3" s="50">
        <f t="shared" ref="AQ3:AR4" si="3">IF(Z3="","",1-Z3/$AG$3)</f>
        <v>-6.4991585910751937E-3</v>
      </c>
      <c r="AR3" s="50">
        <f t="shared" si="3"/>
        <v>-1.5203388846979582E-2</v>
      </c>
      <c r="AS3" s="50">
        <f t="shared" ref="AS3:AS4" si="4">IF(AB3="","",1-AB3/$AG$3)</f>
        <v>-8.2400046422559381E-3</v>
      </c>
      <c r="AT3" s="51"/>
      <c r="AU3" s="51"/>
      <c r="AV3" s="52"/>
      <c r="AW3" s="53"/>
      <c r="AX3" s="54" t="s">
        <v>25</v>
      </c>
      <c r="AY3" s="55" t="s">
        <v>15</v>
      </c>
      <c r="AZ3" s="56" t="s">
        <v>16</v>
      </c>
      <c r="BA3" s="57" t="s">
        <v>9</v>
      </c>
      <c r="BB3" s="58" t="s">
        <v>13</v>
      </c>
      <c r="BC3" s="449" t="str">
        <f>AF4</f>
        <v>Tri-n-octylphospine oxide</v>
      </c>
      <c r="BD3" s="59" t="s">
        <v>13</v>
      </c>
      <c r="BE3" s="450" t="str">
        <f>AF5</f>
        <v>Dicyclohexylcarbodiimide</v>
      </c>
      <c r="BF3" s="60" t="s">
        <v>13</v>
      </c>
      <c r="BG3" s="451" t="str">
        <f>AF6</f>
        <v>Triethanolamine</v>
      </c>
      <c r="BH3" s="61" t="s">
        <v>13</v>
      </c>
      <c r="BI3" s="23"/>
      <c r="BU3" s="62">
        <v>5</v>
      </c>
      <c r="BV3" s="63">
        <v>0</v>
      </c>
      <c r="BW3" s="64">
        <f>BC4</f>
        <v>2.2369871757674409E-2</v>
      </c>
      <c r="BX3" s="64">
        <f>BE4</f>
        <v>1.1054372424998765E-2</v>
      </c>
      <c r="BY3" s="64">
        <f>BG4</f>
        <v>3.9459177160102166E-3</v>
      </c>
      <c r="BZ3" s="64">
        <f>BA7</f>
        <v>1.3085359484709819E-2</v>
      </c>
      <c r="CA3" s="64">
        <f>BC7</f>
        <v>-7.9498636337259065E-3</v>
      </c>
      <c r="CB3" s="64">
        <f>BE7</f>
        <v>3.0203678987988369E-2</v>
      </c>
      <c r="CC3" s="65">
        <f>BG7</f>
        <v>3.0754946904198166E-3</v>
      </c>
    </row>
    <row r="4" spans="1:81" ht="15" thickBot="1" x14ac:dyDescent="0.4">
      <c r="A4" s="168" t="str">
        <f>'680 nm (Bubble) Outlier'!A19</f>
        <v>B</v>
      </c>
      <c r="B4" s="170" t="str">
        <f>'Quartiles Outlier Blank-NC'!AA4</f>
        <v/>
      </c>
      <c r="C4" s="171">
        <f>'Quartiles Outlier Blank-NC'!AB4</f>
        <v>0.64300000000000002</v>
      </c>
      <c r="D4" s="172">
        <f>'680 nm (Bubble) Outlier'!D19</f>
        <v>0.315</v>
      </c>
      <c r="E4" s="172">
        <f>'680 nm (Bubble) Outlier'!E19</f>
        <v>0.35299999999999998</v>
      </c>
      <c r="F4" s="172">
        <f>'680 nm (Bubble) Outlier'!F19</f>
        <v>0.32500000000000001</v>
      </c>
      <c r="G4" s="173">
        <f>'680 nm (Bubble) Outlier'!G19</f>
        <v>0.63</v>
      </c>
      <c r="H4" s="173">
        <f>'680 nm (Bubble) Outlier'!H19</f>
        <v>0.63600000000000001</v>
      </c>
      <c r="I4" s="173">
        <f>'680 nm (Bubble) Outlier'!I19</f>
        <v>0.64</v>
      </c>
      <c r="J4" s="173">
        <f>'680 nm (Bubble) Outlier'!J19</f>
        <v>0.63100000000000001</v>
      </c>
      <c r="K4" s="173">
        <f>'680 nm (Bubble) Outlier'!K19</f>
        <v>7.2999999999999995E-2</v>
      </c>
      <c r="L4" s="173">
        <f>'680 nm (Bubble) Outlier'!L19</f>
        <v>7.1999999999999995E-2</v>
      </c>
      <c r="M4" s="173">
        <f>'680 nm (Bubble) Outlier'!M19</f>
        <v>7.2999999999999995E-2</v>
      </c>
      <c r="N4" s="189" t="str">
        <f>'680 nm (Bubble) Outlier'!N19</f>
        <v>read:412 Read#1</v>
      </c>
      <c r="O4" s="19"/>
      <c r="P4" s="66" t="str">
        <f>'Study Information'!B11</f>
        <v>Tri-n-octylphospine oxide</v>
      </c>
      <c r="Q4" s="201">
        <f>IF(AND(K4="",L4="",M4=""),"",AVERAGE(K4:M4))</f>
        <v>7.2666666666666657E-2</v>
      </c>
      <c r="R4" s="45"/>
      <c r="S4" s="30" t="s">
        <v>1</v>
      </c>
      <c r="T4" s="46" t="s">
        <v>24</v>
      </c>
      <c r="U4" s="203">
        <f t="shared" ref="U4:X10" si="5">IF(C4="","",IF($Q$3="","",C4-$Q$3))</f>
        <v>0.57116666666666671</v>
      </c>
      <c r="V4" s="207">
        <f t="shared" si="5"/>
        <v>0.24316666666666667</v>
      </c>
      <c r="W4" s="207">
        <f t="shared" si="5"/>
        <v>0.28116666666666668</v>
      </c>
      <c r="X4" s="208">
        <f t="shared" si="5"/>
        <v>0.25316666666666665</v>
      </c>
      <c r="Y4" s="72">
        <f t="shared" ref="Y4:Y10" si="6">IF(G4="","",IF(Q4="","",G4-Q4))</f>
        <v>0.55733333333333335</v>
      </c>
      <c r="Z4" s="72">
        <f t="shared" ref="Z4:Z10" si="7">IF(H4="","",IF(Q4="","",H4-Q4))</f>
        <v>0.56333333333333335</v>
      </c>
      <c r="AA4" s="72">
        <f t="shared" ref="AA4:AA10" si="8">IF(I4="","",IF(Q4="","",I4-Q4))</f>
        <v>0.56733333333333336</v>
      </c>
      <c r="AB4" s="72">
        <f t="shared" ref="AB4:AB10" si="9">IF(J4="","",IF(Q4="","",J4-Q4))</f>
        <v>0.55833333333333335</v>
      </c>
      <c r="AC4" s="71" t="s">
        <v>24</v>
      </c>
      <c r="AD4" s="72" t="s">
        <v>24</v>
      </c>
      <c r="AE4" s="209" t="s">
        <v>24</v>
      </c>
      <c r="AF4" s="68" t="str">
        <f t="shared" ref="AF4:AF10" si="10">P4</f>
        <v>Tri-n-octylphospine oxide</v>
      </c>
      <c r="AG4" s="84">
        <f>IF(AND(Y4="",Z4="",AA4="",AB4=""),"",AVERAGE(Y4:AB4))</f>
        <v>0.56158333333333332</v>
      </c>
      <c r="AH4" s="201">
        <f>IF(AND(Y4="",Z4="",AA4="",AB4=""),"",STDEV(Y4:AB4))</f>
        <v>4.645786621588789E-3</v>
      </c>
      <c r="AI4" s="45"/>
      <c r="AJ4" s="30" t="s">
        <v>1</v>
      </c>
      <c r="AK4" s="46" t="s">
        <v>24</v>
      </c>
      <c r="AL4" s="70">
        <f t="shared" ref="AL4:AL10" si="11">IF(U4="","",1-U4/$AG$3)</f>
        <v>5.6867637671910165E-3</v>
      </c>
      <c r="AM4" s="137">
        <f>IF(V4="","",1-V4/$AG$3)</f>
        <v>0.5766842685545176</v>
      </c>
      <c r="AN4" s="137">
        <f t="shared" si="1"/>
        <v>0.51053211860964431</v>
      </c>
      <c r="AO4" s="137">
        <f t="shared" si="1"/>
        <v>0.55927580804270893</v>
      </c>
      <c r="AP4" s="181">
        <f>IF(Y4="","",1-Y4/$AG$3)</f>
        <v>2.9768467475193128E-2</v>
      </c>
      <c r="AQ4" s="181">
        <f t="shared" si="3"/>
        <v>1.9323391168107884E-2</v>
      </c>
      <c r="AR4" s="181">
        <f t="shared" si="3"/>
        <v>1.2360006963384351E-2</v>
      </c>
      <c r="AS4" s="181">
        <f t="shared" si="4"/>
        <v>2.8027621424012272E-2</v>
      </c>
      <c r="AT4" s="71" t="s">
        <v>24</v>
      </c>
      <c r="AU4" s="72" t="s">
        <v>24</v>
      </c>
      <c r="AV4" s="72" t="s">
        <v>24</v>
      </c>
      <c r="AW4" s="53"/>
      <c r="AX4" s="73">
        <v>0.6</v>
      </c>
      <c r="AY4" s="74">
        <f>IF(AND(AM4="",AN4="",AO4=""),"",AVERAGE(AM4:AO4))</f>
        <v>0.54883073173562358</v>
      </c>
      <c r="AZ4" s="75">
        <f>STDEV(AM4:AO4)</f>
        <v>3.4290690425797438E-2</v>
      </c>
      <c r="BA4" s="76">
        <f>AVERAGE(AL3:AL10,AM3:AS3)</f>
        <v>1.4062824978585316E-16</v>
      </c>
      <c r="BB4" s="77">
        <f>STDEV(AL3:AL10,AM3:AS3)</f>
        <v>1.1556211108478603E-2</v>
      </c>
      <c r="BC4" s="78">
        <f>IF(AND(AP4="",AQ4="",AR4="",AS4=""),"",AVERAGE(AP4:AS4))</f>
        <v>2.2369871757674409E-2</v>
      </c>
      <c r="BD4" s="78">
        <f>IF(AND(AP4="",AQ4="",AR4="",AS4=""),"",STDEV(AP4:AS4))</f>
        <v>8.0875992948217876E-3</v>
      </c>
      <c r="BE4" s="79">
        <f>IF(AND(AP5="",AQ5="",AR5="",AS5=""),"",AVERAGE(AP5:AS5))</f>
        <v>1.1054372424998765E-2</v>
      </c>
      <c r="BF4" s="80">
        <f>IF(AND(AP5="",AQ5="",AR5="",AS5=""),"",STDEV(AP5:AS5))</f>
        <v>5.5734267719777632E-3</v>
      </c>
      <c r="BG4" s="81">
        <f>IF(AND(AP6="",AQ6="",AR6="",AS6=""),"",AVERAGE(AP6:AS6))</f>
        <v>3.9459177160102166E-3</v>
      </c>
      <c r="BH4" s="82">
        <f>IF(AND(AP6="",AQ6="",AR6="",AS6=""),"",STDEV(AP6:AS6))</f>
        <v>2.2474225881781327E-3</v>
      </c>
      <c r="BI4" s="23"/>
      <c r="BU4" s="83">
        <v>20</v>
      </c>
      <c r="BV4" s="84">
        <v>0</v>
      </c>
      <c r="BW4" s="85">
        <f>BC14</f>
        <v>1.5045281916447606E-2</v>
      </c>
      <c r="BX4" s="85">
        <f>BE14</f>
        <v>4.6304411335086199E-2</v>
      </c>
      <c r="BY4" s="85">
        <f>BG14</f>
        <v>-2.9214139643587711E-3</v>
      </c>
      <c r="BZ4" s="85">
        <f>BA17</f>
        <v>2.527023079170318E-2</v>
      </c>
      <c r="CA4" s="85">
        <f>BC17</f>
        <v>-1.2123867952088807E-2</v>
      </c>
      <c r="CB4" s="85">
        <f>BE17</f>
        <v>4.1191936897458398E-2</v>
      </c>
      <c r="CC4" s="86">
        <f>BG17</f>
        <v>2.6584867075664625E-2</v>
      </c>
    </row>
    <row r="5" spans="1:81" ht="15" thickBot="1" x14ac:dyDescent="0.4">
      <c r="A5" s="168" t="str">
        <f>'680 nm (Bubble) Outlier'!A20</f>
        <v>C</v>
      </c>
      <c r="B5" s="170">
        <f>'Quartiles Outlier Blank-NC'!AA5</f>
        <v>7.1999999999999995E-2</v>
      </c>
      <c r="C5" s="171">
        <f>'Quartiles Outlier Blank-NC'!AB5</f>
        <v>0.64400000000000002</v>
      </c>
      <c r="D5" s="172">
        <f>'680 nm (Bubble) Outlier'!D20</f>
        <v>0.439</v>
      </c>
      <c r="E5" s="172">
        <f>'680 nm (Bubble) Outlier'!E20</f>
        <v>0.47499999999999998</v>
      </c>
      <c r="F5" s="172">
        <f>'680 nm (Bubble) Outlier'!F20</f>
        <v>0.45400000000000001</v>
      </c>
      <c r="G5" s="174">
        <f>'680 nm (Bubble) Outlier'!G20</f>
        <v>0.63700000000000001</v>
      </c>
      <c r="H5" s="174">
        <f>'680 nm (Bubble) Outlier'!H20</f>
        <v>0.63700000000000001</v>
      </c>
      <c r="I5" s="174">
        <f>'680 nm (Bubble) Outlier'!I20</f>
        <v>0.64200000000000002</v>
      </c>
      <c r="J5" s="174">
        <f>'680 nm (Bubble) Outlier'!J20</f>
        <v>0.64300000000000002</v>
      </c>
      <c r="K5" s="174">
        <f>'680 nm (Bubble) Outlier'!K20</f>
        <v>7.0999999999999994E-2</v>
      </c>
      <c r="L5" s="174">
        <f>'680 nm (Bubble) Outlier'!L20</f>
        <v>7.1999999999999995E-2</v>
      </c>
      <c r="M5" s="174">
        <f>'680 nm (Bubble) Outlier'!M20</f>
        <v>7.1999999999999995E-2</v>
      </c>
      <c r="N5" s="189" t="str">
        <f>'680 nm (Bubble) Outlier'!N20</f>
        <v>read:412 Read#1</v>
      </c>
      <c r="O5" s="19"/>
      <c r="P5" s="66" t="str">
        <f>'Study Information'!B12</f>
        <v>Dicyclohexylcarbodiimide</v>
      </c>
      <c r="Q5" s="201">
        <f>IF(AND(K5="",L5="",M5=""),"",AVERAGE(K5:M5))</f>
        <v>7.1666666666666656E-2</v>
      </c>
      <c r="R5" s="45"/>
      <c r="S5" s="30" t="s">
        <v>2</v>
      </c>
      <c r="T5" s="46" t="s">
        <v>24</v>
      </c>
      <c r="U5" s="203">
        <f t="shared" si="5"/>
        <v>0.57216666666666671</v>
      </c>
      <c r="V5" s="207">
        <f t="shared" si="5"/>
        <v>0.36716666666666664</v>
      </c>
      <c r="W5" s="207">
        <f t="shared" si="5"/>
        <v>0.40316666666666667</v>
      </c>
      <c r="X5" s="208">
        <f t="shared" si="5"/>
        <v>0.38216666666666665</v>
      </c>
      <c r="Y5" s="88">
        <f t="shared" si="6"/>
        <v>0.56533333333333335</v>
      </c>
      <c r="Z5" s="88">
        <f t="shared" si="7"/>
        <v>0.56533333333333335</v>
      </c>
      <c r="AA5" s="88">
        <f t="shared" si="8"/>
        <v>0.57033333333333336</v>
      </c>
      <c r="AB5" s="88">
        <f t="shared" si="9"/>
        <v>0.57133333333333336</v>
      </c>
      <c r="AC5" s="87" t="s">
        <v>24</v>
      </c>
      <c r="AD5" s="88" t="s">
        <v>24</v>
      </c>
      <c r="AE5" s="210" t="s">
        <v>24</v>
      </c>
      <c r="AF5" s="68" t="str">
        <f t="shared" si="10"/>
        <v>Dicyclohexylcarbodiimide</v>
      </c>
      <c r="AG5" s="84">
        <f t="shared" ref="AG5:AG10" si="12">IF(AND(Y5="",Z5="",AA5="",AB5=""),"",AVERAGE(Y5:AB5))</f>
        <v>0.56808333333333338</v>
      </c>
      <c r="AH5" s="201">
        <f t="shared" ref="AH5:AH10" si="13">IF(AND(Y5="",Z5="",AA5="",AB5=""),"",STDEV(Y5:AB5))</f>
        <v>3.2015621187164271E-3</v>
      </c>
      <c r="AI5" s="45"/>
      <c r="AJ5" s="30" t="s">
        <v>2</v>
      </c>
      <c r="AK5" s="46" t="s">
        <v>24</v>
      </c>
      <c r="AL5" s="70">
        <f t="shared" si="11"/>
        <v>3.9459177160101611E-3</v>
      </c>
      <c r="AM5" s="137">
        <f t="shared" ref="AM5:AM10" si="14">IF(V5="","",1-V5/$AG$3)</f>
        <v>0.3608193582080893</v>
      </c>
      <c r="AN5" s="137">
        <f t="shared" ref="AN5:AN10" si="15">IF(W5="","",1-W5/$AG$3)</f>
        <v>0.29814890036557784</v>
      </c>
      <c r="AO5" s="137">
        <f t="shared" ref="AO5:AO10" si="16">IF(X5="","",1-X5/$AG$3)</f>
        <v>0.33470666744037625</v>
      </c>
      <c r="AP5" s="183">
        <f t="shared" ref="AP5:AP10" si="17">IF(Y5="","",1-Y5/$AG$3)</f>
        <v>1.5841699065746173E-2</v>
      </c>
      <c r="AQ5" s="183">
        <f t="shared" ref="AQ5:AQ10" si="18">IF(Z5="","",1-Z5/$AG$3)</f>
        <v>1.5841699065746173E-2</v>
      </c>
      <c r="AR5" s="183">
        <f t="shared" ref="AR5:AR10" si="19">IF(AA5="","",1-AA5/$AG$3)</f>
        <v>7.1374688098417849E-3</v>
      </c>
      <c r="AS5" s="183">
        <f t="shared" ref="AS5:AS10" si="20">IF(AB5="","",1-AB5/$AG$3)</f>
        <v>5.3966227586609294E-3</v>
      </c>
      <c r="AT5" s="87" t="s">
        <v>24</v>
      </c>
      <c r="AU5" s="88" t="s">
        <v>24</v>
      </c>
      <c r="AV5" s="88" t="s">
        <v>24</v>
      </c>
      <c r="AW5" s="53"/>
      <c r="AX5" s="89">
        <v>0.3</v>
      </c>
      <c r="AY5" s="74">
        <f t="shared" ref="AY5:AY10" si="21">IF(AND(AM5="",AN5="",AO5=""),"",AVERAGE(AM5:AO5))</f>
        <v>0.33122497533801448</v>
      </c>
      <c r="AZ5" s="90">
        <f t="shared" ref="AZ5:AZ10" si="22">STDEV(AM5:AO5)</f>
        <v>3.1479965159911437E-2</v>
      </c>
      <c r="BA5" s="91"/>
      <c r="BB5" s="91"/>
      <c r="BI5" s="23"/>
      <c r="BU5" s="83">
        <v>35</v>
      </c>
      <c r="BV5" s="84">
        <v>0</v>
      </c>
      <c r="BW5" s="85">
        <f>BC24</f>
        <v>1.552310671481652E-2</v>
      </c>
      <c r="BX5" s="85">
        <f>BE24</f>
        <v>5.9192965928717284E-2</v>
      </c>
      <c r="BY5" s="85">
        <f>BG24</f>
        <v>-1.9155283403987089E-3</v>
      </c>
      <c r="BZ5" s="85">
        <f>BA27</f>
        <v>4.1168158266603888E-2</v>
      </c>
      <c r="CA5" s="85">
        <f>BC27</f>
        <v>-9.8288585335217782E-3</v>
      </c>
      <c r="CB5" s="85">
        <f>BE27</f>
        <v>5.9632595383890707E-2</v>
      </c>
      <c r="CC5" s="86">
        <f>BG27</f>
        <v>5.7434448108023173E-2</v>
      </c>
    </row>
    <row r="6" spans="1:81" ht="15" thickBot="1" x14ac:dyDescent="0.4">
      <c r="A6" s="168" t="str">
        <f>'680 nm (Bubble) Outlier'!A21</f>
        <v>D</v>
      </c>
      <c r="B6" s="170" t="str">
        <f>'Quartiles Outlier Blank-NC'!AA6</f>
        <v/>
      </c>
      <c r="C6" s="171">
        <f>'Quartiles Outlier Blank-NC'!AB6</f>
        <v>0.63500000000000001</v>
      </c>
      <c r="D6" s="172">
        <f>'680 nm (Bubble) Outlier'!D21</f>
        <v>0.52600000000000002</v>
      </c>
      <c r="E6" s="172">
        <f>'680 nm (Bubble) Outlier'!E21</f>
        <v>0.55100000000000005</v>
      </c>
      <c r="F6" s="172">
        <f>'680 nm (Bubble) Outlier'!F21</f>
        <v>0.53600000000000003</v>
      </c>
      <c r="G6" s="175">
        <f>'680 nm (Bubble) Outlier'!G21</f>
        <v>0.64500000000000002</v>
      </c>
      <c r="H6" s="175">
        <f>'680 nm (Bubble) Outlier'!H21</f>
        <v>0.64600000000000002</v>
      </c>
      <c r="I6" s="175">
        <f>'680 nm (Bubble) Outlier'!I21</f>
        <v>0.64700000000000002</v>
      </c>
      <c r="J6" s="175">
        <f>'680 nm (Bubble) Outlier'!J21</f>
        <v>0.64400000000000002</v>
      </c>
      <c r="K6" s="175">
        <f>'680 nm (Bubble) Outlier'!K21</f>
        <v>7.5999999999999998E-2</v>
      </c>
      <c r="L6" s="175">
        <f>'680 nm (Bubble) Outlier'!L21</f>
        <v>7.1999999999999995E-2</v>
      </c>
      <c r="M6" s="175">
        <f>'680 nm (Bubble) Outlier'!M21</f>
        <v>7.1999999999999995E-2</v>
      </c>
      <c r="N6" s="189" t="str">
        <f>'680 nm (Bubble) Outlier'!N21</f>
        <v>read:412 Read#1</v>
      </c>
      <c r="O6" s="19"/>
      <c r="P6" s="66" t="str">
        <f>'Study Information'!B13</f>
        <v>Triethanolamine</v>
      </c>
      <c r="Q6" s="201">
        <f>IF(AND(K6="",L6="",M6=""),"",AVERAGE(K6:M6))</f>
        <v>7.333333333333332E-2</v>
      </c>
      <c r="R6" s="45"/>
      <c r="S6" s="30" t="s">
        <v>3</v>
      </c>
      <c r="T6" s="46" t="s">
        <v>24</v>
      </c>
      <c r="U6" s="203">
        <f t="shared" si="5"/>
        <v>0.5631666666666667</v>
      </c>
      <c r="V6" s="207">
        <f t="shared" si="5"/>
        <v>0.45416666666666672</v>
      </c>
      <c r="W6" s="207">
        <f t="shared" si="5"/>
        <v>0.47916666666666674</v>
      </c>
      <c r="X6" s="208">
        <f t="shared" si="5"/>
        <v>0.46416666666666673</v>
      </c>
      <c r="Y6" s="93">
        <f t="shared" si="6"/>
        <v>0.57166666666666666</v>
      </c>
      <c r="Z6" s="93">
        <f t="shared" si="7"/>
        <v>0.57266666666666666</v>
      </c>
      <c r="AA6" s="93">
        <f t="shared" si="8"/>
        <v>0.57366666666666666</v>
      </c>
      <c r="AB6" s="93">
        <f t="shared" si="9"/>
        <v>0.57066666666666666</v>
      </c>
      <c r="AC6" s="92" t="s">
        <v>24</v>
      </c>
      <c r="AD6" s="93" t="s">
        <v>24</v>
      </c>
      <c r="AE6" s="211" t="s">
        <v>24</v>
      </c>
      <c r="AF6" s="68" t="str">
        <f t="shared" si="10"/>
        <v>Triethanolamine</v>
      </c>
      <c r="AG6" s="84">
        <f t="shared" si="12"/>
        <v>0.57216666666666671</v>
      </c>
      <c r="AH6" s="201">
        <f t="shared" si="13"/>
        <v>1.2909944487358067E-3</v>
      </c>
      <c r="AI6" s="45"/>
      <c r="AJ6" s="30" t="s">
        <v>3</v>
      </c>
      <c r="AK6" s="46" t="s">
        <v>24</v>
      </c>
      <c r="AL6" s="70">
        <f t="shared" si="11"/>
        <v>1.9613532176637971E-2</v>
      </c>
      <c r="AM6" s="137">
        <f t="shared" si="14"/>
        <v>0.20936575175535321</v>
      </c>
      <c r="AN6" s="137">
        <f t="shared" si="15"/>
        <v>0.16584460047583127</v>
      </c>
      <c r="AO6" s="137">
        <f t="shared" si="16"/>
        <v>0.19195729124354444</v>
      </c>
      <c r="AP6" s="184">
        <f t="shared" si="17"/>
        <v>4.8163407416006443E-3</v>
      </c>
      <c r="AQ6" s="184">
        <f t="shared" si="18"/>
        <v>3.0754946904197888E-3</v>
      </c>
      <c r="AR6" s="184">
        <f t="shared" si="19"/>
        <v>1.3346486392389334E-3</v>
      </c>
      <c r="AS6" s="184">
        <f t="shared" si="20"/>
        <v>6.5571867927814997E-3</v>
      </c>
      <c r="AT6" s="92" t="s">
        <v>24</v>
      </c>
      <c r="AU6" s="93" t="s">
        <v>24</v>
      </c>
      <c r="AV6" s="93" t="s">
        <v>24</v>
      </c>
      <c r="AW6" s="53"/>
      <c r="AX6" s="89">
        <v>0.15</v>
      </c>
      <c r="AY6" s="74">
        <f t="shared" si="21"/>
        <v>0.18905588115824298</v>
      </c>
      <c r="AZ6" s="90">
        <f t="shared" si="22"/>
        <v>2.1905165772850826E-2</v>
      </c>
      <c r="BA6" s="455" t="str">
        <f>AF7</f>
        <v>Pentaerythritol triacrylate</v>
      </c>
      <c r="BB6" s="94" t="s">
        <v>13</v>
      </c>
      <c r="BC6" s="454" t="str">
        <f>AF8</f>
        <v>Clarithromycin</v>
      </c>
      <c r="BD6" s="95" t="s">
        <v>13</v>
      </c>
      <c r="BE6" s="453" t="str">
        <f>AF9</f>
        <v>o-Benzyl-p-chlorophenol</v>
      </c>
      <c r="BF6" s="96" t="s">
        <v>13</v>
      </c>
      <c r="BG6" s="452" t="str">
        <f>AF10</f>
        <v>5-Amino-o-cresol</v>
      </c>
      <c r="BH6" s="97" t="s">
        <v>13</v>
      </c>
      <c r="BI6" s="23"/>
      <c r="BU6" s="35">
        <v>50</v>
      </c>
      <c r="BV6" s="98">
        <v>0</v>
      </c>
      <c r="BW6" s="99">
        <f>BC34</f>
        <v>1.5709995169386592E-2</v>
      </c>
      <c r="BX6" s="99">
        <f>BE34</f>
        <v>5.8786465881166899E-2</v>
      </c>
      <c r="BY6" s="99">
        <f>BG34</f>
        <v>-6.0907735282378361E-4</v>
      </c>
      <c r="BZ6" s="99">
        <f>BA37</f>
        <v>5.8933484552538273E-2</v>
      </c>
      <c r="CA6" s="99">
        <f>BC37</f>
        <v>-9.5772163064709592E-3</v>
      </c>
      <c r="CB6" s="99">
        <f>BE37</f>
        <v>7.6869762459832403E-2</v>
      </c>
      <c r="CC6" s="100">
        <f>BG37</f>
        <v>8.6572994770335837E-2</v>
      </c>
    </row>
    <row r="7" spans="1:81" ht="15" thickBot="1" x14ac:dyDescent="0.4">
      <c r="A7" s="168" t="str">
        <f>'680 nm (Bubble) Outlier'!A22</f>
        <v>E</v>
      </c>
      <c r="B7" s="170">
        <f>'Quartiles Outlier Blank-NC'!AA7</f>
        <v>7.1999999999999995E-2</v>
      </c>
      <c r="C7" s="171">
        <f>'Quartiles Outlier Blank-NC'!AB7</f>
        <v>0.64200000000000002</v>
      </c>
      <c r="D7" s="172">
        <f>'680 nm (Bubble) Outlier'!D22</f>
        <v>0.58299999999999996</v>
      </c>
      <c r="E7" s="172">
        <f>'680 nm (Bubble) Outlier'!E22</f>
        <v>0.60299999999999998</v>
      </c>
      <c r="F7" s="172">
        <f>'680 nm (Bubble) Outlier'!F22</f>
        <v>0.59899999999999998</v>
      </c>
      <c r="G7" s="176">
        <f>'680 nm (Bubble) Outlier'!G22</f>
        <v>0.63600000000000001</v>
      </c>
      <c r="H7" s="176">
        <f>'680 nm (Bubble) Outlier'!H22</f>
        <v>0.63800000000000001</v>
      </c>
      <c r="I7" s="176">
        <f>'680 nm (Bubble) Outlier'!I22</f>
        <v>0.64500000000000002</v>
      </c>
      <c r="J7" s="176">
        <f>'680 nm (Bubble) Outlier'!J22</f>
        <v>0.63800000000000001</v>
      </c>
      <c r="K7" s="176">
        <f>'680 nm (Bubble) Outlier'!K22</f>
        <v>7.0999999999999994E-2</v>
      </c>
      <c r="L7" s="176">
        <f>'680 nm (Bubble) Outlier'!L22</f>
        <v>7.2999999999999995E-2</v>
      </c>
      <c r="M7" s="176">
        <f>'680 nm (Bubble) Outlier'!M22</f>
        <v>7.2999999999999995E-2</v>
      </c>
      <c r="N7" s="189" t="str">
        <f>'680 nm (Bubble) Outlier'!N22</f>
        <v>read:412 Read#1</v>
      </c>
      <c r="O7" s="19"/>
      <c r="P7" s="66" t="str">
        <f>'Study Information'!B14</f>
        <v>Pentaerythritol triacrylate</v>
      </c>
      <c r="Q7" s="201">
        <f t="shared" ref="Q7:Q10" si="23">IF(AND(K7="",L7="",M7=""),"",AVERAGE(K7:M7))</f>
        <v>7.2333333333333319E-2</v>
      </c>
      <c r="R7" s="45"/>
      <c r="S7" s="30" t="s">
        <v>4</v>
      </c>
      <c r="T7" s="46" t="s">
        <v>24</v>
      </c>
      <c r="U7" s="203">
        <f t="shared" si="5"/>
        <v>0.57016666666666671</v>
      </c>
      <c r="V7" s="207">
        <f t="shared" si="5"/>
        <v>0.51116666666666666</v>
      </c>
      <c r="W7" s="207">
        <f t="shared" si="5"/>
        <v>0.53116666666666668</v>
      </c>
      <c r="X7" s="208">
        <f t="shared" si="5"/>
        <v>0.52716666666666667</v>
      </c>
      <c r="Y7" s="102">
        <f t="shared" si="6"/>
        <v>0.56366666666666665</v>
      </c>
      <c r="Z7" s="102">
        <f t="shared" si="7"/>
        <v>0.56566666666666665</v>
      </c>
      <c r="AA7" s="102">
        <f t="shared" si="8"/>
        <v>0.57266666666666666</v>
      </c>
      <c r="AB7" s="102">
        <f t="shared" si="9"/>
        <v>0.56566666666666665</v>
      </c>
      <c r="AC7" s="101" t="s">
        <v>24</v>
      </c>
      <c r="AD7" s="102" t="s">
        <v>24</v>
      </c>
      <c r="AE7" s="212" t="s">
        <v>24</v>
      </c>
      <c r="AF7" s="68" t="str">
        <f t="shared" si="10"/>
        <v>Pentaerythritol triacrylate</v>
      </c>
      <c r="AG7" s="84">
        <f t="shared" si="12"/>
        <v>0.56691666666666662</v>
      </c>
      <c r="AH7" s="201">
        <f t="shared" si="13"/>
        <v>3.9475730941090073E-3</v>
      </c>
      <c r="AI7" s="45"/>
      <c r="AJ7" s="30" t="s">
        <v>4</v>
      </c>
      <c r="AK7" s="46" t="s">
        <v>24</v>
      </c>
      <c r="AL7" s="70">
        <f t="shared" si="11"/>
        <v>7.427609818371872E-3</v>
      </c>
      <c r="AM7" s="137">
        <f t="shared" si="14"/>
        <v>0.11013752683804345</v>
      </c>
      <c r="AN7" s="137">
        <f t="shared" si="15"/>
        <v>7.5320605814426012E-2</v>
      </c>
      <c r="AO7" s="137">
        <f t="shared" si="16"/>
        <v>8.2283990019149544E-2</v>
      </c>
      <c r="AP7" s="185">
        <f t="shared" si="17"/>
        <v>1.874310915104771E-2</v>
      </c>
      <c r="AQ7" s="185">
        <f t="shared" si="18"/>
        <v>1.5261417048685888E-2</v>
      </c>
      <c r="AR7" s="185">
        <f t="shared" si="19"/>
        <v>3.0754946904197888E-3</v>
      </c>
      <c r="AS7" s="185">
        <f t="shared" si="20"/>
        <v>1.5261417048685888E-2</v>
      </c>
      <c r="AT7" s="101" t="s">
        <v>24</v>
      </c>
      <c r="AU7" s="102" t="s">
        <v>24</v>
      </c>
      <c r="AV7" s="102" t="s">
        <v>24</v>
      </c>
      <c r="AW7" s="53"/>
      <c r="AX7" s="89">
        <v>7.4999999999999997E-2</v>
      </c>
      <c r="AY7" s="74">
        <f t="shared" si="21"/>
        <v>8.9247374223873008E-2</v>
      </c>
      <c r="AZ7" s="90">
        <f t="shared" si="22"/>
        <v>1.8423382889093613E-2</v>
      </c>
      <c r="BA7" s="103">
        <f>IF(AND(AP7="",AQ7="",AR7="",AS7=""),"",AVERAGE(AP7:AS7))</f>
        <v>1.3085359484709819E-2</v>
      </c>
      <c r="BB7" s="104">
        <f>IF(AND(AP7="",AQ7="",AR7="",AS7=""),"",STDEV(AP7:AS7))</f>
        <v>6.8721170326275349E-3</v>
      </c>
      <c r="BC7" s="105">
        <f>IF(AND(AP8="",AQ8="",AR8="",AS8=""),"",AVERAGE(AP8:AS8))</f>
        <v>-7.9498636337259065E-3</v>
      </c>
      <c r="BD7" s="106">
        <f>IF(AND(AP8="",AQ8="",AR8="",AS8=""),"",STDEV(AP8:AS8))</f>
        <v>3.7606572845168265E-3</v>
      </c>
      <c r="BE7" s="107">
        <f>IF(AND(AP9="",AQ9="",AR9="",AS9=""),"",AVERAGE(AP9:AS9))</f>
        <v>3.0203678987988369E-2</v>
      </c>
      <c r="BF7" s="108">
        <f>IF(AND(AP9="",AQ9="",AR9="",AS9=""),"",STDEV(AP9:AS9))</f>
        <v>6.5715497318552694E-3</v>
      </c>
      <c r="BG7" s="109">
        <f>IF(AND(AP10="",AQ10="",AR10="",AS10=""),"",AVERAGE(AP10:AS10))</f>
        <v>3.0754946904198166E-3</v>
      </c>
      <c r="BH7" s="110">
        <f>IF(AND(AP10="",AQ10="",AR10="",AS10=""),"",STDEV(AP10:AS10))</f>
        <v>5.1249120097068643E-3</v>
      </c>
      <c r="BI7" s="23"/>
      <c r="BU7" s="111"/>
      <c r="BV7" s="112"/>
      <c r="BW7" s="113"/>
      <c r="BX7" s="113"/>
      <c r="BY7" s="113"/>
      <c r="BZ7" s="113"/>
      <c r="CA7" s="113"/>
      <c r="CB7" s="113"/>
      <c r="CC7" s="113"/>
    </row>
    <row r="8" spans="1:81" x14ac:dyDescent="0.35">
      <c r="A8" s="168" t="str">
        <f>'680 nm (Bubble) Outlier'!A23</f>
        <v>F</v>
      </c>
      <c r="B8" s="170">
        <f>'Quartiles Outlier Blank-NC'!AA8</f>
        <v>7.1999999999999995E-2</v>
      </c>
      <c r="C8" s="171">
        <f>'Quartiles Outlier Blank-NC'!AB8</f>
        <v>0.64600000000000002</v>
      </c>
      <c r="D8" s="172">
        <f>'680 nm (Bubble) Outlier'!D23</f>
        <v>0.61099999999999999</v>
      </c>
      <c r="E8" s="172">
        <f>'680 nm (Bubble) Outlier'!E23</f>
        <v>0.627</v>
      </c>
      <c r="F8" s="172">
        <f>'680 nm (Bubble) Outlier'!F23</f>
        <v>0.63200000000000001</v>
      </c>
      <c r="G8" s="177">
        <f>'680 nm (Bubble) Outlier'!G23</f>
        <v>0.65</v>
      </c>
      <c r="H8" s="177">
        <f>'680 nm (Bubble) Outlier'!H23</f>
        <v>0.65100000000000002</v>
      </c>
      <c r="I8" s="177">
        <f>'680 nm (Bubble) Outlier'!I23</f>
        <v>0.65400000000000003</v>
      </c>
      <c r="J8" s="177">
        <f>'680 nm (Bubble) Outlier'!J23</f>
        <v>0.64900000000000002</v>
      </c>
      <c r="K8" s="177">
        <f>'680 nm (Bubble) Outlier'!K23</f>
        <v>7.1999999999999995E-2</v>
      </c>
      <c r="L8" s="177">
        <f>'680 nm (Bubble) Outlier'!L23</f>
        <v>7.1999999999999995E-2</v>
      </c>
      <c r="M8" s="177">
        <f>'680 nm (Bubble) Outlier'!M23</f>
        <v>7.1999999999999995E-2</v>
      </c>
      <c r="N8" s="189" t="str">
        <f>'680 nm (Bubble) Outlier'!N23</f>
        <v>read:412 Read#1</v>
      </c>
      <c r="O8" s="19"/>
      <c r="P8" s="66" t="str">
        <f>'Study Information'!B15</f>
        <v>Clarithromycin</v>
      </c>
      <c r="Q8" s="201">
        <f t="shared" si="23"/>
        <v>7.1999999999999995E-2</v>
      </c>
      <c r="R8" s="45"/>
      <c r="S8" s="30" t="s">
        <v>5</v>
      </c>
      <c r="T8" s="46" t="s">
        <v>24</v>
      </c>
      <c r="U8" s="203">
        <f t="shared" si="5"/>
        <v>0.57416666666666671</v>
      </c>
      <c r="V8" s="207">
        <f t="shared" si="5"/>
        <v>0.53916666666666668</v>
      </c>
      <c r="W8" s="207">
        <f t="shared" si="5"/>
        <v>0.5551666666666667</v>
      </c>
      <c r="X8" s="208">
        <f t="shared" si="5"/>
        <v>0.5601666666666667</v>
      </c>
      <c r="Y8" s="115">
        <f t="shared" si="6"/>
        <v>0.57800000000000007</v>
      </c>
      <c r="Z8" s="115">
        <f t="shared" si="7"/>
        <v>0.57900000000000007</v>
      </c>
      <c r="AA8" s="115">
        <f t="shared" si="8"/>
        <v>0.58200000000000007</v>
      </c>
      <c r="AB8" s="115">
        <f t="shared" si="9"/>
        <v>0.57700000000000007</v>
      </c>
      <c r="AC8" s="114" t="s">
        <v>24</v>
      </c>
      <c r="AD8" s="115" t="s">
        <v>24</v>
      </c>
      <c r="AE8" s="213" t="s">
        <v>24</v>
      </c>
      <c r="AF8" s="68" t="str">
        <f t="shared" si="10"/>
        <v>Clarithromycin</v>
      </c>
      <c r="AG8" s="69">
        <f t="shared" si="12"/>
        <v>0.57900000000000007</v>
      </c>
      <c r="AH8" s="67">
        <f t="shared" si="13"/>
        <v>2.1602468994692888E-3</v>
      </c>
      <c r="AI8" s="45"/>
      <c r="AJ8" s="30" t="s">
        <v>5</v>
      </c>
      <c r="AK8" s="46" t="s">
        <v>24</v>
      </c>
      <c r="AL8" s="70">
        <f t="shared" si="11"/>
        <v>4.6422561364833914E-4</v>
      </c>
      <c r="AM8" s="137">
        <f t="shared" si="14"/>
        <v>6.1393837404979057E-2</v>
      </c>
      <c r="AN8" s="137">
        <f t="shared" si="15"/>
        <v>3.3540300586085037E-2</v>
      </c>
      <c r="AO8" s="137">
        <f t="shared" si="16"/>
        <v>2.4836070330180648E-2</v>
      </c>
      <c r="AP8" s="186">
        <f t="shared" si="17"/>
        <v>-6.2090175825451066E-3</v>
      </c>
      <c r="AQ8" s="186">
        <f t="shared" si="18"/>
        <v>-7.949863633725851E-3</v>
      </c>
      <c r="AR8" s="186">
        <f t="shared" si="19"/>
        <v>-1.3172401787268528E-2</v>
      </c>
      <c r="AS8" s="186">
        <f t="shared" si="20"/>
        <v>-4.4681715313641401E-3</v>
      </c>
      <c r="AT8" s="114" t="s">
        <v>24</v>
      </c>
      <c r="AU8" s="115" t="s">
        <v>24</v>
      </c>
      <c r="AV8" s="115" t="s">
        <v>24</v>
      </c>
      <c r="AW8" s="53"/>
      <c r="AX8" s="89">
        <v>3.7499999999999999E-2</v>
      </c>
      <c r="AY8" s="74">
        <f t="shared" si="21"/>
        <v>3.992340277374825E-2</v>
      </c>
      <c r="AZ8" s="90">
        <f t="shared" si="22"/>
        <v>1.9096480789072539E-2</v>
      </c>
      <c r="BA8" s="91"/>
      <c r="BB8" s="91"/>
      <c r="BI8" s="23"/>
      <c r="BU8" s="614" t="s">
        <v>23</v>
      </c>
      <c r="BV8" s="615"/>
      <c r="BW8" s="615"/>
      <c r="BX8" s="615"/>
      <c r="BY8" s="615"/>
      <c r="BZ8" s="615"/>
      <c r="CA8" s="615"/>
      <c r="CB8" s="615"/>
      <c r="CC8" s="616"/>
    </row>
    <row r="9" spans="1:81" ht="15" thickBot="1" x14ac:dyDescent="0.4">
      <c r="A9" s="168" t="str">
        <f>'680 nm (Bubble) Outlier'!A24</f>
        <v>G</v>
      </c>
      <c r="B9" s="170">
        <f>'Quartiles Outlier Blank-NC'!AA9</f>
        <v>7.1999999999999995E-2</v>
      </c>
      <c r="C9" s="171">
        <f>'Quartiles Outlier Blank-NC'!AB9</f>
        <v>0.64500000000000002</v>
      </c>
      <c r="D9" s="172">
        <f>'680 nm (Bubble) Outlier'!D24</f>
        <v>0.626</v>
      </c>
      <c r="E9" s="172">
        <f>'680 nm (Bubble) Outlier'!E24</f>
        <v>0.64300000000000002</v>
      </c>
      <c r="F9" s="172">
        <f>'680 nm (Bubble) Outlier'!F24</f>
        <v>0.64100000000000001</v>
      </c>
      <c r="G9" s="178">
        <f>'680 nm (Bubble) Outlier'!G24</f>
        <v>0.629</v>
      </c>
      <c r="H9" s="178">
        <f>'680 nm (Bubble) Outlier'!H24</f>
        <v>0.629</v>
      </c>
      <c r="I9" s="178">
        <f>'680 nm (Bubble) Outlier'!I24</f>
        <v>0.63700000000000001</v>
      </c>
      <c r="J9" s="178">
        <f>'680 nm (Bubble) Outlier'!J24</f>
        <v>0.63200000000000001</v>
      </c>
      <c r="K9" s="178">
        <f>'680 nm (Bubble) Outlier'!K24</f>
        <v>7.2999999999999995E-2</v>
      </c>
      <c r="L9" s="178">
        <f>'680 nm (Bubble) Outlier'!L24</f>
        <v>7.6999999999999999E-2</v>
      </c>
      <c r="M9" s="178">
        <f>'680 nm (Bubble) Outlier'!M24</f>
        <v>7.3999999999999996E-2</v>
      </c>
      <c r="N9" s="189" t="str">
        <f>'680 nm (Bubble) Outlier'!N24</f>
        <v>read:412 Read#1</v>
      </c>
      <c r="O9" s="19"/>
      <c r="P9" s="66" t="str">
        <f>'Study Information'!B16</f>
        <v>o-Benzyl-p-chlorophenol</v>
      </c>
      <c r="Q9" s="201">
        <f t="shared" si="23"/>
        <v>7.4666666666666659E-2</v>
      </c>
      <c r="R9" s="45"/>
      <c r="S9" s="30" t="s">
        <v>6</v>
      </c>
      <c r="T9" s="46" t="s">
        <v>24</v>
      </c>
      <c r="U9" s="203">
        <f t="shared" si="5"/>
        <v>0.57316666666666671</v>
      </c>
      <c r="V9" s="207">
        <f t="shared" si="5"/>
        <v>0.5541666666666667</v>
      </c>
      <c r="W9" s="207">
        <f t="shared" si="5"/>
        <v>0.57116666666666671</v>
      </c>
      <c r="X9" s="208">
        <f t="shared" si="5"/>
        <v>0.56916666666666671</v>
      </c>
      <c r="Y9" s="117">
        <f t="shared" si="6"/>
        <v>0.55433333333333334</v>
      </c>
      <c r="Z9" s="117">
        <f t="shared" si="7"/>
        <v>0.55433333333333334</v>
      </c>
      <c r="AA9" s="117">
        <f t="shared" si="8"/>
        <v>0.56233333333333335</v>
      </c>
      <c r="AB9" s="117">
        <f t="shared" si="9"/>
        <v>0.55733333333333335</v>
      </c>
      <c r="AC9" s="116" t="s">
        <v>24</v>
      </c>
      <c r="AD9" s="117" t="s">
        <v>24</v>
      </c>
      <c r="AE9" s="214" t="s">
        <v>24</v>
      </c>
      <c r="AF9" s="68" t="str">
        <f t="shared" si="10"/>
        <v>o-Benzyl-p-chlorophenol</v>
      </c>
      <c r="AG9" s="69">
        <f t="shared" si="12"/>
        <v>0.55708333333333337</v>
      </c>
      <c r="AH9" s="67">
        <f t="shared" si="13"/>
        <v>3.7749172176353785E-3</v>
      </c>
      <c r="AI9" s="45"/>
      <c r="AJ9" s="30" t="s">
        <v>6</v>
      </c>
      <c r="AK9" s="46" t="s">
        <v>24</v>
      </c>
      <c r="AL9" s="70">
        <f t="shared" si="11"/>
        <v>2.2050716648293056E-3</v>
      </c>
      <c r="AM9" s="137">
        <f t="shared" si="14"/>
        <v>3.5281146637265892E-2</v>
      </c>
      <c r="AN9" s="137">
        <f t="shared" si="15"/>
        <v>5.6867637671910165E-3</v>
      </c>
      <c r="AO9" s="137">
        <f t="shared" si="16"/>
        <v>9.1684558695527274E-3</v>
      </c>
      <c r="AP9" s="187">
        <f t="shared" si="17"/>
        <v>3.4991005628735805E-2</v>
      </c>
      <c r="AQ9" s="187">
        <f t="shared" si="18"/>
        <v>3.4991005628735805E-2</v>
      </c>
      <c r="AR9" s="187">
        <f t="shared" si="19"/>
        <v>2.1064237219288739E-2</v>
      </c>
      <c r="AS9" s="187">
        <f t="shared" si="20"/>
        <v>2.9768467475193128E-2</v>
      </c>
      <c r="AT9" s="116" t="s">
        <v>24</v>
      </c>
      <c r="AU9" s="117" t="s">
        <v>24</v>
      </c>
      <c r="AV9" s="117" t="s">
        <v>24</v>
      </c>
      <c r="AW9" s="53"/>
      <c r="AX9" s="89">
        <v>1.8749999999999999E-2</v>
      </c>
      <c r="AY9" s="74">
        <f t="shared" si="21"/>
        <v>1.6712122091336545E-2</v>
      </c>
      <c r="AZ9" s="90">
        <f t="shared" si="22"/>
        <v>1.6175198589643561E-2</v>
      </c>
      <c r="BA9" s="91"/>
      <c r="BB9" s="91"/>
      <c r="BI9" s="23"/>
      <c r="BU9" s="35" t="s">
        <v>17</v>
      </c>
      <c r="BV9" s="36" t="str">
        <f t="shared" ref="BV9:CC9" si="24">BV2</f>
        <v>NC</v>
      </c>
      <c r="BW9" s="37" t="str">
        <f t="shared" si="24"/>
        <v>Tri-n-octylphospine oxide</v>
      </c>
      <c r="BX9" s="38" t="str">
        <f t="shared" si="24"/>
        <v>Dicyclohexylcarbodiimide</v>
      </c>
      <c r="BY9" s="118" t="str">
        <f t="shared" si="24"/>
        <v>Triethanolamine</v>
      </c>
      <c r="BZ9" s="40" t="str">
        <f t="shared" si="24"/>
        <v>Pentaerythritol triacrylate</v>
      </c>
      <c r="CA9" s="41" t="str">
        <f t="shared" si="24"/>
        <v>Clarithromycin</v>
      </c>
      <c r="CB9" s="42" t="str">
        <f t="shared" si="24"/>
        <v>o-Benzyl-p-chlorophenol</v>
      </c>
      <c r="CC9" s="43" t="str">
        <f t="shared" si="24"/>
        <v>5-Amino-o-cresol</v>
      </c>
    </row>
    <row r="10" spans="1:81" ht="15" thickBot="1" x14ac:dyDescent="0.4">
      <c r="A10" s="168" t="str">
        <f>'680 nm (Bubble) Outlier'!A25</f>
        <v>H</v>
      </c>
      <c r="B10" s="170">
        <f>'Quartiles Outlier Blank-NC'!AA10</f>
        <v>7.1999999999999995E-2</v>
      </c>
      <c r="C10" s="171">
        <f>'Quartiles Outlier Blank-NC'!AB10</f>
        <v>0.64100000000000001</v>
      </c>
      <c r="D10" s="172">
        <f>'680 nm (Bubble) Outlier'!D25</f>
        <v>0.63400000000000001</v>
      </c>
      <c r="E10" s="172">
        <f>'680 nm (Bubble) Outlier'!E25</f>
        <v>0.64800000000000002</v>
      </c>
      <c r="F10" s="172">
        <f>'680 nm (Bubble) Outlier'!F25</f>
        <v>0.64500000000000002</v>
      </c>
      <c r="G10" s="179">
        <f>'680 nm (Bubble) Outlier'!G25</f>
        <v>0.66100000000000003</v>
      </c>
      <c r="H10" s="179">
        <f>'680 nm (Bubble) Outlier'!H25</f>
        <v>0.65400000000000003</v>
      </c>
      <c r="I10" s="179">
        <f>'680 nm (Bubble) Outlier'!I25</f>
        <v>0.65800000000000003</v>
      </c>
      <c r="J10" s="179">
        <f>'680 nm (Bubble) Outlier'!J25</f>
        <v>0.65900000000000003</v>
      </c>
      <c r="K10" s="179">
        <f>'680 nm (Bubble) Outlier'!K25</f>
        <v>8.5000000000000006E-2</v>
      </c>
      <c r="L10" s="179">
        <f>'680 nm (Bubble) Outlier'!L25</f>
        <v>8.5000000000000006E-2</v>
      </c>
      <c r="M10" s="179">
        <f>'680 nm (Bubble) Outlier'!M25</f>
        <v>8.5999999999999993E-2</v>
      </c>
      <c r="N10" s="189" t="str">
        <f>'680 nm (Bubble) Outlier'!N25</f>
        <v>read:412 Read#1</v>
      </c>
      <c r="O10" s="19"/>
      <c r="P10" s="119" t="str">
        <f>'Study Information'!B17</f>
        <v>5-Amino-o-cresol</v>
      </c>
      <c r="Q10" s="202">
        <f t="shared" si="23"/>
        <v>8.533333333333333E-2</v>
      </c>
      <c r="R10" s="45"/>
      <c r="S10" s="30" t="s">
        <v>7</v>
      </c>
      <c r="T10" s="46" t="s">
        <v>24</v>
      </c>
      <c r="U10" s="203">
        <f t="shared" si="5"/>
        <v>0.56916666666666671</v>
      </c>
      <c r="V10" s="207">
        <f t="shared" si="5"/>
        <v>0.5621666666666667</v>
      </c>
      <c r="W10" s="207">
        <f t="shared" si="5"/>
        <v>0.57616666666666672</v>
      </c>
      <c r="X10" s="208">
        <f t="shared" si="5"/>
        <v>0.57316666666666671</v>
      </c>
      <c r="Y10" s="215">
        <f t="shared" si="6"/>
        <v>0.57566666666666666</v>
      </c>
      <c r="Z10" s="215">
        <f t="shared" si="7"/>
        <v>0.56866666666666665</v>
      </c>
      <c r="AA10" s="215">
        <f t="shared" si="8"/>
        <v>0.57266666666666666</v>
      </c>
      <c r="AB10" s="215">
        <f t="shared" si="9"/>
        <v>0.57366666666666666</v>
      </c>
      <c r="AC10" s="122" t="s">
        <v>24</v>
      </c>
      <c r="AD10" s="123" t="s">
        <v>24</v>
      </c>
      <c r="AE10" s="216" t="s">
        <v>24</v>
      </c>
      <c r="AF10" s="121" t="str">
        <f t="shared" si="10"/>
        <v>5-Amino-o-cresol</v>
      </c>
      <c r="AG10" s="221">
        <f t="shared" si="12"/>
        <v>0.57266666666666666</v>
      </c>
      <c r="AH10" s="120">
        <f t="shared" si="13"/>
        <v>2.9439202887759515E-3</v>
      </c>
      <c r="AI10" s="45"/>
      <c r="AJ10" s="30" t="s">
        <v>7</v>
      </c>
      <c r="AK10" s="46" t="s">
        <v>24</v>
      </c>
      <c r="AL10" s="70">
        <f t="shared" si="11"/>
        <v>9.1684558695527274E-3</v>
      </c>
      <c r="AM10" s="137">
        <f t="shared" si="14"/>
        <v>2.1354378227818827E-2</v>
      </c>
      <c r="AN10" s="137">
        <f t="shared" si="15"/>
        <v>-3.0174664887134828E-3</v>
      </c>
      <c r="AO10" s="137">
        <f t="shared" si="16"/>
        <v>2.2050716648293056E-3</v>
      </c>
      <c r="AP10" s="182">
        <f t="shared" si="17"/>
        <v>-2.1470434631227775E-3</v>
      </c>
      <c r="AQ10" s="182">
        <f t="shared" si="18"/>
        <v>1.0038878895143322E-2</v>
      </c>
      <c r="AR10" s="182">
        <f t="shared" si="19"/>
        <v>3.0754946904197888E-3</v>
      </c>
      <c r="AS10" s="182">
        <f t="shared" si="20"/>
        <v>1.3346486392389334E-3</v>
      </c>
      <c r="AT10" s="122" t="s">
        <v>24</v>
      </c>
      <c r="AU10" s="123" t="s">
        <v>24</v>
      </c>
      <c r="AV10" s="123" t="s">
        <v>24</v>
      </c>
      <c r="AW10" s="53"/>
      <c r="AX10" s="124">
        <v>9.3749999999999997E-3</v>
      </c>
      <c r="AY10" s="191">
        <f t="shared" si="21"/>
        <v>6.8473278013115495E-3</v>
      </c>
      <c r="AZ10" s="125">
        <f t="shared" si="22"/>
        <v>1.2831976085125051E-2</v>
      </c>
      <c r="BA10" s="91"/>
      <c r="BB10" s="91"/>
      <c r="BI10" s="23"/>
      <c r="BU10" s="62">
        <v>5</v>
      </c>
      <c r="BV10" s="126">
        <f>BB4</f>
        <v>1.1556211108478603E-2</v>
      </c>
      <c r="BW10" s="126">
        <f>BD4</f>
        <v>8.0875992948217876E-3</v>
      </c>
      <c r="BX10" s="126">
        <f>BF4</f>
        <v>5.5734267719777632E-3</v>
      </c>
      <c r="BY10" s="126">
        <f>BH4</f>
        <v>2.2474225881781327E-3</v>
      </c>
      <c r="BZ10" s="126">
        <f>BB7</f>
        <v>6.8721170326275349E-3</v>
      </c>
      <c r="CA10" s="126">
        <f>BD7</f>
        <v>3.7606572845168265E-3</v>
      </c>
      <c r="CB10" s="126">
        <f>BF7</f>
        <v>6.5715497318552694E-3</v>
      </c>
      <c r="CC10" s="127">
        <f>BH7</f>
        <v>5.1249120097068643E-3</v>
      </c>
    </row>
    <row r="11" spans="1:81" ht="15" thickBot="1" x14ac:dyDescent="0.4">
      <c r="N11" s="189"/>
      <c r="O11" s="17"/>
      <c r="R11" s="23"/>
      <c r="AI11" s="23"/>
      <c r="AW11" s="25"/>
      <c r="BI11" s="23"/>
      <c r="BU11" s="83">
        <v>20</v>
      </c>
      <c r="BV11" s="129">
        <f>BB14</f>
        <v>9.3260251955993214E-3</v>
      </c>
      <c r="BW11" s="129">
        <f>BD14</f>
        <v>8.143359547044305E-3</v>
      </c>
      <c r="BX11" s="129">
        <f>BF14</f>
        <v>2.6292725679228973E-3</v>
      </c>
      <c r="BY11" s="129">
        <f>BH14</f>
        <v>3.3564491069459691E-3</v>
      </c>
      <c r="BZ11" s="129">
        <f>BB17</f>
        <v>5.0346736604189868E-3</v>
      </c>
      <c r="CA11" s="129">
        <f>BD17</f>
        <v>2.9935585059771325E-3</v>
      </c>
      <c r="CB11" s="129">
        <f>BF17</f>
        <v>5.9009669520082367E-3</v>
      </c>
      <c r="CC11" s="130">
        <f>BH17</f>
        <v>5.9009669520082367E-3</v>
      </c>
    </row>
    <row r="12" spans="1:81" ht="15" thickBot="1" x14ac:dyDescent="0.4">
      <c r="A12" s="168" t="str">
        <f>'680 nm (Bubble) Outlier'!A27</f>
        <v>20 min</v>
      </c>
      <c r="B12" s="168">
        <f>'680 nm (Bubble) Outlier'!B27</f>
        <v>1</v>
      </c>
      <c r="C12" s="168">
        <f>'680 nm (Bubble) Outlier'!C27</f>
        <v>2</v>
      </c>
      <c r="D12" s="168">
        <f>'680 nm (Bubble) Outlier'!D27</f>
        <v>3</v>
      </c>
      <c r="E12" s="168">
        <f>'680 nm (Bubble) Outlier'!E27</f>
        <v>4</v>
      </c>
      <c r="F12" s="168">
        <f>'680 nm (Bubble) Outlier'!F27</f>
        <v>5</v>
      </c>
      <c r="G12" s="168">
        <f>'680 nm (Bubble) Outlier'!G27</f>
        <v>6</v>
      </c>
      <c r="H12" s="168">
        <f>'680 nm (Bubble) Outlier'!H27</f>
        <v>7</v>
      </c>
      <c r="I12" s="168">
        <f>'680 nm (Bubble) Outlier'!I27</f>
        <v>8</v>
      </c>
      <c r="J12" s="168">
        <f>'680 nm (Bubble) Outlier'!J27</f>
        <v>9</v>
      </c>
      <c r="K12" s="168">
        <f>'680 nm (Bubble) Outlier'!K27</f>
        <v>10</v>
      </c>
      <c r="L12" s="168">
        <f>'680 nm (Bubble) Outlier'!L27</f>
        <v>11</v>
      </c>
      <c r="M12" s="168">
        <f>'680 nm (Bubble) Outlier'!M27</f>
        <v>12</v>
      </c>
      <c r="N12" s="189"/>
      <c r="O12" s="17"/>
      <c r="P12" s="26" t="s">
        <v>19</v>
      </c>
      <c r="Q12" s="27" t="s">
        <v>14</v>
      </c>
      <c r="R12" s="28"/>
      <c r="S12" s="29" t="s">
        <v>10</v>
      </c>
      <c r="T12" s="30">
        <v>1</v>
      </c>
      <c r="U12" s="30">
        <v>2</v>
      </c>
      <c r="V12" s="30">
        <v>3</v>
      </c>
      <c r="W12" s="30">
        <v>4</v>
      </c>
      <c r="X12" s="30">
        <v>5</v>
      </c>
      <c r="Y12" s="30">
        <v>6</v>
      </c>
      <c r="Z12" s="30">
        <v>7</v>
      </c>
      <c r="AA12" s="30">
        <v>8</v>
      </c>
      <c r="AB12" s="30">
        <v>9</v>
      </c>
      <c r="AC12" s="30">
        <v>10</v>
      </c>
      <c r="AD12" s="30">
        <v>11</v>
      </c>
      <c r="AE12" s="30">
        <v>12</v>
      </c>
      <c r="AF12" s="26" t="s">
        <v>19</v>
      </c>
      <c r="AG12" s="32" t="s">
        <v>20</v>
      </c>
      <c r="AH12" s="27" t="s">
        <v>13</v>
      </c>
      <c r="AI12" s="23"/>
      <c r="AJ12" s="29" t="s">
        <v>10</v>
      </c>
      <c r="AK12" s="30">
        <v>1</v>
      </c>
      <c r="AL12" s="30">
        <v>2</v>
      </c>
      <c r="AM12" s="30">
        <v>3</v>
      </c>
      <c r="AN12" s="30">
        <v>4</v>
      </c>
      <c r="AO12" s="30">
        <v>5</v>
      </c>
      <c r="AP12" s="30">
        <v>6</v>
      </c>
      <c r="AQ12" s="30">
        <v>7</v>
      </c>
      <c r="AR12" s="30">
        <v>8</v>
      </c>
      <c r="AS12" s="30">
        <v>9</v>
      </c>
      <c r="AT12" s="30">
        <v>10</v>
      </c>
      <c r="AU12" s="30">
        <v>11</v>
      </c>
      <c r="AV12" s="31">
        <v>12</v>
      </c>
      <c r="AW12" s="33"/>
      <c r="AX12" s="611" t="s">
        <v>21</v>
      </c>
      <c r="AY12" s="612"/>
      <c r="AZ12" s="613"/>
      <c r="BA12" s="34" t="s">
        <v>10</v>
      </c>
      <c r="BG12" s="291"/>
      <c r="BI12" s="23"/>
      <c r="BU12" s="83">
        <v>35</v>
      </c>
      <c r="BV12" s="129">
        <f>BB24</f>
        <v>9.2585220470288339E-3</v>
      </c>
      <c r="BW12" s="129">
        <f>BD24</f>
        <v>7.6652014708204754E-3</v>
      </c>
      <c r="BX12" s="129">
        <f>BF24</f>
        <v>2.486919751700273E-3</v>
      </c>
      <c r="BY12" s="129">
        <f>BH24</f>
        <v>3.32882050939252E-3</v>
      </c>
      <c r="BZ12" s="129">
        <f>BB27</f>
        <v>4.3962945517349028E-3</v>
      </c>
      <c r="CA12" s="129">
        <f>BD27</f>
        <v>3.0032409216189369E-3</v>
      </c>
      <c r="CB12" s="129">
        <f>BF27</f>
        <v>6.6382591988563807E-3</v>
      </c>
      <c r="CC12" s="130">
        <f>BH27</f>
        <v>5.920053138098875E-3</v>
      </c>
    </row>
    <row r="13" spans="1:81" ht="15" thickBot="1" x14ac:dyDescent="0.4">
      <c r="A13" s="168" t="str">
        <f>'680 nm (Bubble) Outlier'!A28</f>
        <v>A</v>
      </c>
      <c r="B13" s="170">
        <f>'Quartiles Outlier Blank-NC'!AA13</f>
        <v>6.9000000000000006E-2</v>
      </c>
      <c r="C13" s="171">
        <f>'Quartiles Outlier Blank-NC'!AB13</f>
        <v>0.63300000000000001</v>
      </c>
      <c r="D13" s="171">
        <f>'Quartiles Outlier Blank-NC'!AC13</f>
        <v>0.63800000000000001</v>
      </c>
      <c r="E13" s="171" t="str">
        <f>'Quartiles Outlier Blank-NC'!AD13</f>
        <v/>
      </c>
      <c r="F13" s="171">
        <f>'Quartiles Outlier Blank-NC'!AE13</f>
        <v>0.64500000000000002</v>
      </c>
      <c r="G13" s="171">
        <f>'Quartiles Outlier Blank-NC'!AF13</f>
        <v>0.64500000000000002</v>
      </c>
      <c r="H13" s="171">
        <f>'Quartiles Outlier Blank-NC'!AG13</f>
        <v>0.64500000000000002</v>
      </c>
      <c r="I13" s="171">
        <f>'Quartiles Outlier Blank-NC'!AH13</f>
        <v>0.64900000000000002</v>
      </c>
      <c r="J13" s="171">
        <f>'Quartiles Outlier Blank-NC'!AI13</f>
        <v>0.64500000000000002</v>
      </c>
      <c r="K13" s="168"/>
      <c r="L13" s="168"/>
      <c r="M13" s="168"/>
      <c r="N13" s="189" t="str">
        <f>'680 nm (Bubble) Outlier'!N28</f>
        <v>read:412 Read#2</v>
      </c>
      <c r="O13" s="20"/>
      <c r="P13" s="44" t="str">
        <f>P3</f>
        <v>NC and PC Blank - (Column 1)</v>
      </c>
      <c r="Q13" s="200">
        <f>AVERAGE(B13:B20)</f>
        <v>6.9500000000000006E-2</v>
      </c>
      <c r="R13" s="45"/>
      <c r="S13" s="30" t="s">
        <v>0</v>
      </c>
      <c r="T13" s="46" t="s">
        <v>24</v>
      </c>
      <c r="U13" s="203">
        <f t="shared" ref="U13:AB13" si="25">IF(C13="","",IF($Q$13="","",C13-$Q$13))</f>
        <v>0.5635</v>
      </c>
      <c r="V13" s="203">
        <f t="shared" si="25"/>
        <v>0.56850000000000001</v>
      </c>
      <c r="W13" s="203" t="str">
        <f t="shared" si="25"/>
        <v/>
      </c>
      <c r="X13" s="203">
        <f t="shared" si="25"/>
        <v>0.57550000000000001</v>
      </c>
      <c r="Y13" s="203">
        <f t="shared" si="25"/>
        <v>0.57550000000000001</v>
      </c>
      <c r="Z13" s="203">
        <f t="shared" si="25"/>
        <v>0.57550000000000001</v>
      </c>
      <c r="AA13" s="203">
        <f t="shared" si="25"/>
        <v>0.57950000000000002</v>
      </c>
      <c r="AB13" s="203">
        <f t="shared" si="25"/>
        <v>0.57550000000000001</v>
      </c>
      <c r="AC13" s="205"/>
      <c r="AD13" s="205"/>
      <c r="AE13" s="205"/>
      <c r="AF13" s="47" t="s">
        <v>9</v>
      </c>
      <c r="AG13" s="219">
        <f>AVERAGE(U13:U20,V13:AB13)</f>
        <v>0.57050000000000001</v>
      </c>
      <c r="AH13" s="220">
        <f>STDEV(U13:U20,V13:AB13)</f>
        <v>5.3204973740894144E-3</v>
      </c>
      <c r="AI13" s="131"/>
      <c r="AJ13" s="30" t="s">
        <v>0</v>
      </c>
      <c r="AK13" s="46" t="s">
        <v>24</v>
      </c>
      <c r="AL13" s="49">
        <f>IF(U13="","",1-U13/$AG$13)</f>
        <v>1.2269938650306789E-2</v>
      </c>
      <c r="AM13" s="49">
        <f t="shared" ref="AM13:AS17" si="26">IF(V13="","",1-V13/$AG$13)</f>
        <v>3.5056967572304476E-3</v>
      </c>
      <c r="AN13" s="49" t="str">
        <f t="shared" si="26"/>
        <v/>
      </c>
      <c r="AO13" s="49">
        <f t="shared" si="26"/>
        <v>-8.76424189307623E-3</v>
      </c>
      <c r="AP13" s="49">
        <f t="shared" si="26"/>
        <v>-8.76424189307623E-3</v>
      </c>
      <c r="AQ13" s="49">
        <f t="shared" si="26"/>
        <v>-8.76424189307623E-3</v>
      </c>
      <c r="AR13" s="49">
        <f t="shared" si="26"/>
        <v>-1.5775635407537347E-2</v>
      </c>
      <c r="AS13" s="49">
        <f t="shared" si="26"/>
        <v>-8.76424189307623E-3</v>
      </c>
      <c r="AT13" s="51"/>
      <c r="AU13" s="51"/>
      <c r="AV13" s="52"/>
      <c r="AW13" s="53"/>
      <c r="AX13" s="132" t="s">
        <v>25</v>
      </c>
      <c r="AY13" s="133" t="s">
        <v>15</v>
      </c>
      <c r="AZ13" s="134" t="s">
        <v>16</v>
      </c>
      <c r="BA13" s="57" t="s">
        <v>9</v>
      </c>
      <c r="BB13" s="58" t="s">
        <v>13</v>
      </c>
      <c r="BC13" s="449" t="str">
        <f>AF14</f>
        <v>Tri-n-octylphospine oxide</v>
      </c>
      <c r="BD13" s="59" t="s">
        <v>13</v>
      </c>
      <c r="BE13" s="450" t="str">
        <f>AF15</f>
        <v>Dicyclohexylcarbodiimide</v>
      </c>
      <c r="BF13" s="60" t="s">
        <v>13</v>
      </c>
      <c r="BG13" s="451" t="str">
        <f>AF16</f>
        <v>Triethanolamine</v>
      </c>
      <c r="BH13" s="61" t="s">
        <v>13</v>
      </c>
      <c r="BI13" s="23"/>
      <c r="BU13" s="35">
        <v>50</v>
      </c>
      <c r="BV13" s="135">
        <f>BB34</f>
        <v>8.4386583860929319E-3</v>
      </c>
      <c r="BW13" s="135">
        <f>BD34</f>
        <v>8.1962085189645605E-3</v>
      </c>
      <c r="BX13" s="135">
        <f>BF34</f>
        <v>3.6725252337629589E-3</v>
      </c>
      <c r="BY13" s="135">
        <f>BH34</f>
        <v>3.0557257017156132E-3</v>
      </c>
      <c r="BZ13" s="135">
        <f>BB37</f>
        <v>4.4105601411379355E-3</v>
      </c>
      <c r="CA13" s="135">
        <f>BD37</f>
        <v>3.0129861744362337E-3</v>
      </c>
      <c r="CB13" s="135">
        <f>BF37</f>
        <v>7.9390082540482486E-3</v>
      </c>
      <c r="CC13" s="136">
        <f>BH37</f>
        <v>6.6597997664791754E-3</v>
      </c>
    </row>
    <row r="14" spans="1:81" ht="15" thickBot="1" x14ac:dyDescent="0.4">
      <c r="A14" s="168" t="str">
        <f>'680 nm (Bubble) Outlier'!A29</f>
        <v>B</v>
      </c>
      <c r="B14" s="170">
        <f>'Quartiles Outlier Blank-NC'!AA14</f>
        <v>7.0999999999999994E-2</v>
      </c>
      <c r="C14" s="171">
        <f>'Quartiles Outlier Blank-NC'!AB14</f>
        <v>0.63800000000000001</v>
      </c>
      <c r="D14" s="172">
        <f>'680 nm (Bubble) Outlier'!D29</f>
        <v>9.6000000000000002E-2</v>
      </c>
      <c r="E14" s="172">
        <f>'680 nm (Bubble) Outlier'!E29</f>
        <v>0.112</v>
      </c>
      <c r="F14" s="172">
        <f>'680 nm (Bubble) Outlier'!F29</f>
        <v>9.1999999999999998E-2</v>
      </c>
      <c r="G14" s="173">
        <f>'680 nm (Bubble) Outlier'!G29</f>
        <v>0.628</v>
      </c>
      <c r="H14" s="173">
        <f>'680 nm (Bubble) Outlier'!H29</f>
        <v>0.63400000000000001</v>
      </c>
      <c r="I14" s="173">
        <f>'680 nm (Bubble) Outlier'!I29</f>
        <v>0.63800000000000001</v>
      </c>
      <c r="J14" s="173">
        <f>'680 nm (Bubble) Outlier'!J29</f>
        <v>0.629</v>
      </c>
      <c r="K14" s="173">
        <f>'680 nm (Bubble) Outlier'!K29</f>
        <v>7.0999999999999994E-2</v>
      </c>
      <c r="L14" s="173">
        <f>'680 nm (Bubble) Outlier'!L29</f>
        <v>7.0000000000000007E-2</v>
      </c>
      <c r="M14" s="173">
        <f>'680 nm (Bubble) Outlier'!M29</f>
        <v>7.0000000000000007E-2</v>
      </c>
      <c r="N14" s="189" t="str">
        <f>'680 nm (Bubble) Outlier'!N29</f>
        <v>read:412 Read#2</v>
      </c>
      <c r="O14" s="20"/>
      <c r="P14" s="66" t="str">
        <f t="shared" ref="P14:P20" si="27">P4</f>
        <v>Tri-n-octylphospine oxide</v>
      </c>
      <c r="Q14" s="201">
        <f>IF(AND(K14="",L14="",M14=""),"",AVERAGE(K14:M14))</f>
        <v>7.0333333333333345E-2</v>
      </c>
      <c r="R14" s="45"/>
      <c r="S14" s="30" t="s">
        <v>1</v>
      </c>
      <c r="T14" s="46" t="s">
        <v>24</v>
      </c>
      <c r="U14" s="203">
        <f t="shared" ref="U14:X20" si="28">IF(C14="","",IF($Q$13="","",C14-$Q$13))</f>
        <v>0.56850000000000001</v>
      </c>
      <c r="V14" s="207">
        <f t="shared" si="28"/>
        <v>2.6499999999999996E-2</v>
      </c>
      <c r="W14" s="207">
        <f t="shared" si="28"/>
        <v>4.2499999999999996E-2</v>
      </c>
      <c r="X14" s="207">
        <f t="shared" si="28"/>
        <v>2.2499999999999992E-2</v>
      </c>
      <c r="Y14" s="72">
        <f t="shared" ref="Y14:Y20" si="29">IF(G14="","",IF(Q14="","",G14-Q14))</f>
        <v>0.55766666666666664</v>
      </c>
      <c r="Z14" s="72">
        <f t="shared" ref="Z14:Z20" si="30">IF(H14="","",IF(Q14="","",H14-Q14))</f>
        <v>0.56366666666666665</v>
      </c>
      <c r="AA14" s="72">
        <f t="shared" ref="AA14:AA20" si="31">IF(I14="","",IF(Q14="","",I14-Q14))</f>
        <v>0.56766666666666665</v>
      </c>
      <c r="AB14" s="72">
        <f t="shared" ref="AB14:AB20" si="32">IF(J14="","",IF(Q14="","",J14-Q14))</f>
        <v>0.55866666666666664</v>
      </c>
      <c r="AC14" s="71" t="s">
        <v>24</v>
      </c>
      <c r="AD14" s="72" t="s">
        <v>24</v>
      </c>
      <c r="AE14" s="72" t="s">
        <v>24</v>
      </c>
      <c r="AF14" s="68" t="str">
        <f t="shared" ref="AF14:AF20" si="33">P14</f>
        <v>Tri-n-octylphospine oxide</v>
      </c>
      <c r="AG14" s="84">
        <f>IF(AND(Y14="",Z14="",AA14="",AB14=""),"",AVERAGE(Y14:AB14))</f>
        <v>0.56191666666666662</v>
      </c>
      <c r="AH14" s="201">
        <f>STDEV(Y14:AB14)</f>
        <v>4.645786621588789E-3</v>
      </c>
      <c r="AI14" s="45"/>
      <c r="AJ14" s="30" t="s">
        <v>1</v>
      </c>
      <c r="AK14" s="46" t="s">
        <v>24</v>
      </c>
      <c r="AL14" s="49">
        <f t="shared" ref="AL14:AL20" si="34">IF(U14="","",1-U14/$AG$13)</f>
        <v>3.5056967572304476E-3</v>
      </c>
      <c r="AM14" s="137">
        <f>IF(V14="","",1-V14/$AG$13)</f>
        <v>0.95354951796669585</v>
      </c>
      <c r="AN14" s="137">
        <f t="shared" si="26"/>
        <v>0.92550394390885193</v>
      </c>
      <c r="AO14" s="137">
        <f t="shared" si="26"/>
        <v>0.96056091148115685</v>
      </c>
      <c r="AP14" s="181">
        <f t="shared" ref="AP14:AP20" si="35">IF(Y14="","",1-Y14/$AG$13)</f>
        <v>2.249488752556239E-2</v>
      </c>
      <c r="AQ14" s="181">
        <f t="shared" si="26"/>
        <v>1.1977797253870937E-2</v>
      </c>
      <c r="AR14" s="181">
        <f t="shared" si="26"/>
        <v>4.9664037394099303E-3</v>
      </c>
      <c r="AS14" s="181">
        <f t="shared" si="26"/>
        <v>2.0742039146947167E-2</v>
      </c>
      <c r="AT14" s="71" t="s">
        <v>24</v>
      </c>
      <c r="AU14" s="72" t="s">
        <v>24</v>
      </c>
      <c r="AV14" s="72" t="s">
        <v>24</v>
      </c>
      <c r="AW14" s="53"/>
      <c r="AX14" s="73">
        <v>0.6</v>
      </c>
      <c r="AY14" s="74">
        <f>IF(AND(AM14="",AN14="",AO14=""),"",AVERAGE(AM14:AO14))</f>
        <v>0.94653812445223495</v>
      </c>
      <c r="AZ14" s="75">
        <f>STDEV(AM14:AO14)</f>
        <v>1.8550403583274911E-2</v>
      </c>
      <c r="BA14" s="76">
        <f>AVERAGE(AL13:AL20,AM13:AS13)</f>
        <v>-1.5860328923216521E-17</v>
      </c>
      <c r="BB14" s="77">
        <f>STDEV(AL13:AL20,AM13:AS13)</f>
        <v>9.3260251955993214E-3</v>
      </c>
      <c r="BC14" s="78">
        <f>IF(AND(AP14="",AQ14="",AR14="",AS14=""),"",AVERAGE(AP14:AS14))</f>
        <v>1.5045281916447606E-2</v>
      </c>
      <c r="BD14" s="78">
        <f>IF(AND(AP14="",AQ14="",AR14="",AS14=""),"",STDEV(AP14:AS14))</f>
        <v>8.143359547044305E-3</v>
      </c>
      <c r="BE14" s="79">
        <f>IF(AND(AP15="",AQ15="",AR15="",AS15=""),"",AVERAGE(AP15:AS15))</f>
        <v>4.6304411335086199E-2</v>
      </c>
      <c r="BF14" s="80">
        <f>IF(AND(AP15="",AQ15="",AR15="",AS15=""),"",STDEV(AP15:AS15))</f>
        <v>2.6292725679228973E-3</v>
      </c>
      <c r="BG14" s="81">
        <f>IF(AND(AP16="",AQ16="",AR16="",AS16=""),"",AVERAGE(AP16:AS16))</f>
        <v>-2.9214139643587711E-3</v>
      </c>
      <c r="BH14" s="82">
        <f>IF(AND(AP16="",AQ16="",AR16="",AS16=""),"",STDEV(AP16:AS16))</f>
        <v>3.3564491069459691E-3</v>
      </c>
      <c r="BI14" s="23"/>
    </row>
    <row r="15" spans="1:81" ht="15" thickBot="1" x14ac:dyDescent="0.4">
      <c r="A15" s="168" t="str">
        <f>'680 nm (Bubble) Outlier'!A30</f>
        <v>C</v>
      </c>
      <c r="B15" s="170">
        <f>'Quartiles Outlier Blank-NC'!AA15</f>
        <v>7.0000000000000007E-2</v>
      </c>
      <c r="C15" s="171">
        <f>'Quartiles Outlier Blank-NC'!AB15</f>
        <v>0.63800000000000001</v>
      </c>
      <c r="D15" s="172">
        <f>'680 nm (Bubble) Outlier'!D30</f>
        <v>0.16600000000000001</v>
      </c>
      <c r="E15" s="172">
        <f>'680 nm (Bubble) Outlier'!E30</f>
        <v>0.20300000000000001</v>
      </c>
      <c r="F15" s="172">
        <f>'680 nm (Bubble) Outlier'!F30</f>
        <v>0.16500000000000001</v>
      </c>
      <c r="G15" s="174">
        <f>'680 nm (Bubble) Outlier'!G30</f>
        <v>0.61199999999999999</v>
      </c>
      <c r="H15" s="174">
        <f>'680 nm (Bubble) Outlier'!H30</f>
        <v>0.61099999999999999</v>
      </c>
      <c r="I15" s="174">
        <f>'680 nm (Bubble) Outlier'!I30</f>
        <v>0.61399999999999999</v>
      </c>
      <c r="J15" s="174">
        <f>'680 nm (Bubble) Outlier'!J30</f>
        <v>0.61399999999999999</v>
      </c>
      <c r="K15" s="174">
        <f>'680 nm (Bubble) Outlier'!K30</f>
        <v>6.8000000000000005E-2</v>
      </c>
      <c r="L15" s="174">
        <f>'680 nm (Bubble) Outlier'!L30</f>
        <v>6.9000000000000006E-2</v>
      </c>
      <c r="M15" s="174">
        <f>'680 nm (Bubble) Outlier'!M30</f>
        <v>6.9000000000000006E-2</v>
      </c>
      <c r="N15" s="189" t="str">
        <f>'680 nm (Bubble) Outlier'!N30</f>
        <v>read:412 Read#2</v>
      </c>
      <c r="O15" s="20"/>
      <c r="P15" s="66" t="str">
        <f t="shared" si="27"/>
        <v>Dicyclohexylcarbodiimide</v>
      </c>
      <c r="Q15" s="201">
        <f>IF(AND(K15="",L15="",M15=""),"",AVERAGE(K15:M15))</f>
        <v>6.8666666666666668E-2</v>
      </c>
      <c r="R15" s="45"/>
      <c r="S15" s="30" t="s">
        <v>2</v>
      </c>
      <c r="T15" s="46" t="s">
        <v>24</v>
      </c>
      <c r="U15" s="203">
        <f t="shared" si="28"/>
        <v>0.56850000000000001</v>
      </c>
      <c r="V15" s="207">
        <f t="shared" si="28"/>
        <v>9.6500000000000002E-2</v>
      </c>
      <c r="W15" s="207">
        <f t="shared" si="28"/>
        <v>0.13350000000000001</v>
      </c>
      <c r="X15" s="207">
        <f t="shared" si="28"/>
        <v>9.5500000000000002E-2</v>
      </c>
      <c r="Y15" s="88">
        <f t="shared" si="29"/>
        <v>0.54333333333333333</v>
      </c>
      <c r="Z15" s="88">
        <f t="shared" si="30"/>
        <v>0.54233333333333333</v>
      </c>
      <c r="AA15" s="88">
        <f t="shared" si="31"/>
        <v>0.54533333333333334</v>
      </c>
      <c r="AB15" s="88">
        <f t="shared" si="32"/>
        <v>0.54533333333333334</v>
      </c>
      <c r="AC15" s="87" t="s">
        <v>24</v>
      </c>
      <c r="AD15" s="88" t="s">
        <v>24</v>
      </c>
      <c r="AE15" s="88" t="s">
        <v>24</v>
      </c>
      <c r="AF15" s="68" t="str">
        <f t="shared" si="33"/>
        <v>Dicyclohexylcarbodiimide</v>
      </c>
      <c r="AG15" s="84">
        <f t="shared" ref="AG15:AG20" si="36">IF(AND(Y15="",Z15="",AA15="",AB15=""),"",AVERAGE(Y15:AB15))</f>
        <v>0.54408333333333325</v>
      </c>
      <c r="AH15" s="201">
        <f t="shared" ref="AH15:AH20" si="37">STDEV(Y15:AB15)</f>
        <v>1.5000000000000013E-3</v>
      </c>
      <c r="AI15" s="45"/>
      <c r="AJ15" s="30" t="s">
        <v>2</v>
      </c>
      <c r="AK15" s="46" t="s">
        <v>24</v>
      </c>
      <c r="AL15" s="49">
        <f t="shared" si="34"/>
        <v>3.5056967572304476E-3</v>
      </c>
      <c r="AM15" s="137">
        <f t="shared" ref="AM15:AM20" si="38">IF(V15="","",1-V15/$AG$13)</f>
        <v>0.83085013146362841</v>
      </c>
      <c r="AN15" s="137">
        <f t="shared" ref="AN15:AN20" si="39">IF(W15="","",1-W15/$AG$13)</f>
        <v>0.76599474145486413</v>
      </c>
      <c r="AO15" s="137">
        <f t="shared" ref="AO15:AO20" si="40">IF(X15="","",1-X15/$AG$13)</f>
        <v>0.83260297984224363</v>
      </c>
      <c r="AP15" s="183">
        <f t="shared" si="35"/>
        <v>4.7619047619047672E-2</v>
      </c>
      <c r="AQ15" s="183">
        <f t="shared" si="26"/>
        <v>4.9371895997662896E-2</v>
      </c>
      <c r="AR15" s="183">
        <f t="shared" si="26"/>
        <v>4.4113350861817113E-2</v>
      </c>
      <c r="AS15" s="183">
        <f t="shared" si="26"/>
        <v>4.4113350861817113E-2</v>
      </c>
      <c r="AT15" s="87" t="s">
        <v>24</v>
      </c>
      <c r="AU15" s="88" t="s">
        <v>24</v>
      </c>
      <c r="AV15" s="88" t="s">
        <v>24</v>
      </c>
      <c r="AW15" s="53"/>
      <c r="AX15" s="89">
        <v>0.3</v>
      </c>
      <c r="AY15" s="74">
        <f t="shared" ref="AY15:AY20" si="41">IF(AND(AM15="",AN15="",AO15=""),"",AVERAGE(AM15:AO15))</f>
        <v>0.8098159509202455</v>
      </c>
      <c r="AZ15" s="90">
        <f t="shared" ref="AZ15:AZ20" si="42">STDEV(AM15:AO15)</f>
        <v>3.7960399347428085E-2</v>
      </c>
      <c r="BA15" s="91"/>
      <c r="BB15" s="91"/>
      <c r="BI15" s="23"/>
      <c r="BU15" s="620" t="s">
        <v>31</v>
      </c>
      <c r="BV15" s="621"/>
      <c r="BW15" s="622"/>
      <c r="BX15" s="138"/>
    </row>
    <row r="16" spans="1:81" ht="15" thickBot="1" x14ac:dyDescent="0.4">
      <c r="A16" s="168" t="str">
        <f>'680 nm (Bubble) Outlier'!A31</f>
        <v>D</v>
      </c>
      <c r="B16" s="170">
        <f>'Quartiles Outlier Blank-NC'!AA16</f>
        <v>6.8000000000000005E-2</v>
      </c>
      <c r="C16" s="171">
        <f>'Quartiles Outlier Blank-NC'!AB16</f>
        <v>0.63</v>
      </c>
      <c r="D16" s="172">
        <f>'680 nm (Bubble) Outlier'!D31</f>
        <v>0.30499999999999999</v>
      </c>
      <c r="E16" s="172">
        <f>'680 nm (Bubble) Outlier'!E31</f>
        <v>0.33700000000000002</v>
      </c>
      <c r="F16" s="172">
        <f>'680 nm (Bubble) Outlier'!F31</f>
        <v>0.29799999999999999</v>
      </c>
      <c r="G16" s="175">
        <f>'680 nm (Bubble) Outlier'!G31</f>
        <v>0.64100000000000001</v>
      </c>
      <c r="H16" s="175">
        <f>'680 nm (Bubble) Outlier'!H31</f>
        <v>0.64300000000000002</v>
      </c>
      <c r="I16" s="175">
        <f>'680 nm (Bubble) Outlier'!I31</f>
        <v>0.64300000000000002</v>
      </c>
      <c r="J16" s="175">
        <f>'680 nm (Bubble) Outlier'!J31</f>
        <v>0.63900000000000001</v>
      </c>
      <c r="K16" s="175">
        <f>'680 nm (Bubble) Outlier'!K31</f>
        <v>7.0000000000000007E-2</v>
      </c>
      <c r="L16" s="175">
        <f>'680 nm (Bubble) Outlier'!L31</f>
        <v>6.9000000000000006E-2</v>
      </c>
      <c r="M16" s="175">
        <f>'680 nm (Bubble) Outlier'!M31</f>
        <v>6.9000000000000006E-2</v>
      </c>
      <c r="N16" s="189" t="str">
        <f>'680 nm (Bubble) Outlier'!N31</f>
        <v>read:412 Read#2</v>
      </c>
      <c r="O16" s="20"/>
      <c r="P16" s="66" t="str">
        <f t="shared" si="27"/>
        <v>Triethanolamine</v>
      </c>
      <c r="Q16" s="201">
        <f>IF(AND(K16="",L16="",M16=""),"",AVERAGE(K16:M16))</f>
        <v>6.9333333333333344E-2</v>
      </c>
      <c r="R16" s="45"/>
      <c r="S16" s="30" t="s">
        <v>3</v>
      </c>
      <c r="T16" s="46" t="s">
        <v>24</v>
      </c>
      <c r="U16" s="203">
        <f t="shared" si="28"/>
        <v>0.5605</v>
      </c>
      <c r="V16" s="207">
        <f t="shared" si="28"/>
        <v>0.23549999999999999</v>
      </c>
      <c r="W16" s="207">
        <f t="shared" si="28"/>
        <v>0.26750000000000002</v>
      </c>
      <c r="X16" s="207">
        <f t="shared" si="28"/>
        <v>0.22849999999999998</v>
      </c>
      <c r="Y16" s="93">
        <f t="shared" si="29"/>
        <v>0.57166666666666666</v>
      </c>
      <c r="Z16" s="93">
        <f t="shared" si="30"/>
        <v>0.57366666666666666</v>
      </c>
      <c r="AA16" s="93">
        <f t="shared" si="31"/>
        <v>0.57366666666666666</v>
      </c>
      <c r="AB16" s="93">
        <f t="shared" si="32"/>
        <v>0.56966666666666665</v>
      </c>
      <c r="AC16" s="92" t="s">
        <v>24</v>
      </c>
      <c r="AD16" s="93" t="s">
        <v>24</v>
      </c>
      <c r="AE16" s="93" t="s">
        <v>24</v>
      </c>
      <c r="AF16" s="68" t="str">
        <f t="shared" si="33"/>
        <v>Triethanolamine</v>
      </c>
      <c r="AG16" s="84">
        <f t="shared" si="36"/>
        <v>0.5721666666666666</v>
      </c>
      <c r="AH16" s="201">
        <f t="shared" si="37"/>
        <v>1.9148542155126779E-3</v>
      </c>
      <c r="AI16" s="45"/>
      <c r="AJ16" s="30" t="s">
        <v>3</v>
      </c>
      <c r="AK16" s="46" t="s">
        <v>24</v>
      </c>
      <c r="AL16" s="49">
        <f t="shared" si="34"/>
        <v>1.752848378615246E-2</v>
      </c>
      <c r="AM16" s="137">
        <f t="shared" si="38"/>
        <v>0.58720420683610874</v>
      </c>
      <c r="AN16" s="137">
        <f t="shared" si="39"/>
        <v>0.53111305872042069</v>
      </c>
      <c r="AO16" s="137">
        <f t="shared" si="40"/>
        <v>0.59947414548641542</v>
      </c>
      <c r="AP16" s="184">
        <f t="shared" si="35"/>
        <v>-2.044989775051187E-3</v>
      </c>
      <c r="AQ16" s="184">
        <f t="shared" si="26"/>
        <v>-5.5506865322816346E-3</v>
      </c>
      <c r="AR16" s="184">
        <f t="shared" si="26"/>
        <v>-5.5506865322816346E-3</v>
      </c>
      <c r="AS16" s="184">
        <f t="shared" si="26"/>
        <v>1.4607069821793717E-3</v>
      </c>
      <c r="AT16" s="92" t="s">
        <v>24</v>
      </c>
      <c r="AU16" s="93" t="s">
        <v>24</v>
      </c>
      <c r="AV16" s="93" t="s">
        <v>24</v>
      </c>
      <c r="AW16" s="53"/>
      <c r="AX16" s="89">
        <v>0.15</v>
      </c>
      <c r="AY16" s="74">
        <f t="shared" si="41"/>
        <v>0.57259713701431492</v>
      </c>
      <c r="AZ16" s="90">
        <f t="shared" si="42"/>
        <v>3.6446322345897036E-2</v>
      </c>
      <c r="BA16" s="455" t="str">
        <f>AF17</f>
        <v>Pentaerythritol triacrylate</v>
      </c>
      <c r="BB16" s="94" t="s">
        <v>13</v>
      </c>
      <c r="BC16" s="454" t="str">
        <f>AF18</f>
        <v>Clarithromycin</v>
      </c>
      <c r="BD16" s="95" t="s">
        <v>13</v>
      </c>
      <c r="BE16" s="453" t="str">
        <f>AF19</f>
        <v>o-Benzyl-p-chlorophenol</v>
      </c>
      <c r="BF16" s="96" t="s">
        <v>13</v>
      </c>
      <c r="BG16" s="452" t="str">
        <f>AF20</f>
        <v>5-Amino-o-cresol</v>
      </c>
      <c r="BH16" s="97" t="s">
        <v>13</v>
      </c>
      <c r="BI16" s="23"/>
      <c r="BU16" s="139" t="s">
        <v>17</v>
      </c>
      <c r="BV16" s="140" t="s">
        <v>170</v>
      </c>
      <c r="BW16" s="141" t="s">
        <v>71</v>
      </c>
    </row>
    <row r="17" spans="1:81" ht="15" thickBot="1" x14ac:dyDescent="0.4">
      <c r="A17" s="168" t="str">
        <f>'680 nm (Bubble) Outlier'!A32</f>
        <v>E</v>
      </c>
      <c r="B17" s="170">
        <f>'Quartiles Outlier Blank-NC'!AA17</f>
        <v>7.0000000000000007E-2</v>
      </c>
      <c r="C17" s="171">
        <f>'Quartiles Outlier Blank-NC'!AB17</f>
        <v>0.63600000000000001</v>
      </c>
      <c r="D17" s="172">
        <f>'680 nm (Bubble) Outlier'!D32</f>
        <v>0.433</v>
      </c>
      <c r="E17" s="172">
        <f>'680 nm (Bubble) Outlier'!E32</f>
        <v>0.46300000000000002</v>
      </c>
      <c r="F17" s="172">
        <f>'680 nm (Bubble) Outlier'!F32</f>
        <v>0.45100000000000001</v>
      </c>
      <c r="G17" s="176">
        <f>'680 nm (Bubble) Outlier'!G32</f>
        <v>0.624</v>
      </c>
      <c r="H17" s="176">
        <f>'680 nm (Bubble) Outlier'!H32</f>
        <v>0.625</v>
      </c>
      <c r="I17" s="176">
        <f>'680 nm (Bubble) Outlier'!I32</f>
        <v>0.63</v>
      </c>
      <c r="J17" s="176">
        <f>'680 nm (Bubble) Outlier'!J32</f>
        <v>0.624</v>
      </c>
      <c r="K17" s="176">
        <f>'680 nm (Bubble) Outlier'!K32</f>
        <v>6.9000000000000006E-2</v>
      </c>
      <c r="L17" s="176">
        <f>'680 nm (Bubble) Outlier'!L32</f>
        <v>7.0000000000000007E-2</v>
      </c>
      <c r="M17" s="176">
        <f>'680 nm (Bubble) Outlier'!M32</f>
        <v>7.0000000000000007E-2</v>
      </c>
      <c r="N17" s="189" t="str">
        <f>'680 nm (Bubble) Outlier'!N32</f>
        <v>read:412 Read#2</v>
      </c>
      <c r="O17" s="20"/>
      <c r="P17" s="66" t="str">
        <f t="shared" si="27"/>
        <v>Pentaerythritol triacrylate</v>
      </c>
      <c r="Q17" s="201">
        <f t="shared" ref="Q17:Q20" si="43">IF(AND(K17="",L17="",M17=""),"",AVERAGE(K17:M17))</f>
        <v>6.9666666666666668E-2</v>
      </c>
      <c r="R17" s="45"/>
      <c r="S17" s="30" t="s">
        <v>4</v>
      </c>
      <c r="T17" s="46" t="s">
        <v>24</v>
      </c>
      <c r="U17" s="203">
        <f t="shared" si="28"/>
        <v>0.5665</v>
      </c>
      <c r="V17" s="207">
        <f t="shared" si="28"/>
        <v>0.36349999999999999</v>
      </c>
      <c r="W17" s="207">
        <f t="shared" si="28"/>
        <v>0.39350000000000002</v>
      </c>
      <c r="X17" s="207">
        <f t="shared" si="28"/>
        <v>0.38150000000000001</v>
      </c>
      <c r="Y17" s="102">
        <f t="shared" si="29"/>
        <v>0.55433333333333334</v>
      </c>
      <c r="Z17" s="102">
        <f t="shared" si="30"/>
        <v>0.55533333333333335</v>
      </c>
      <c r="AA17" s="102">
        <f t="shared" si="31"/>
        <v>0.56033333333333335</v>
      </c>
      <c r="AB17" s="102">
        <f t="shared" si="32"/>
        <v>0.55433333333333334</v>
      </c>
      <c r="AC17" s="101" t="s">
        <v>24</v>
      </c>
      <c r="AD17" s="102" t="s">
        <v>24</v>
      </c>
      <c r="AE17" s="102" t="s">
        <v>24</v>
      </c>
      <c r="AF17" s="68" t="str">
        <f t="shared" si="33"/>
        <v>Pentaerythritol triacrylate</v>
      </c>
      <c r="AG17" s="84">
        <f t="shared" si="36"/>
        <v>0.55608333333333326</v>
      </c>
      <c r="AH17" s="201">
        <f t="shared" si="37"/>
        <v>2.872281323269017E-3</v>
      </c>
      <c r="AI17" s="45"/>
      <c r="AJ17" s="30" t="s">
        <v>4</v>
      </c>
      <c r="AK17" s="46" t="s">
        <v>24</v>
      </c>
      <c r="AL17" s="49">
        <f t="shared" si="34"/>
        <v>7.0113935144610062E-3</v>
      </c>
      <c r="AM17" s="137">
        <f t="shared" si="38"/>
        <v>0.36283961437335677</v>
      </c>
      <c r="AN17" s="137">
        <f t="shared" si="39"/>
        <v>0.31025416301489916</v>
      </c>
      <c r="AO17" s="137">
        <f t="shared" si="40"/>
        <v>0.33128834355828218</v>
      </c>
      <c r="AP17" s="185">
        <f t="shared" si="35"/>
        <v>2.8337715454279877E-2</v>
      </c>
      <c r="AQ17" s="185">
        <f t="shared" si="26"/>
        <v>2.6584867075664653E-2</v>
      </c>
      <c r="AR17" s="185">
        <f t="shared" si="26"/>
        <v>1.7820625182588312E-2</v>
      </c>
      <c r="AS17" s="185">
        <f t="shared" si="26"/>
        <v>2.8337715454279877E-2</v>
      </c>
      <c r="AT17" s="101" t="s">
        <v>24</v>
      </c>
      <c r="AU17" s="102" t="s">
        <v>24</v>
      </c>
      <c r="AV17" s="102" t="s">
        <v>24</v>
      </c>
      <c r="AW17" s="53"/>
      <c r="AX17" s="89">
        <v>7.4999999999999997E-2</v>
      </c>
      <c r="AY17" s="74">
        <f t="shared" si="41"/>
        <v>0.33479404031551274</v>
      </c>
      <c r="AZ17" s="90">
        <f t="shared" si="42"/>
        <v>2.6467430097355884E-2</v>
      </c>
      <c r="BA17" s="103">
        <f>IF(AND(AP17="",AQ17="",AR17="",AS17=""),"",AVERAGE(AP17:AS17))</f>
        <v>2.527023079170318E-2</v>
      </c>
      <c r="BB17" s="104">
        <f>IF(AND(AP17="",AQ17="",AR17="",AS17=""),"",STDEV(AP17:AS17))</f>
        <v>5.0346736604189868E-3</v>
      </c>
      <c r="BC17" s="105">
        <f>IF(AND(AP18="",AQ18="",AR18="",AS18=""),"",AVERAGE(AP18:AS18))</f>
        <v>-1.2123867952088807E-2</v>
      </c>
      <c r="BD17" s="106">
        <f>IF(AND(AP18="",AQ18="",AR18="",AS18=""),"",STDEV(AP18:AS18))</f>
        <v>2.9935585059771325E-3</v>
      </c>
      <c r="BE17" s="107">
        <f>IF(AND(AP19="",AQ19="",AR19="",AS19=""),"",AVERAGE(AP19:AS19))</f>
        <v>4.1191936897458398E-2</v>
      </c>
      <c r="BF17" s="108">
        <f>IF(AND(AP19="",AQ19="",AR19="",AS19=""),"",STDEV(AP19:AS19))</f>
        <v>5.9009669520082367E-3</v>
      </c>
      <c r="BG17" s="109">
        <f>IF(AND(AP20="",AQ20="",AR20="",AS20=""),"",AVERAGE(AP20:AS20))</f>
        <v>2.6584867075664625E-2</v>
      </c>
      <c r="BH17" s="110">
        <f>IF(AND(AP20="",AQ20="",AR20="",AS20=""),"",STDEV(AP20:AS20))</f>
        <v>5.9009669520082367E-3</v>
      </c>
      <c r="BI17" s="23"/>
      <c r="BU17" s="62">
        <v>5</v>
      </c>
      <c r="BV17" s="126">
        <f>BV10*2</f>
        <v>2.3112422216957206E-2</v>
      </c>
      <c r="BW17" s="127">
        <f>5*BV10</f>
        <v>5.7781055542393017E-2</v>
      </c>
    </row>
    <row r="18" spans="1:81" x14ac:dyDescent="0.35">
      <c r="A18" s="168" t="str">
        <f>'680 nm (Bubble) Outlier'!A33</f>
        <v>F</v>
      </c>
      <c r="B18" s="170">
        <f>'Quartiles Outlier Blank-NC'!AA18</f>
        <v>7.0000000000000007E-2</v>
      </c>
      <c r="C18" s="171">
        <f>'Quartiles Outlier Blank-NC'!AB18</f>
        <v>0.64100000000000001</v>
      </c>
      <c r="D18" s="172">
        <f>'680 nm (Bubble) Outlier'!D33</f>
        <v>0.51900000000000002</v>
      </c>
      <c r="E18" s="172">
        <f>'680 nm (Bubble) Outlier'!E33</f>
        <v>0.54300000000000004</v>
      </c>
      <c r="F18" s="172">
        <f>'680 nm (Bubble) Outlier'!F33</f>
        <v>0.54200000000000004</v>
      </c>
      <c r="G18" s="177">
        <f>'680 nm (Bubble) Outlier'!G33</f>
        <v>0.64600000000000002</v>
      </c>
      <c r="H18" s="177">
        <f>'680 nm (Bubble) Outlier'!H33</f>
        <v>0.64700000000000002</v>
      </c>
      <c r="I18" s="177">
        <f>'680 nm (Bubble) Outlier'!I33</f>
        <v>0.64900000000000002</v>
      </c>
      <c r="J18" s="177">
        <f>'680 nm (Bubble) Outlier'!J33</f>
        <v>0.64500000000000002</v>
      </c>
      <c r="K18" s="177">
        <f>'680 nm (Bubble) Outlier'!K33</f>
        <v>7.0000000000000007E-2</v>
      </c>
      <c r="L18" s="177">
        <f>'680 nm (Bubble) Outlier'!L33</f>
        <v>6.9000000000000006E-2</v>
      </c>
      <c r="M18" s="177">
        <f>'680 nm (Bubble) Outlier'!M33</f>
        <v>6.9000000000000006E-2</v>
      </c>
      <c r="N18" s="189" t="str">
        <f>'680 nm (Bubble) Outlier'!N33</f>
        <v>read:412 Read#2</v>
      </c>
      <c r="O18" s="20"/>
      <c r="P18" s="66" t="str">
        <f t="shared" si="27"/>
        <v>Clarithromycin</v>
      </c>
      <c r="Q18" s="201">
        <f t="shared" si="43"/>
        <v>6.9333333333333344E-2</v>
      </c>
      <c r="R18" s="45"/>
      <c r="S18" s="30" t="s">
        <v>5</v>
      </c>
      <c r="T18" s="46" t="s">
        <v>24</v>
      </c>
      <c r="U18" s="203">
        <f t="shared" si="28"/>
        <v>0.57150000000000001</v>
      </c>
      <c r="V18" s="207">
        <f t="shared" si="28"/>
        <v>0.44950000000000001</v>
      </c>
      <c r="W18" s="207">
        <f t="shared" si="28"/>
        <v>0.47350000000000003</v>
      </c>
      <c r="X18" s="207">
        <f t="shared" si="28"/>
        <v>0.47250000000000003</v>
      </c>
      <c r="Y18" s="115">
        <f t="shared" si="29"/>
        <v>0.57666666666666666</v>
      </c>
      <c r="Z18" s="115">
        <f t="shared" si="30"/>
        <v>0.57766666666666666</v>
      </c>
      <c r="AA18" s="115">
        <f t="shared" si="31"/>
        <v>0.57966666666666666</v>
      </c>
      <c r="AB18" s="115">
        <f t="shared" si="32"/>
        <v>0.57566666666666666</v>
      </c>
      <c r="AC18" s="114" t="s">
        <v>24</v>
      </c>
      <c r="AD18" s="115" t="s">
        <v>24</v>
      </c>
      <c r="AE18" s="115" t="s">
        <v>24</v>
      </c>
      <c r="AF18" s="68" t="str">
        <f t="shared" si="33"/>
        <v>Clarithromycin</v>
      </c>
      <c r="AG18" s="84">
        <f t="shared" si="36"/>
        <v>0.57741666666666669</v>
      </c>
      <c r="AH18" s="201">
        <f t="shared" si="37"/>
        <v>1.7078251276599345E-3</v>
      </c>
      <c r="AI18" s="45"/>
      <c r="AJ18" s="30" t="s">
        <v>5</v>
      </c>
      <c r="AK18" s="46" t="s">
        <v>24</v>
      </c>
      <c r="AL18" s="49">
        <f t="shared" si="34"/>
        <v>-1.7528483786153348E-3</v>
      </c>
      <c r="AM18" s="137">
        <f t="shared" si="38"/>
        <v>0.21209465381244519</v>
      </c>
      <c r="AN18" s="137">
        <f t="shared" si="39"/>
        <v>0.17002629272567915</v>
      </c>
      <c r="AO18" s="137">
        <f t="shared" si="40"/>
        <v>0.17177914110429449</v>
      </c>
      <c r="AP18" s="186">
        <f t="shared" si="35"/>
        <v>-1.0809231668127417E-2</v>
      </c>
      <c r="AQ18" s="186">
        <f t="shared" ref="AQ18:AS20" si="44">IF(Z18="","",1-Z18/$AG$13)</f>
        <v>-1.256208004674253E-2</v>
      </c>
      <c r="AR18" s="186">
        <f t="shared" si="44"/>
        <v>-1.6067776803973199E-2</v>
      </c>
      <c r="AS18" s="186">
        <f t="shared" si="44"/>
        <v>-9.0563832895120822E-3</v>
      </c>
      <c r="AT18" s="114" t="s">
        <v>24</v>
      </c>
      <c r="AU18" s="115" t="s">
        <v>24</v>
      </c>
      <c r="AV18" s="115" t="s">
        <v>24</v>
      </c>
      <c r="AW18" s="53"/>
      <c r="AX18" s="89">
        <v>3.7499999999999999E-2</v>
      </c>
      <c r="AY18" s="74">
        <f t="shared" si="41"/>
        <v>0.18463336254747295</v>
      </c>
      <c r="AZ18" s="90">
        <f t="shared" si="42"/>
        <v>2.3798319432563601E-2</v>
      </c>
      <c r="BA18" s="91"/>
      <c r="BB18" s="91"/>
      <c r="BI18" s="23"/>
      <c r="BU18" s="83">
        <v>20</v>
      </c>
      <c r="BV18" s="126">
        <f t="shared" ref="BV18:BV20" si="45">BV11*2</f>
        <v>1.8652050391198643E-2</v>
      </c>
      <c r="BW18" s="127">
        <f t="shared" ref="BW18:BW20" si="46">5*BV11</f>
        <v>4.6630125977996609E-2</v>
      </c>
    </row>
    <row r="19" spans="1:81" x14ac:dyDescent="0.35">
      <c r="A19" s="168" t="str">
        <f>'680 nm (Bubble) Outlier'!A34</f>
        <v>G</v>
      </c>
      <c r="B19" s="170">
        <f>'Quartiles Outlier Blank-NC'!AA19</f>
        <v>6.9000000000000006E-2</v>
      </c>
      <c r="C19" s="171">
        <f>'Quartiles Outlier Blank-NC'!AB19</f>
        <v>0.64</v>
      </c>
      <c r="D19" s="172">
        <f>'680 nm (Bubble) Outlier'!D34</f>
        <v>0.57399999999999995</v>
      </c>
      <c r="E19" s="172">
        <f>'680 nm (Bubble) Outlier'!E34</f>
        <v>0.59499999999999997</v>
      </c>
      <c r="F19" s="172">
        <f>'680 nm (Bubble) Outlier'!F34</f>
        <v>0.58799999999999997</v>
      </c>
      <c r="G19" s="178">
        <f>'680 nm (Bubble) Outlier'!G34</f>
        <v>0.61799999999999999</v>
      </c>
      <c r="H19" s="178">
        <f>'680 nm (Bubble) Outlier'!H34</f>
        <v>0.61499999999999999</v>
      </c>
      <c r="I19" s="178">
        <f>'680 nm (Bubble) Outlier'!I34</f>
        <v>0.623</v>
      </c>
      <c r="J19" s="178">
        <f>'680 nm (Bubble) Outlier'!J34</f>
        <v>0.62</v>
      </c>
      <c r="K19" s="178">
        <f>'680 nm (Bubble) Outlier'!K34</f>
        <v>7.0000000000000007E-2</v>
      </c>
      <c r="L19" s="178">
        <f>'680 nm (Bubble) Outlier'!L34</f>
        <v>7.3999999999999996E-2</v>
      </c>
      <c r="M19" s="178">
        <f>'680 nm (Bubble) Outlier'!M34</f>
        <v>7.1999999999999995E-2</v>
      </c>
      <c r="N19" s="189" t="str">
        <f>'680 nm (Bubble) Outlier'!N34</f>
        <v>read:412 Read#2</v>
      </c>
      <c r="O19" s="20"/>
      <c r="P19" s="66" t="str">
        <f t="shared" si="27"/>
        <v>o-Benzyl-p-chlorophenol</v>
      </c>
      <c r="Q19" s="201">
        <f t="shared" si="43"/>
        <v>7.2000000000000008E-2</v>
      </c>
      <c r="R19" s="45"/>
      <c r="S19" s="30" t="s">
        <v>6</v>
      </c>
      <c r="T19" s="46" t="s">
        <v>24</v>
      </c>
      <c r="U19" s="203">
        <f t="shared" si="28"/>
        <v>0.57050000000000001</v>
      </c>
      <c r="V19" s="207">
        <f t="shared" si="28"/>
        <v>0.50449999999999995</v>
      </c>
      <c r="W19" s="207">
        <f t="shared" si="28"/>
        <v>0.52549999999999997</v>
      </c>
      <c r="X19" s="207">
        <f t="shared" si="28"/>
        <v>0.51849999999999996</v>
      </c>
      <c r="Y19" s="117">
        <f t="shared" si="29"/>
        <v>0.54600000000000004</v>
      </c>
      <c r="Z19" s="117">
        <f t="shared" si="30"/>
        <v>0.54299999999999993</v>
      </c>
      <c r="AA19" s="117">
        <f t="shared" si="31"/>
        <v>0.55099999999999993</v>
      </c>
      <c r="AB19" s="117">
        <f t="shared" si="32"/>
        <v>0.54800000000000004</v>
      </c>
      <c r="AC19" s="116" t="s">
        <v>24</v>
      </c>
      <c r="AD19" s="117" t="s">
        <v>24</v>
      </c>
      <c r="AE19" s="117" t="s">
        <v>24</v>
      </c>
      <c r="AF19" s="68" t="str">
        <f t="shared" si="33"/>
        <v>o-Benzyl-p-chlorophenol</v>
      </c>
      <c r="AG19" s="84">
        <f t="shared" si="36"/>
        <v>0.54699999999999993</v>
      </c>
      <c r="AH19" s="201">
        <f t="shared" si="37"/>
        <v>3.3665016461206956E-3</v>
      </c>
      <c r="AI19" s="45"/>
      <c r="AJ19" s="30" t="s">
        <v>6</v>
      </c>
      <c r="AK19" s="46" t="s">
        <v>24</v>
      </c>
      <c r="AL19" s="49">
        <f t="shared" si="34"/>
        <v>0</v>
      </c>
      <c r="AM19" s="137">
        <f t="shared" si="38"/>
        <v>0.11568799298860655</v>
      </c>
      <c r="AN19" s="137">
        <f t="shared" si="39"/>
        <v>7.8878177037686292E-2</v>
      </c>
      <c r="AO19" s="137">
        <f t="shared" si="40"/>
        <v>9.1148115687993081E-2</v>
      </c>
      <c r="AP19" s="187">
        <f t="shared" si="35"/>
        <v>4.2944785276073594E-2</v>
      </c>
      <c r="AQ19" s="187">
        <f t="shared" si="44"/>
        <v>4.8203330411919487E-2</v>
      </c>
      <c r="AR19" s="187">
        <f t="shared" si="44"/>
        <v>3.4180543382997475E-2</v>
      </c>
      <c r="AS19" s="187">
        <f t="shared" si="44"/>
        <v>3.9439088518843035E-2</v>
      </c>
      <c r="AT19" s="116" t="s">
        <v>24</v>
      </c>
      <c r="AU19" s="117" t="s">
        <v>24</v>
      </c>
      <c r="AV19" s="117" t="s">
        <v>24</v>
      </c>
      <c r="AW19" s="53"/>
      <c r="AX19" s="89">
        <v>1.8749999999999999E-2</v>
      </c>
      <c r="AY19" s="74">
        <f t="shared" si="41"/>
        <v>9.5238095238095302E-2</v>
      </c>
      <c r="AZ19" s="90">
        <f t="shared" si="42"/>
        <v>1.8742640879164971E-2</v>
      </c>
      <c r="BA19" s="91"/>
      <c r="BB19" s="91"/>
      <c r="BI19" s="23"/>
      <c r="BU19" s="83">
        <v>35</v>
      </c>
      <c r="BV19" s="126">
        <f t="shared" si="45"/>
        <v>1.8517044094057668E-2</v>
      </c>
      <c r="BW19" s="127">
        <f t="shared" si="46"/>
        <v>4.6292610235144166E-2</v>
      </c>
      <c r="BY19" s="112"/>
      <c r="BZ19" s="112"/>
      <c r="CA19" s="112"/>
      <c r="CB19" s="112"/>
      <c r="CC19" s="112"/>
    </row>
    <row r="20" spans="1:81" ht="15" thickBot="1" x14ac:dyDescent="0.4">
      <c r="A20" s="168" t="str">
        <f>'680 nm (Bubble) Outlier'!A35</f>
        <v>H</v>
      </c>
      <c r="B20" s="170">
        <f>'Quartiles Outlier Blank-NC'!AA20</f>
        <v>6.9000000000000006E-2</v>
      </c>
      <c r="C20" s="171">
        <f>'Quartiles Outlier Blank-NC'!AB20</f>
        <v>0.63700000000000001</v>
      </c>
      <c r="D20" s="172">
        <f>'680 nm (Bubble) Outlier'!D35</f>
        <v>0.60599999999999998</v>
      </c>
      <c r="E20" s="172">
        <f>'680 nm (Bubble) Outlier'!E35</f>
        <v>0.61899999999999999</v>
      </c>
      <c r="F20" s="172">
        <f>'680 nm (Bubble) Outlier'!F35</f>
        <v>0.61599999999999999</v>
      </c>
      <c r="G20" s="179">
        <f>'680 nm (Bubble) Outlier'!G35</f>
        <v>0.64200000000000002</v>
      </c>
      <c r="H20" s="179">
        <f>'680 nm (Bubble) Outlier'!H35</f>
        <v>0.63400000000000001</v>
      </c>
      <c r="I20" s="179">
        <f>'680 nm (Bubble) Outlier'!I35</f>
        <v>0.63700000000000001</v>
      </c>
      <c r="J20" s="179">
        <f>'680 nm (Bubble) Outlier'!J35</f>
        <v>0.63900000000000001</v>
      </c>
      <c r="K20" s="179">
        <f>'680 nm (Bubble) Outlier'!K35</f>
        <v>8.2000000000000003E-2</v>
      </c>
      <c r="L20" s="179">
        <f>'680 nm (Bubble) Outlier'!L35</f>
        <v>8.3000000000000004E-2</v>
      </c>
      <c r="M20" s="179">
        <f>'680 nm (Bubble) Outlier'!M35</f>
        <v>8.3000000000000004E-2</v>
      </c>
      <c r="N20" s="189" t="str">
        <f>'680 nm (Bubble) Outlier'!N35</f>
        <v>read:412 Read#2</v>
      </c>
      <c r="O20" s="20"/>
      <c r="P20" s="119" t="str">
        <f t="shared" si="27"/>
        <v>5-Amino-o-cresol</v>
      </c>
      <c r="Q20" s="202">
        <f t="shared" si="43"/>
        <v>8.2666666666666666E-2</v>
      </c>
      <c r="R20" s="45"/>
      <c r="S20" s="30" t="s">
        <v>7</v>
      </c>
      <c r="T20" s="46" t="s">
        <v>24</v>
      </c>
      <c r="U20" s="203">
        <f t="shared" si="28"/>
        <v>0.5675</v>
      </c>
      <c r="V20" s="207">
        <f t="shared" si="28"/>
        <v>0.53649999999999998</v>
      </c>
      <c r="W20" s="207">
        <f t="shared" si="28"/>
        <v>0.54949999999999999</v>
      </c>
      <c r="X20" s="207">
        <f t="shared" si="28"/>
        <v>0.54649999999999999</v>
      </c>
      <c r="Y20" s="215">
        <f t="shared" si="29"/>
        <v>0.55933333333333335</v>
      </c>
      <c r="Z20" s="215">
        <f t="shared" si="30"/>
        <v>0.55133333333333334</v>
      </c>
      <c r="AA20" s="215">
        <f t="shared" si="31"/>
        <v>0.55433333333333334</v>
      </c>
      <c r="AB20" s="215">
        <f t="shared" si="32"/>
        <v>0.55633333333333335</v>
      </c>
      <c r="AC20" s="122" t="s">
        <v>24</v>
      </c>
      <c r="AD20" s="123" t="s">
        <v>24</v>
      </c>
      <c r="AE20" s="123" t="s">
        <v>24</v>
      </c>
      <c r="AF20" s="121" t="str">
        <f t="shared" si="33"/>
        <v>5-Amino-o-cresol</v>
      </c>
      <c r="AG20" s="98">
        <f t="shared" si="36"/>
        <v>0.55533333333333335</v>
      </c>
      <c r="AH20" s="202">
        <f t="shared" si="37"/>
        <v>3.3665016461206961E-3</v>
      </c>
      <c r="AI20" s="45"/>
      <c r="AJ20" s="30" t="s">
        <v>7</v>
      </c>
      <c r="AK20" s="46" t="s">
        <v>24</v>
      </c>
      <c r="AL20" s="49">
        <f t="shared" si="34"/>
        <v>5.2585451358457824E-3</v>
      </c>
      <c r="AM20" s="137">
        <f t="shared" si="38"/>
        <v>5.9596844872918497E-2</v>
      </c>
      <c r="AN20" s="137">
        <f t="shared" si="39"/>
        <v>3.6809815950920255E-2</v>
      </c>
      <c r="AO20" s="137">
        <f t="shared" si="40"/>
        <v>4.2068361086766037E-2</v>
      </c>
      <c r="AP20" s="182">
        <f t="shared" si="35"/>
        <v>1.9573473561203647E-2</v>
      </c>
      <c r="AQ20" s="182">
        <f t="shared" si="44"/>
        <v>3.3596260590125659E-2</v>
      </c>
      <c r="AR20" s="182">
        <f t="shared" si="44"/>
        <v>2.8337715454279877E-2</v>
      </c>
      <c r="AS20" s="182">
        <f t="shared" si="44"/>
        <v>2.4832018697049318E-2</v>
      </c>
      <c r="AT20" s="122" t="s">
        <v>24</v>
      </c>
      <c r="AU20" s="123" t="s">
        <v>24</v>
      </c>
      <c r="AV20" s="123" t="s">
        <v>24</v>
      </c>
      <c r="AW20" s="53"/>
      <c r="AX20" s="124">
        <v>9.3749999999999997E-3</v>
      </c>
      <c r="AY20" s="191">
        <f t="shared" si="41"/>
        <v>4.6158340636868266E-2</v>
      </c>
      <c r="AZ20" s="125">
        <f t="shared" si="42"/>
        <v>1.1931392262145558E-2</v>
      </c>
      <c r="BA20" s="91"/>
      <c r="BB20" s="91"/>
      <c r="BI20" s="23"/>
      <c r="BU20" s="35">
        <v>50</v>
      </c>
      <c r="BV20" s="414">
        <f t="shared" si="45"/>
        <v>1.6877316772185864E-2</v>
      </c>
      <c r="BW20" s="196">
        <f t="shared" si="46"/>
        <v>4.2193291930464658E-2</v>
      </c>
      <c r="BY20" s="112"/>
      <c r="BZ20" s="112"/>
      <c r="CA20" s="112"/>
      <c r="CB20" s="112"/>
      <c r="CC20" s="112"/>
    </row>
    <row r="21" spans="1:81" ht="15" thickBot="1" x14ac:dyDescent="0.4">
      <c r="N21" s="189"/>
      <c r="O21" s="17"/>
      <c r="R21" s="23"/>
      <c r="AI21" s="23"/>
      <c r="AW21" s="25"/>
      <c r="BI21" s="23"/>
      <c r="BU21" s="111"/>
      <c r="BV21" s="112"/>
      <c r="BW21" s="112"/>
      <c r="BX21" s="112"/>
      <c r="BY21" s="112"/>
      <c r="BZ21" s="112"/>
      <c r="CA21" s="112"/>
      <c r="CB21" s="112"/>
      <c r="CC21" s="112"/>
    </row>
    <row r="22" spans="1:81" ht="15" thickBot="1" x14ac:dyDescent="0.4">
      <c r="A22" s="168" t="str">
        <f>'680 nm (Bubble) Outlier'!A37</f>
        <v>35 min</v>
      </c>
      <c r="B22" s="168">
        <f>'680 nm (Bubble) Outlier'!B37</f>
        <v>1</v>
      </c>
      <c r="C22" s="168">
        <f>'680 nm (Bubble) Outlier'!C37</f>
        <v>2</v>
      </c>
      <c r="D22" s="168">
        <f>'680 nm (Bubble) Outlier'!D37</f>
        <v>3</v>
      </c>
      <c r="E22" s="168">
        <f>'680 nm (Bubble) Outlier'!E37</f>
        <v>4</v>
      </c>
      <c r="F22" s="168">
        <f>'680 nm (Bubble) Outlier'!F37</f>
        <v>5</v>
      </c>
      <c r="G22" s="168">
        <f>'680 nm (Bubble) Outlier'!G37</f>
        <v>6</v>
      </c>
      <c r="H22" s="168">
        <f>'680 nm (Bubble) Outlier'!H37</f>
        <v>7</v>
      </c>
      <c r="I22" s="168">
        <f>'680 nm (Bubble) Outlier'!I37</f>
        <v>8</v>
      </c>
      <c r="J22" s="168">
        <f>'680 nm (Bubble) Outlier'!J37</f>
        <v>9</v>
      </c>
      <c r="K22" s="168">
        <f>'680 nm (Bubble) Outlier'!K37</f>
        <v>10</v>
      </c>
      <c r="L22" s="168">
        <f>'680 nm (Bubble) Outlier'!L37</f>
        <v>11</v>
      </c>
      <c r="M22" s="168">
        <f>'680 nm (Bubble) Outlier'!M37</f>
        <v>12</v>
      </c>
      <c r="N22" s="189"/>
      <c r="O22" s="17"/>
      <c r="P22" s="26" t="s">
        <v>19</v>
      </c>
      <c r="Q22" s="27" t="s">
        <v>14</v>
      </c>
      <c r="R22" s="28"/>
      <c r="S22" s="29" t="s">
        <v>11</v>
      </c>
      <c r="T22" s="30">
        <v>1</v>
      </c>
      <c r="U22" s="30">
        <v>2</v>
      </c>
      <c r="V22" s="30">
        <v>3</v>
      </c>
      <c r="W22" s="30">
        <v>4</v>
      </c>
      <c r="X22" s="30">
        <v>5</v>
      </c>
      <c r="Y22" s="30">
        <v>6</v>
      </c>
      <c r="Z22" s="30">
        <v>7</v>
      </c>
      <c r="AA22" s="30">
        <v>8</v>
      </c>
      <c r="AB22" s="30">
        <v>9</v>
      </c>
      <c r="AC22" s="30">
        <v>10</v>
      </c>
      <c r="AD22" s="30">
        <v>11</v>
      </c>
      <c r="AE22" s="30">
        <v>12</v>
      </c>
      <c r="AF22" s="26" t="s">
        <v>19</v>
      </c>
      <c r="AG22" s="32" t="s">
        <v>20</v>
      </c>
      <c r="AH22" s="27" t="s">
        <v>13</v>
      </c>
      <c r="AI22" s="23"/>
      <c r="AJ22" s="29" t="s">
        <v>11</v>
      </c>
      <c r="AK22" s="30">
        <v>1</v>
      </c>
      <c r="AL22" s="30">
        <v>2</v>
      </c>
      <c r="AM22" s="30">
        <v>3</v>
      </c>
      <c r="AN22" s="30">
        <v>4</v>
      </c>
      <c r="AO22" s="30">
        <v>5</v>
      </c>
      <c r="AP22" s="30">
        <v>6</v>
      </c>
      <c r="AQ22" s="30">
        <v>7</v>
      </c>
      <c r="AR22" s="30">
        <v>8</v>
      </c>
      <c r="AS22" s="30">
        <v>9</v>
      </c>
      <c r="AT22" s="30">
        <v>10</v>
      </c>
      <c r="AU22" s="30">
        <v>11</v>
      </c>
      <c r="AV22" s="31">
        <v>12</v>
      </c>
      <c r="AW22" s="33"/>
      <c r="AX22" s="611" t="s">
        <v>21</v>
      </c>
      <c r="AY22" s="612"/>
      <c r="AZ22" s="613"/>
      <c r="BA22" s="34" t="s">
        <v>11</v>
      </c>
      <c r="BI22" s="23"/>
      <c r="BU22" s="111"/>
      <c r="BV22" s="112"/>
      <c r="BW22" s="112"/>
      <c r="BX22" s="112"/>
      <c r="BY22" s="112"/>
      <c r="BZ22" s="112"/>
      <c r="CA22" s="112"/>
      <c r="CB22" s="112"/>
      <c r="CC22" s="112"/>
    </row>
    <row r="23" spans="1:81" ht="15" thickBot="1" x14ac:dyDescent="0.4">
      <c r="A23" s="168" t="str">
        <f>'680 nm (Bubble) Outlier'!A38</f>
        <v>A</v>
      </c>
      <c r="B23" s="170">
        <f>'Quartiles Outlier Blank-NC'!AA23</f>
        <v>6.9000000000000006E-2</v>
      </c>
      <c r="C23" s="171">
        <f>'Quartiles Outlier Blank-NC'!AB23</f>
        <v>0.63200000000000001</v>
      </c>
      <c r="D23" s="171">
        <f>'Quartiles Outlier Blank-NC'!AC23</f>
        <v>0.63600000000000001</v>
      </c>
      <c r="E23" s="171" t="str">
        <f>'Quartiles Outlier Blank-NC'!AD23</f>
        <v/>
      </c>
      <c r="F23" s="171">
        <f>'Quartiles Outlier Blank-NC'!AE23</f>
        <v>0.64400000000000002</v>
      </c>
      <c r="G23" s="171">
        <f>'Quartiles Outlier Blank-NC'!AF23</f>
        <v>0.64400000000000002</v>
      </c>
      <c r="H23" s="171">
        <f>'Quartiles Outlier Blank-NC'!AG23</f>
        <v>0.64400000000000002</v>
      </c>
      <c r="I23" s="171">
        <f>'Quartiles Outlier Blank-NC'!AH23</f>
        <v>0.64700000000000002</v>
      </c>
      <c r="J23" s="171">
        <f>'Quartiles Outlier Blank-NC'!AI23</f>
        <v>0.64400000000000002</v>
      </c>
      <c r="K23" s="168"/>
      <c r="L23" s="168"/>
      <c r="M23" s="168"/>
      <c r="N23" s="189" t="str">
        <f>'680 nm (Bubble) Outlier'!N38</f>
        <v>read:412 Read#3</v>
      </c>
      <c r="O23" s="19"/>
      <c r="P23" s="44" t="str">
        <f>P13</f>
        <v>NC and PC Blank - (Column 1)</v>
      </c>
      <c r="Q23" s="200">
        <f>AVERAGE(B23:B30)</f>
        <v>7.0125000000000007E-2</v>
      </c>
      <c r="R23" s="45"/>
      <c r="S23" s="30" t="s">
        <v>0</v>
      </c>
      <c r="T23" s="46" t="s">
        <v>24</v>
      </c>
      <c r="U23" s="203">
        <f t="shared" ref="U23:AB23" si="47">IF(C23="","",IF($Q$23="","",C23-$Q$23))</f>
        <v>0.56187500000000001</v>
      </c>
      <c r="V23" s="203">
        <f t="shared" si="47"/>
        <v>0.56587500000000002</v>
      </c>
      <c r="W23" s="203" t="str">
        <f t="shared" si="47"/>
        <v/>
      </c>
      <c r="X23" s="203">
        <f t="shared" si="47"/>
        <v>0.57387500000000002</v>
      </c>
      <c r="Y23" s="203">
        <f t="shared" si="47"/>
        <v>0.57387500000000002</v>
      </c>
      <c r="Z23" s="203">
        <f t="shared" si="47"/>
        <v>0.57387500000000002</v>
      </c>
      <c r="AA23" s="203">
        <f t="shared" si="47"/>
        <v>0.57687500000000003</v>
      </c>
      <c r="AB23" s="203">
        <f t="shared" si="47"/>
        <v>0.57387500000000002</v>
      </c>
      <c r="AC23" s="205"/>
      <c r="AD23" s="205"/>
      <c r="AE23" s="205"/>
      <c r="AF23" s="47" t="s">
        <v>9</v>
      </c>
      <c r="AG23" s="219">
        <f>AVERAGE(U23:U30,V23:AB23)</f>
        <v>0.5686607142857143</v>
      </c>
      <c r="AH23" s="220">
        <f>STDEV(U23:U30,V23:AB23)</f>
        <v>5.2649577604934562E-3</v>
      </c>
      <c r="AI23" s="131"/>
      <c r="AJ23" s="30" t="s">
        <v>0</v>
      </c>
      <c r="AK23" s="46" t="s">
        <v>24</v>
      </c>
      <c r="AL23" s="49">
        <f>IF(U23="","",1-U23/$AG$23)</f>
        <v>1.1932799497566315E-2</v>
      </c>
      <c r="AM23" s="49">
        <f t="shared" ref="AM23:AS28" si="48">IF(V23="","",1-V23/$AG$23)</f>
        <v>4.8987282147904265E-3</v>
      </c>
      <c r="AN23" s="49" t="str">
        <f t="shared" si="48"/>
        <v/>
      </c>
      <c r="AO23" s="49">
        <f t="shared" si="48"/>
        <v>-9.1694143507614623E-3</v>
      </c>
      <c r="AP23" s="49">
        <f t="shared" si="48"/>
        <v>-9.1694143507614623E-3</v>
      </c>
      <c r="AQ23" s="49">
        <f t="shared" si="48"/>
        <v>-9.1694143507614623E-3</v>
      </c>
      <c r="AR23" s="49">
        <f t="shared" si="48"/>
        <v>-1.4444967812843545E-2</v>
      </c>
      <c r="AS23" s="49">
        <f t="shared" si="48"/>
        <v>-9.1694143507614623E-3</v>
      </c>
      <c r="AT23" s="51"/>
      <c r="AU23" s="51"/>
      <c r="AV23" s="52"/>
      <c r="AW23" s="53"/>
      <c r="AX23" s="132" t="s">
        <v>25</v>
      </c>
      <c r="AY23" s="133" t="s">
        <v>15</v>
      </c>
      <c r="AZ23" s="134" t="s">
        <v>16</v>
      </c>
      <c r="BA23" s="57" t="s">
        <v>9</v>
      </c>
      <c r="BB23" s="58" t="s">
        <v>13</v>
      </c>
      <c r="BC23" s="449" t="str">
        <f>AF24</f>
        <v>Tri-n-octylphospine oxide</v>
      </c>
      <c r="BD23" s="59" t="s">
        <v>13</v>
      </c>
      <c r="BE23" s="450" t="str">
        <f>AF25</f>
        <v>Dicyclohexylcarbodiimide</v>
      </c>
      <c r="BF23" s="60" t="s">
        <v>13</v>
      </c>
      <c r="BG23" s="451" t="str">
        <f>AF26</f>
        <v>Triethanolamine</v>
      </c>
      <c r="BH23" s="61" t="s">
        <v>13</v>
      </c>
      <c r="BI23" s="23"/>
      <c r="BU23" s="111"/>
      <c r="BV23" s="112"/>
      <c r="BW23" s="112"/>
      <c r="BX23" s="112"/>
      <c r="BY23" s="112"/>
      <c r="BZ23" s="112"/>
      <c r="CA23" s="112"/>
      <c r="CB23" s="112"/>
      <c r="CC23" s="112"/>
    </row>
    <row r="24" spans="1:81" ht="15" thickBot="1" x14ac:dyDescent="0.4">
      <c r="A24" s="168" t="str">
        <f>'680 nm (Bubble) Outlier'!A39</f>
        <v>B</v>
      </c>
      <c r="B24" s="170">
        <f>'Quartiles Outlier Blank-NC'!AA24</f>
        <v>7.1999999999999995E-2</v>
      </c>
      <c r="C24" s="171">
        <f>'Quartiles Outlier Blank-NC'!AB24</f>
        <v>0.63600000000000001</v>
      </c>
      <c r="D24" s="172">
        <f>'680 nm (Bubble) Outlier'!D39</f>
        <v>9.0999999999999998E-2</v>
      </c>
      <c r="E24" s="172">
        <f>'680 nm (Bubble) Outlier'!E39</f>
        <v>8.6999999999999994E-2</v>
      </c>
      <c r="F24" s="172">
        <f>'680 nm (Bubble) Outlier'!F39</f>
        <v>8.2000000000000003E-2</v>
      </c>
      <c r="G24" s="173">
        <f>'680 nm (Bubble) Outlier'!G39</f>
        <v>0.628</v>
      </c>
      <c r="H24" s="173">
        <f>'680 nm (Bubble) Outlier'!H39</f>
        <v>0.63300000000000001</v>
      </c>
      <c r="I24" s="173">
        <f>'680 nm (Bubble) Outlier'!I39</f>
        <v>0.63700000000000001</v>
      </c>
      <c r="J24" s="173">
        <f>'680 nm (Bubble) Outlier'!J39</f>
        <v>0.628</v>
      </c>
      <c r="K24" s="173">
        <f>'680 nm (Bubble) Outlier'!K39</f>
        <v>7.1999999999999995E-2</v>
      </c>
      <c r="L24" s="173">
        <f>'680 nm (Bubble) Outlier'!L39</f>
        <v>7.0999999999999994E-2</v>
      </c>
      <c r="M24" s="173">
        <f>'680 nm (Bubble) Outlier'!M39</f>
        <v>7.1999999999999995E-2</v>
      </c>
      <c r="N24" s="189" t="str">
        <f>'680 nm (Bubble) Outlier'!N39</f>
        <v>read:412 Read#3</v>
      </c>
      <c r="O24" s="19"/>
      <c r="P24" s="66" t="str">
        <f t="shared" ref="P24:P30" si="49">P14</f>
        <v>Tri-n-octylphospine oxide</v>
      </c>
      <c r="Q24" s="201">
        <f>IF(AND(K24="",L24="",M24=""),"",AVERAGE(K24:M24))</f>
        <v>7.1666666666666656E-2</v>
      </c>
      <c r="R24" s="45"/>
      <c r="S24" s="30" t="s">
        <v>1</v>
      </c>
      <c r="T24" s="46" t="s">
        <v>24</v>
      </c>
      <c r="U24" s="203">
        <f t="shared" ref="U24:X30" si="50">IF(C24="","",IF($Q$23="","",C24-$Q$23))</f>
        <v>0.56587500000000002</v>
      </c>
      <c r="V24" s="207">
        <f t="shared" si="50"/>
        <v>2.0874999999999991E-2</v>
      </c>
      <c r="W24" s="207">
        <f t="shared" si="50"/>
        <v>1.6874999999999987E-2</v>
      </c>
      <c r="X24" s="207">
        <f t="shared" si="50"/>
        <v>1.1874999999999997E-2</v>
      </c>
      <c r="Y24" s="72">
        <f t="shared" ref="Y24:Y30" si="51">IF(G24="","",IF(Q24="","",G24-Q24))</f>
        <v>0.55633333333333335</v>
      </c>
      <c r="Z24" s="72">
        <f t="shared" ref="Z24:Z30" si="52">IF(H24="","",IF(Q24="","",H24-Q24))</f>
        <v>0.56133333333333335</v>
      </c>
      <c r="AA24" s="72">
        <f t="shared" ref="AA24:AA30" si="53">IF(I24="","",IF(Q24="","",I24-Q24))</f>
        <v>0.56533333333333335</v>
      </c>
      <c r="AB24" s="72">
        <f t="shared" ref="AB24:AB30" si="54">IF(J24="","",IF(Q24="","",J24-Q24))</f>
        <v>0.55633333333333335</v>
      </c>
      <c r="AC24" s="71" t="s">
        <v>24</v>
      </c>
      <c r="AD24" s="72" t="s">
        <v>24</v>
      </c>
      <c r="AE24" s="72" t="s">
        <v>24</v>
      </c>
      <c r="AF24" s="68" t="str">
        <f t="shared" ref="AF24:AF30" si="55">P24</f>
        <v>Tri-n-octylphospine oxide</v>
      </c>
      <c r="AG24" s="84">
        <f>IF(AND(Y24="",Z24="",AA24="",AB24=""),"",AVERAGE(Y24:AB24))</f>
        <v>0.55983333333333329</v>
      </c>
      <c r="AH24" s="201">
        <f>STDEV(Y24:AB24)</f>
        <v>4.358898943540677E-3</v>
      </c>
      <c r="AI24" s="45"/>
      <c r="AJ24" s="30" t="s">
        <v>1</v>
      </c>
      <c r="AK24" s="46" t="s">
        <v>24</v>
      </c>
      <c r="AL24" s="49">
        <f t="shared" ref="AL24:AL30" si="56">IF(U24="","",1-U24/$AG$23)</f>
        <v>4.8987282147904265E-3</v>
      </c>
      <c r="AM24" s="137">
        <f>IF(V24="","",1-V24/$AG$23)</f>
        <v>0.963290940493013</v>
      </c>
      <c r="AN24" s="137">
        <f t="shared" si="48"/>
        <v>0.970325011775789</v>
      </c>
      <c r="AO24" s="137">
        <f t="shared" si="48"/>
        <v>0.97911760087925892</v>
      </c>
      <c r="AP24" s="181">
        <f t="shared" ref="AP24:AP30" si="57">IF(Y24="","",1-Y24/$AG$23)</f>
        <v>2.1677919087245479E-2</v>
      </c>
      <c r="AQ24" s="181">
        <f t="shared" si="48"/>
        <v>1.2885329983775562E-2</v>
      </c>
      <c r="AR24" s="181">
        <f t="shared" si="48"/>
        <v>5.851258700999562E-3</v>
      </c>
      <c r="AS24" s="181">
        <f t="shared" si="48"/>
        <v>2.1677919087245479E-2</v>
      </c>
      <c r="AT24" s="71" t="s">
        <v>24</v>
      </c>
      <c r="AU24" s="72" t="s">
        <v>24</v>
      </c>
      <c r="AV24" s="72" t="s">
        <v>24</v>
      </c>
      <c r="AW24" s="53"/>
      <c r="AX24" s="73">
        <v>0.6</v>
      </c>
      <c r="AY24" s="74">
        <f>IF(AND(AM24="",AN24="",AO24=""),"",AVERAGE(AM24:AO24))</f>
        <v>0.97091118438268698</v>
      </c>
      <c r="AZ24" s="75">
        <f>STDEV(AM24:AO24)</f>
        <v>7.9295960482990303E-3</v>
      </c>
      <c r="BA24" s="76">
        <f>AVERAGE(AL23:AL30,AM23:AS23)</f>
        <v>7.9301644616082606E-18</v>
      </c>
      <c r="BB24" s="77">
        <f>STDEV(AL23:AL30,AM23:AS23)</f>
        <v>9.2585220470288339E-3</v>
      </c>
      <c r="BC24" s="78">
        <f>IF(AND(AP24="",AQ24="",AR24="",AS24=""),"",AVERAGE(AP24:AS24))</f>
        <v>1.552310671481652E-2</v>
      </c>
      <c r="BD24" s="78">
        <f>IF(AND(AP24="",AQ24="",AR24="",AS24=""),"",STDEV(AP24:AS24))</f>
        <v>7.6652014708204754E-3</v>
      </c>
      <c r="BE24" s="79">
        <f>IF(AND(AP25="",AQ25="",AR25="",AS25=""),"",AVERAGE(AP25:AS25))</f>
        <v>5.9192965928717284E-2</v>
      </c>
      <c r="BF24" s="80">
        <f>IF(AND(AP25="",AQ25="",AR25="",AS25=""),"",STDEV(AP25:AS25))</f>
        <v>2.486919751700273E-3</v>
      </c>
      <c r="BG24" s="81">
        <f>IF(AND(AP26="",AQ26="",AR26="",AS26=""),"",AVERAGE(AP26:AS26))</f>
        <v>-1.9155283403987089E-3</v>
      </c>
      <c r="BH24" s="82">
        <f>IF(AND(AP26="",AQ26="",AR26="",AS26=""),"",STDEV(AP26:AS26))</f>
        <v>3.32882050939252E-3</v>
      </c>
      <c r="BI24" s="23"/>
    </row>
    <row r="25" spans="1:81" ht="15" thickBot="1" x14ac:dyDescent="0.4">
      <c r="A25" s="168" t="str">
        <f>'680 nm (Bubble) Outlier'!A40</f>
        <v>C</v>
      </c>
      <c r="B25" s="170">
        <f>'Quartiles Outlier Blank-NC'!AA25</f>
        <v>7.0000000000000007E-2</v>
      </c>
      <c r="C25" s="171">
        <f>'Quartiles Outlier Blank-NC'!AB25</f>
        <v>0.63700000000000001</v>
      </c>
      <c r="D25" s="172">
        <f>'680 nm (Bubble) Outlier'!D40</f>
        <v>0.1</v>
      </c>
      <c r="E25" s="172">
        <f>'680 nm (Bubble) Outlier'!E40</f>
        <v>0.13300000000000001</v>
      </c>
      <c r="F25" s="172">
        <f>'680 nm (Bubble) Outlier'!F40</f>
        <v>9.9000000000000005E-2</v>
      </c>
      <c r="G25" s="174">
        <f>'680 nm (Bubble) Outlier'!G40</f>
        <v>0.60599999999999998</v>
      </c>
      <c r="H25" s="174">
        <f>'680 nm (Bubble) Outlier'!H40</f>
        <v>0.60299999999999998</v>
      </c>
      <c r="I25" s="174">
        <f>'680 nm (Bubble) Outlier'!I40</f>
        <v>0.60499999999999998</v>
      </c>
      <c r="J25" s="174">
        <f>'680 nm (Bubble) Outlier'!J40</f>
        <v>0.60599999999999998</v>
      </c>
      <c r="K25" s="174">
        <f>'680 nm (Bubble) Outlier'!K40</f>
        <v>6.9000000000000006E-2</v>
      </c>
      <c r="L25" s="174">
        <f>'680 nm (Bubble) Outlier'!L40</f>
        <v>7.0000000000000007E-2</v>
      </c>
      <c r="M25" s="174">
        <f>'680 nm (Bubble) Outlier'!M40</f>
        <v>7.0999999999999994E-2</v>
      </c>
      <c r="N25" s="189" t="str">
        <f>'680 nm (Bubble) Outlier'!N40</f>
        <v>read:412 Read#3</v>
      </c>
      <c r="O25" s="19"/>
      <c r="P25" s="66" t="str">
        <f t="shared" si="49"/>
        <v>Dicyclohexylcarbodiimide</v>
      </c>
      <c r="Q25" s="201">
        <f>IF(AND(K25="",L25="",M25=""),"",AVERAGE(K25:M25))</f>
        <v>7.0000000000000007E-2</v>
      </c>
      <c r="R25" s="45"/>
      <c r="S25" s="30" t="s">
        <v>2</v>
      </c>
      <c r="T25" s="46" t="s">
        <v>24</v>
      </c>
      <c r="U25" s="203">
        <f t="shared" si="50"/>
        <v>0.56687500000000002</v>
      </c>
      <c r="V25" s="207">
        <f t="shared" si="50"/>
        <v>2.9874999999999999E-2</v>
      </c>
      <c r="W25" s="207">
        <f t="shared" si="50"/>
        <v>6.2875E-2</v>
      </c>
      <c r="X25" s="207">
        <f t="shared" si="50"/>
        <v>2.8874999999999998E-2</v>
      </c>
      <c r="Y25" s="88">
        <f t="shared" si="51"/>
        <v>0.53600000000000003</v>
      </c>
      <c r="Z25" s="88">
        <f t="shared" si="52"/>
        <v>0.53299999999999992</v>
      </c>
      <c r="AA25" s="88">
        <f t="shared" si="53"/>
        <v>0.53499999999999992</v>
      </c>
      <c r="AB25" s="88">
        <f t="shared" si="54"/>
        <v>0.53600000000000003</v>
      </c>
      <c r="AC25" s="87" t="s">
        <v>24</v>
      </c>
      <c r="AD25" s="88" t="s">
        <v>24</v>
      </c>
      <c r="AE25" s="88" t="s">
        <v>24</v>
      </c>
      <c r="AF25" s="68" t="str">
        <f t="shared" si="55"/>
        <v>Dicyclohexylcarbodiimide</v>
      </c>
      <c r="AG25" s="84">
        <f t="shared" ref="AG25:AG30" si="58">IF(AND(Y25="",Z25="",AA25="",AB25=""),"",AVERAGE(Y25:AB25))</f>
        <v>0.53499999999999992</v>
      </c>
      <c r="AH25" s="201">
        <f t="shared" ref="AH25:AH30" si="59">STDEV(Y25:AB25)</f>
        <v>1.4142135623731488E-3</v>
      </c>
      <c r="AI25" s="45"/>
      <c r="AJ25" s="30" t="s">
        <v>2</v>
      </c>
      <c r="AK25" s="46" t="s">
        <v>24</v>
      </c>
      <c r="AL25" s="49">
        <f t="shared" si="56"/>
        <v>3.1402103940963988E-3</v>
      </c>
      <c r="AM25" s="137">
        <f t="shared" ref="AM25:AM30" si="60">IF(V25="","",1-V25/$AG$23)</f>
        <v>0.9474642801067672</v>
      </c>
      <c r="AN25" s="137">
        <f t="shared" ref="AN25:AN30" si="61">IF(W25="","",1-W25/$AG$23)</f>
        <v>0.88943319202386562</v>
      </c>
      <c r="AO25" s="137">
        <f t="shared" ref="AO25:AO30" si="62">IF(X25="","",1-X25/$AG$23)</f>
        <v>0.94922279792746111</v>
      </c>
      <c r="AP25" s="183">
        <f t="shared" si="57"/>
        <v>5.7434448108023228E-2</v>
      </c>
      <c r="AQ25" s="183">
        <f t="shared" si="48"/>
        <v>6.2710001570105312E-2</v>
      </c>
      <c r="AR25" s="183">
        <f t="shared" si="48"/>
        <v>5.9192965928717367E-2</v>
      </c>
      <c r="AS25" s="183">
        <f t="shared" si="48"/>
        <v>5.7434448108023228E-2</v>
      </c>
      <c r="AT25" s="87" t="s">
        <v>24</v>
      </c>
      <c r="AU25" s="88" t="s">
        <v>24</v>
      </c>
      <c r="AV25" s="88" t="s">
        <v>24</v>
      </c>
      <c r="AW25" s="53"/>
      <c r="AX25" s="89">
        <v>0.3</v>
      </c>
      <c r="AY25" s="74">
        <f t="shared" ref="AY25:AY30" si="63">IF(AND(AM25="",AN25="",AO25=""),"",AVERAGE(AM25:AO25))</f>
        <v>0.92870675668603131</v>
      </c>
      <c r="AZ25" s="90">
        <f t="shared" ref="AZ25:AZ30" si="64">STDEV(AM25:AO25)</f>
        <v>3.4023267879297062E-2</v>
      </c>
      <c r="BA25" s="91"/>
      <c r="BB25" s="91"/>
      <c r="BI25" s="23"/>
    </row>
    <row r="26" spans="1:81" x14ac:dyDescent="0.35">
      <c r="A26" s="168" t="str">
        <f>'680 nm (Bubble) Outlier'!A41</f>
        <v>D</v>
      </c>
      <c r="B26" s="170">
        <f>'Quartiles Outlier Blank-NC'!AA26</f>
        <v>6.9000000000000006E-2</v>
      </c>
      <c r="C26" s="171">
        <f>'Quartiles Outlier Blank-NC'!AB26</f>
        <v>0.629</v>
      </c>
      <c r="D26" s="172">
        <f>'680 nm (Bubble) Outlier'!D41</f>
        <v>0.19500000000000001</v>
      </c>
      <c r="E26" s="172">
        <f>'680 nm (Bubble) Outlier'!E41</f>
        <v>0.222</v>
      </c>
      <c r="F26" s="172">
        <f>'680 nm (Bubble) Outlier'!F41</f>
        <v>0.186</v>
      </c>
      <c r="G26" s="175">
        <f>'680 nm (Bubble) Outlier'!G41</f>
        <v>0.64</v>
      </c>
      <c r="H26" s="175">
        <f>'680 nm (Bubble) Outlier'!H41</f>
        <v>0.64100000000000001</v>
      </c>
      <c r="I26" s="175">
        <f>'680 nm (Bubble) Outlier'!I41</f>
        <v>0.64100000000000001</v>
      </c>
      <c r="J26" s="175">
        <f>'680 nm (Bubble) Outlier'!J41</f>
        <v>0.63700000000000001</v>
      </c>
      <c r="K26" s="175">
        <f>'680 nm (Bubble) Outlier'!K41</f>
        <v>7.0000000000000007E-2</v>
      </c>
      <c r="L26" s="175">
        <f>'680 nm (Bubble) Outlier'!L41</f>
        <v>7.0000000000000007E-2</v>
      </c>
      <c r="M26" s="175">
        <f>'680 nm (Bubble) Outlier'!M41</f>
        <v>7.0000000000000007E-2</v>
      </c>
      <c r="N26" s="189" t="str">
        <f>'680 nm (Bubble) Outlier'!N41</f>
        <v>read:412 Read#3</v>
      </c>
      <c r="O26" s="19"/>
      <c r="P26" s="66" t="str">
        <f t="shared" si="49"/>
        <v>Triethanolamine</v>
      </c>
      <c r="Q26" s="201">
        <f>IF(AND(K26="",L26="",M26=""),"",AVERAGE(K26:M26))</f>
        <v>7.0000000000000007E-2</v>
      </c>
      <c r="R26" s="45"/>
      <c r="S26" s="30" t="s">
        <v>3</v>
      </c>
      <c r="T26" s="46" t="s">
        <v>24</v>
      </c>
      <c r="U26" s="203">
        <f t="shared" si="50"/>
        <v>0.55887500000000001</v>
      </c>
      <c r="V26" s="207">
        <f t="shared" si="50"/>
        <v>0.124875</v>
      </c>
      <c r="W26" s="207">
        <f t="shared" si="50"/>
        <v>0.15187499999999998</v>
      </c>
      <c r="X26" s="207">
        <f t="shared" si="50"/>
        <v>0.11587499999999999</v>
      </c>
      <c r="Y26" s="93">
        <f t="shared" si="51"/>
        <v>0.57000000000000006</v>
      </c>
      <c r="Z26" s="93">
        <f t="shared" si="52"/>
        <v>0.57099999999999995</v>
      </c>
      <c r="AA26" s="93">
        <f t="shared" si="53"/>
        <v>0.57099999999999995</v>
      </c>
      <c r="AB26" s="93">
        <f t="shared" si="54"/>
        <v>0.56699999999999995</v>
      </c>
      <c r="AC26" s="92" t="s">
        <v>24</v>
      </c>
      <c r="AD26" s="93" t="s">
        <v>24</v>
      </c>
      <c r="AE26" s="93" t="s">
        <v>24</v>
      </c>
      <c r="AF26" s="68" t="str">
        <f t="shared" si="55"/>
        <v>Triethanolamine</v>
      </c>
      <c r="AG26" s="84">
        <f t="shared" si="58"/>
        <v>0.56974999999999998</v>
      </c>
      <c r="AH26" s="201">
        <f t="shared" si="59"/>
        <v>1.8929694486000978E-3</v>
      </c>
      <c r="AI26" s="45"/>
      <c r="AJ26" s="30" t="s">
        <v>3</v>
      </c>
      <c r="AK26" s="46" t="s">
        <v>24</v>
      </c>
      <c r="AL26" s="49">
        <f t="shared" si="56"/>
        <v>1.7208352959648288E-2</v>
      </c>
      <c r="AM26" s="137">
        <f t="shared" si="60"/>
        <v>0.78040508714083845</v>
      </c>
      <c r="AN26" s="137">
        <f t="shared" si="61"/>
        <v>0.73292510598210081</v>
      </c>
      <c r="AO26" s="137">
        <f t="shared" si="62"/>
        <v>0.79623174752708437</v>
      </c>
      <c r="AP26" s="184">
        <f t="shared" si="57"/>
        <v>-2.3551577955724934E-3</v>
      </c>
      <c r="AQ26" s="184">
        <f t="shared" si="48"/>
        <v>-4.113675616266077E-3</v>
      </c>
      <c r="AR26" s="184">
        <f t="shared" si="48"/>
        <v>-4.113675616266077E-3</v>
      </c>
      <c r="AS26" s="184">
        <f t="shared" si="48"/>
        <v>2.9203956665098119E-3</v>
      </c>
      <c r="AT26" s="92" t="s">
        <v>24</v>
      </c>
      <c r="AU26" s="93" t="s">
        <v>24</v>
      </c>
      <c r="AV26" s="93" t="s">
        <v>24</v>
      </c>
      <c r="AW26" s="53"/>
      <c r="AX26" s="89">
        <v>0.15</v>
      </c>
      <c r="AY26" s="74">
        <f t="shared" si="63"/>
        <v>0.7698539802166745</v>
      </c>
      <c r="AZ26" s="90">
        <f t="shared" si="64"/>
        <v>3.2945820811145596E-2</v>
      </c>
      <c r="BA26" s="455" t="str">
        <f>AF27</f>
        <v>Pentaerythritol triacrylate</v>
      </c>
      <c r="BB26" s="94" t="s">
        <v>13</v>
      </c>
      <c r="BC26" s="454" t="str">
        <f>AF28</f>
        <v>Clarithromycin</v>
      </c>
      <c r="BD26" s="95" t="s">
        <v>13</v>
      </c>
      <c r="BE26" s="453" t="str">
        <f>AF29</f>
        <v>o-Benzyl-p-chlorophenol</v>
      </c>
      <c r="BF26" s="96" t="s">
        <v>13</v>
      </c>
      <c r="BG26" s="452" t="str">
        <f>AF30</f>
        <v>5-Amino-o-cresol</v>
      </c>
      <c r="BH26" s="97" t="s">
        <v>13</v>
      </c>
      <c r="BI26" s="23"/>
    </row>
    <row r="27" spans="1:81" ht="15" thickBot="1" x14ac:dyDescent="0.4">
      <c r="A27" s="168" t="str">
        <f>'680 nm (Bubble) Outlier'!A42</f>
        <v>E</v>
      </c>
      <c r="B27" s="170">
        <f>'Quartiles Outlier Blank-NC'!AA27</f>
        <v>7.0000000000000007E-2</v>
      </c>
      <c r="C27" s="171">
        <f>'Quartiles Outlier Blank-NC'!AB27</f>
        <v>0.63500000000000001</v>
      </c>
      <c r="D27" s="172">
        <f>'680 nm (Bubble) Outlier'!D42</f>
        <v>0.33600000000000002</v>
      </c>
      <c r="E27" s="172">
        <f>'680 nm (Bubble) Outlier'!E42</f>
        <v>0.36899999999999999</v>
      </c>
      <c r="F27" s="172">
        <f>'680 nm (Bubble) Outlier'!F42</f>
        <v>0.35399999999999998</v>
      </c>
      <c r="G27" s="176">
        <f>'680 nm (Bubble) Outlier'!G42</f>
        <v>0.61399999999999999</v>
      </c>
      <c r="H27" s="176">
        <f>'680 nm (Bubble) Outlier'!H42</f>
        <v>0.61399999999999999</v>
      </c>
      <c r="I27" s="176">
        <f>'680 nm (Bubble) Outlier'!I42</f>
        <v>0.61899999999999999</v>
      </c>
      <c r="J27" s="176">
        <f>'680 nm (Bubble) Outlier'!J42</f>
        <v>0.61399999999999999</v>
      </c>
      <c r="K27" s="176">
        <f>'680 nm (Bubble) Outlier'!K42</f>
        <v>6.9000000000000006E-2</v>
      </c>
      <c r="L27" s="176">
        <f>'680 nm (Bubble) Outlier'!L42</f>
        <v>7.0000000000000007E-2</v>
      </c>
      <c r="M27" s="176">
        <f>'680 nm (Bubble) Outlier'!M42</f>
        <v>7.0999999999999994E-2</v>
      </c>
      <c r="N27" s="189" t="str">
        <f>'680 nm (Bubble) Outlier'!N42</f>
        <v>read:412 Read#3</v>
      </c>
      <c r="O27" s="19"/>
      <c r="P27" s="66" t="str">
        <f t="shared" si="49"/>
        <v>Pentaerythritol triacrylate</v>
      </c>
      <c r="Q27" s="201">
        <f t="shared" ref="Q27:Q30" si="65">IF(AND(K27="",L27="",M27=""),"",AVERAGE(K27:M27))</f>
        <v>7.0000000000000007E-2</v>
      </c>
      <c r="R27" s="45"/>
      <c r="S27" s="30" t="s">
        <v>4</v>
      </c>
      <c r="T27" s="46" t="s">
        <v>24</v>
      </c>
      <c r="U27" s="203">
        <f t="shared" si="50"/>
        <v>0.56487500000000002</v>
      </c>
      <c r="V27" s="207">
        <f t="shared" si="50"/>
        <v>0.26587500000000003</v>
      </c>
      <c r="W27" s="207">
        <f t="shared" si="50"/>
        <v>0.298875</v>
      </c>
      <c r="X27" s="207">
        <f t="shared" si="50"/>
        <v>0.28387499999999999</v>
      </c>
      <c r="Y27" s="102">
        <f t="shared" si="51"/>
        <v>0.54400000000000004</v>
      </c>
      <c r="Z27" s="102">
        <f t="shared" si="52"/>
        <v>0.54400000000000004</v>
      </c>
      <c r="AA27" s="102">
        <f t="shared" si="53"/>
        <v>0.54899999999999993</v>
      </c>
      <c r="AB27" s="102">
        <f t="shared" si="54"/>
        <v>0.54400000000000004</v>
      </c>
      <c r="AC27" s="101" t="s">
        <v>24</v>
      </c>
      <c r="AD27" s="102" t="s">
        <v>24</v>
      </c>
      <c r="AE27" s="102" t="s">
        <v>24</v>
      </c>
      <c r="AF27" s="68" t="str">
        <f t="shared" si="55"/>
        <v>Pentaerythritol triacrylate</v>
      </c>
      <c r="AG27" s="84">
        <f t="shared" si="58"/>
        <v>0.54525000000000001</v>
      </c>
      <c r="AH27" s="201">
        <f t="shared" si="59"/>
        <v>2.4999999999999467E-3</v>
      </c>
      <c r="AI27" s="45"/>
      <c r="AJ27" s="30" t="s">
        <v>4</v>
      </c>
      <c r="AK27" s="46" t="s">
        <v>24</v>
      </c>
      <c r="AL27" s="49">
        <f t="shared" si="56"/>
        <v>6.6572460354843432E-3</v>
      </c>
      <c r="AM27" s="137">
        <f t="shared" si="60"/>
        <v>0.53245407442298631</v>
      </c>
      <c r="AN27" s="137">
        <f t="shared" si="61"/>
        <v>0.47442298634008484</v>
      </c>
      <c r="AO27" s="137">
        <f t="shared" si="62"/>
        <v>0.50080075365049459</v>
      </c>
      <c r="AP27" s="185">
        <f t="shared" si="57"/>
        <v>4.336630554247134E-2</v>
      </c>
      <c r="AQ27" s="185">
        <f t="shared" si="48"/>
        <v>4.336630554247134E-2</v>
      </c>
      <c r="AR27" s="185">
        <f t="shared" si="48"/>
        <v>3.4573716439001534E-2</v>
      </c>
      <c r="AS27" s="185">
        <f t="shared" si="48"/>
        <v>4.336630554247134E-2</v>
      </c>
      <c r="AT27" s="101" t="s">
        <v>24</v>
      </c>
      <c r="AU27" s="102" t="s">
        <v>24</v>
      </c>
      <c r="AV27" s="102" t="s">
        <v>24</v>
      </c>
      <c r="AW27" s="53"/>
      <c r="AX27" s="89">
        <v>7.4999999999999997E-2</v>
      </c>
      <c r="AY27" s="74">
        <f t="shared" si="63"/>
        <v>0.50255927147118862</v>
      </c>
      <c r="AZ27" s="90">
        <f t="shared" si="64"/>
        <v>2.9055482868395786E-2</v>
      </c>
      <c r="BA27" s="103">
        <f>IF(AND(AP27="",AQ27="",AR27="",AS27=""),"",AVERAGE(AP27:AS27))</f>
        <v>4.1168158266603888E-2</v>
      </c>
      <c r="BB27" s="104">
        <f>IF(AND(AP27="",AQ27="",AR27="",AS27=""),"",STDEV(AP27:AS27))</f>
        <v>4.3962945517349028E-3</v>
      </c>
      <c r="BC27" s="105">
        <f>IF(AND(AP28="",AQ28="",AR28="",AS28=""),"",AVERAGE(AP28:AS28))</f>
        <v>-9.8288585335217782E-3</v>
      </c>
      <c r="BD27" s="106">
        <f>IF(AND(AP28="",AQ28="",AR28="",AS28=""),"",STDEV(AP28:AS28))</f>
        <v>3.0032409216189369E-3</v>
      </c>
      <c r="BE27" s="107">
        <f>IF(AND(AP29="",AQ29="",AR29="",AS29=""),"",AVERAGE(AP29:AS29))</f>
        <v>5.9632595383890707E-2</v>
      </c>
      <c r="BF27" s="108">
        <f>IF(AND(AP29="",AQ29="",AR29="",AS29=""),"",STDEV(AP29:AS29))</f>
        <v>6.6382591988563807E-3</v>
      </c>
      <c r="BG27" s="109">
        <f>IF(AND(AP30="",AQ30="",AR30="",AS30=""),"",AVERAGE(AP30:AS30))</f>
        <v>5.7434448108023173E-2</v>
      </c>
      <c r="BH27" s="110">
        <f>IF(AND(AP30="",AQ30="",AR30="",AS30=""),"",STDEV(AP30:AS30))</f>
        <v>5.920053138098875E-3</v>
      </c>
      <c r="BI27" s="23"/>
    </row>
    <row r="28" spans="1:81" x14ac:dyDescent="0.35">
      <c r="A28" s="168" t="str">
        <f>'680 nm (Bubble) Outlier'!A43</f>
        <v>F</v>
      </c>
      <c r="B28" s="170">
        <f>'Quartiles Outlier Blank-NC'!AA28</f>
        <v>7.0999999999999994E-2</v>
      </c>
      <c r="C28" s="171">
        <f>'Quartiles Outlier Blank-NC'!AB28</f>
        <v>0.64</v>
      </c>
      <c r="D28" s="172">
        <f>'680 nm (Bubble) Outlier'!D43</f>
        <v>0.45400000000000001</v>
      </c>
      <c r="E28" s="172">
        <f>'680 nm (Bubble) Outlier'!E43</f>
        <v>0.48</v>
      </c>
      <c r="F28" s="172">
        <f>'680 nm (Bubble) Outlier'!F43</f>
        <v>0.47699999999999998</v>
      </c>
      <c r="G28" s="177">
        <f>'680 nm (Bubble) Outlier'!G43</f>
        <v>0.64500000000000002</v>
      </c>
      <c r="H28" s="177">
        <f>'680 nm (Bubble) Outlier'!H43</f>
        <v>0.64400000000000002</v>
      </c>
      <c r="I28" s="177">
        <f>'680 nm (Bubble) Outlier'!I43</f>
        <v>0.64600000000000002</v>
      </c>
      <c r="J28" s="177">
        <f>'680 nm (Bubble) Outlier'!J43</f>
        <v>0.64200000000000002</v>
      </c>
      <c r="K28" s="177">
        <f>'680 nm (Bubble) Outlier'!K43</f>
        <v>7.0000000000000007E-2</v>
      </c>
      <c r="L28" s="177">
        <f>'680 nm (Bubble) Outlier'!L43</f>
        <v>7.0000000000000007E-2</v>
      </c>
      <c r="M28" s="177">
        <f>'680 nm (Bubble) Outlier'!M43</f>
        <v>7.0000000000000007E-2</v>
      </c>
      <c r="N28" s="189" t="str">
        <f>'680 nm (Bubble) Outlier'!N43</f>
        <v>read:412 Read#3</v>
      </c>
      <c r="O28" s="19"/>
      <c r="P28" s="66" t="str">
        <f t="shared" si="49"/>
        <v>Clarithromycin</v>
      </c>
      <c r="Q28" s="201">
        <f t="shared" si="65"/>
        <v>7.0000000000000007E-2</v>
      </c>
      <c r="R28" s="45"/>
      <c r="S28" s="30" t="s">
        <v>5</v>
      </c>
      <c r="T28" s="46" t="s">
        <v>24</v>
      </c>
      <c r="U28" s="203">
        <f t="shared" si="50"/>
        <v>0.56987500000000002</v>
      </c>
      <c r="V28" s="207">
        <f t="shared" si="50"/>
        <v>0.38387500000000002</v>
      </c>
      <c r="W28" s="207">
        <f t="shared" si="50"/>
        <v>0.40987499999999999</v>
      </c>
      <c r="X28" s="207">
        <f t="shared" si="50"/>
        <v>0.40687499999999999</v>
      </c>
      <c r="Y28" s="115">
        <f t="shared" si="51"/>
        <v>0.57499999999999996</v>
      </c>
      <c r="Z28" s="115">
        <f t="shared" si="52"/>
        <v>0.57400000000000007</v>
      </c>
      <c r="AA28" s="115">
        <f t="shared" si="53"/>
        <v>0.57600000000000007</v>
      </c>
      <c r="AB28" s="115">
        <f t="shared" si="54"/>
        <v>0.57200000000000006</v>
      </c>
      <c r="AC28" s="114" t="s">
        <v>24</v>
      </c>
      <c r="AD28" s="115" t="s">
        <v>24</v>
      </c>
      <c r="AE28" s="115" t="s">
        <v>24</v>
      </c>
      <c r="AF28" s="68" t="str">
        <f t="shared" si="55"/>
        <v>Clarithromycin</v>
      </c>
      <c r="AG28" s="84">
        <f t="shared" si="58"/>
        <v>0.57425000000000004</v>
      </c>
      <c r="AH28" s="201">
        <f t="shared" si="59"/>
        <v>1.7078251276599183E-3</v>
      </c>
      <c r="AI28" s="45"/>
      <c r="AJ28" s="30" t="s">
        <v>5</v>
      </c>
      <c r="AK28" s="46" t="s">
        <v>24</v>
      </c>
      <c r="AL28" s="49">
        <f t="shared" si="56"/>
        <v>-2.1353430679855734E-3</v>
      </c>
      <c r="AM28" s="137">
        <f t="shared" si="60"/>
        <v>0.32494897158109592</v>
      </c>
      <c r="AN28" s="137">
        <f t="shared" si="61"/>
        <v>0.27922750824305231</v>
      </c>
      <c r="AO28" s="137">
        <f t="shared" si="62"/>
        <v>0.28450306170513429</v>
      </c>
      <c r="AP28" s="186">
        <f t="shared" si="57"/>
        <v>-1.1147746899042188E-2</v>
      </c>
      <c r="AQ28" s="186">
        <f t="shared" si="48"/>
        <v>-9.3892290783483823E-3</v>
      </c>
      <c r="AR28" s="186">
        <f t="shared" si="48"/>
        <v>-1.2906264719736216E-2</v>
      </c>
      <c r="AS28" s="186">
        <f t="shared" si="48"/>
        <v>-5.8721934369603268E-3</v>
      </c>
      <c r="AT28" s="114" t="s">
        <v>24</v>
      </c>
      <c r="AU28" s="115" t="s">
        <v>24</v>
      </c>
      <c r="AV28" s="115" t="s">
        <v>24</v>
      </c>
      <c r="AW28" s="53"/>
      <c r="AX28" s="89">
        <v>3.7499999999999999E-2</v>
      </c>
      <c r="AY28" s="74">
        <f t="shared" si="63"/>
        <v>0.29622651384309417</v>
      </c>
      <c r="AZ28" s="90">
        <f t="shared" si="64"/>
        <v>2.5013847164446611E-2</v>
      </c>
      <c r="BA28" s="91"/>
      <c r="BB28" s="91"/>
      <c r="BI28" s="23"/>
    </row>
    <row r="29" spans="1:81" x14ac:dyDescent="0.35">
      <c r="A29" s="168" t="str">
        <f>'680 nm (Bubble) Outlier'!A44</f>
        <v>G</v>
      </c>
      <c r="B29" s="170">
        <f>'Quartiles Outlier Blank-NC'!AA29</f>
        <v>7.0000000000000007E-2</v>
      </c>
      <c r="C29" s="171">
        <f>'Quartiles Outlier Blank-NC'!AB29</f>
        <v>0.63900000000000001</v>
      </c>
      <c r="D29" s="172">
        <f>'680 nm (Bubble) Outlier'!D44</f>
        <v>0.53800000000000003</v>
      </c>
      <c r="E29" s="172">
        <f>'680 nm (Bubble) Outlier'!E44</f>
        <v>0.55800000000000005</v>
      </c>
      <c r="F29" s="172">
        <f>'680 nm (Bubble) Outlier'!F44</f>
        <v>0.55000000000000004</v>
      </c>
      <c r="G29" s="178">
        <f>'680 nm (Bubble) Outlier'!G44</f>
        <v>0.60699999999999998</v>
      </c>
      <c r="H29" s="178">
        <f>'680 nm (Bubble) Outlier'!H44</f>
        <v>0.60299999999999998</v>
      </c>
      <c r="I29" s="178">
        <f>'680 nm (Bubble) Outlier'!I44</f>
        <v>0.61199999999999999</v>
      </c>
      <c r="J29" s="178">
        <f>'680 nm (Bubble) Outlier'!J44</f>
        <v>0.60899999999999999</v>
      </c>
      <c r="K29" s="178">
        <f>'680 nm (Bubble) Outlier'!K44</f>
        <v>7.0999999999999994E-2</v>
      </c>
      <c r="L29" s="178">
        <f>'680 nm (Bubble) Outlier'!L44</f>
        <v>7.4999999999999997E-2</v>
      </c>
      <c r="M29" s="178">
        <f>'680 nm (Bubble) Outlier'!M44</f>
        <v>7.2999999999999995E-2</v>
      </c>
      <c r="N29" s="189" t="str">
        <f>'680 nm (Bubble) Outlier'!N44</f>
        <v>read:412 Read#3</v>
      </c>
      <c r="O29" s="19"/>
      <c r="P29" s="66" t="str">
        <f t="shared" si="49"/>
        <v>o-Benzyl-p-chlorophenol</v>
      </c>
      <c r="Q29" s="201">
        <f t="shared" si="65"/>
        <v>7.2999999999999995E-2</v>
      </c>
      <c r="R29" s="45"/>
      <c r="S29" s="30" t="s">
        <v>6</v>
      </c>
      <c r="T29" s="46" t="s">
        <v>24</v>
      </c>
      <c r="U29" s="203">
        <f t="shared" si="50"/>
        <v>0.56887500000000002</v>
      </c>
      <c r="V29" s="207">
        <f t="shared" si="50"/>
        <v>0.46787500000000004</v>
      </c>
      <c r="W29" s="207">
        <f t="shared" si="50"/>
        <v>0.48787500000000006</v>
      </c>
      <c r="X29" s="207">
        <f t="shared" si="50"/>
        <v>0.47987500000000005</v>
      </c>
      <c r="Y29" s="117">
        <f t="shared" si="51"/>
        <v>0.53400000000000003</v>
      </c>
      <c r="Z29" s="117">
        <f t="shared" si="52"/>
        <v>0.53</v>
      </c>
      <c r="AA29" s="117">
        <f t="shared" si="53"/>
        <v>0.53900000000000003</v>
      </c>
      <c r="AB29" s="117">
        <f t="shared" si="54"/>
        <v>0.53600000000000003</v>
      </c>
      <c r="AC29" s="116" t="s">
        <v>24</v>
      </c>
      <c r="AD29" s="117" t="s">
        <v>24</v>
      </c>
      <c r="AE29" s="117" t="s">
        <v>24</v>
      </c>
      <c r="AF29" s="68" t="str">
        <f t="shared" si="55"/>
        <v>o-Benzyl-p-chlorophenol</v>
      </c>
      <c r="AG29" s="84">
        <f t="shared" si="58"/>
        <v>0.53475000000000006</v>
      </c>
      <c r="AH29" s="201">
        <f t="shared" si="59"/>
        <v>3.7749172176353785E-3</v>
      </c>
      <c r="AI29" s="45"/>
      <c r="AJ29" s="30" t="s">
        <v>6</v>
      </c>
      <c r="AK29" s="46" t="s">
        <v>24</v>
      </c>
      <c r="AL29" s="49">
        <f t="shared" si="56"/>
        <v>-3.7682524729154565E-4</v>
      </c>
      <c r="AM29" s="137">
        <f t="shared" si="60"/>
        <v>0.17723347464280104</v>
      </c>
      <c r="AN29" s="137">
        <f t="shared" si="61"/>
        <v>0.14206311822892126</v>
      </c>
      <c r="AO29" s="137">
        <f t="shared" si="62"/>
        <v>0.15613126079447315</v>
      </c>
      <c r="AP29" s="187">
        <f t="shared" si="57"/>
        <v>6.0951483749411173E-2</v>
      </c>
      <c r="AQ29" s="187">
        <f>IF(Z29="","",1-Z29/$AG$23)</f>
        <v>6.7985555032187173E-2</v>
      </c>
      <c r="AR29" s="187">
        <f>IF(AA29="","",1-AA29/$AG$23)</f>
        <v>5.2158894645941256E-2</v>
      </c>
      <c r="AS29" s="187">
        <f>IF(AB29="","",1-AB29/$AG$23)</f>
        <v>5.7434448108023228E-2</v>
      </c>
      <c r="AT29" s="116" t="s">
        <v>24</v>
      </c>
      <c r="AU29" s="117" t="s">
        <v>24</v>
      </c>
      <c r="AV29" s="117" t="s">
        <v>24</v>
      </c>
      <c r="AW29" s="53"/>
      <c r="AX29" s="89">
        <v>1.8749999999999999E-2</v>
      </c>
      <c r="AY29" s="74">
        <f t="shared" si="63"/>
        <v>0.15847595122206515</v>
      </c>
      <c r="AZ29" s="90">
        <f t="shared" si="64"/>
        <v>1.7702024530283671E-2</v>
      </c>
      <c r="BA29" s="91"/>
      <c r="BB29" s="91"/>
      <c r="BI29" s="23"/>
    </row>
    <row r="30" spans="1:81" ht="15" thickBot="1" x14ac:dyDescent="0.4">
      <c r="A30" s="168" t="str">
        <f>'680 nm (Bubble) Outlier'!A45</f>
        <v>H</v>
      </c>
      <c r="B30" s="170">
        <f>'Quartiles Outlier Blank-NC'!AA30</f>
        <v>7.0000000000000007E-2</v>
      </c>
      <c r="C30" s="171">
        <f>'Quartiles Outlier Blank-NC'!AB30</f>
        <v>0.63600000000000001</v>
      </c>
      <c r="D30" s="172">
        <f>'680 nm (Bubble) Outlier'!D45</f>
        <v>0.58599999999999997</v>
      </c>
      <c r="E30" s="172">
        <f>'680 nm (Bubble) Outlier'!E45</f>
        <v>0.59799999999999998</v>
      </c>
      <c r="F30" s="172">
        <f>'680 nm (Bubble) Outlier'!F45</f>
        <v>0.59599999999999997</v>
      </c>
      <c r="G30" s="179">
        <f>'680 nm (Bubble) Outlier'!G45</f>
        <v>0.624</v>
      </c>
      <c r="H30" s="179">
        <f>'680 nm (Bubble) Outlier'!H45</f>
        <v>0.61599999999999999</v>
      </c>
      <c r="I30" s="179">
        <f>'680 nm (Bubble) Outlier'!I45</f>
        <v>0.61899999999999999</v>
      </c>
      <c r="J30" s="179">
        <f>'680 nm (Bubble) Outlier'!J45</f>
        <v>0.621</v>
      </c>
      <c r="K30" s="179">
        <f>'680 nm (Bubble) Outlier'!K45</f>
        <v>8.3000000000000004E-2</v>
      </c>
      <c r="L30" s="179">
        <f>'680 nm (Bubble) Outlier'!L45</f>
        <v>8.4000000000000005E-2</v>
      </c>
      <c r="M30" s="179">
        <f>'680 nm (Bubble) Outlier'!M45</f>
        <v>8.5000000000000006E-2</v>
      </c>
      <c r="N30" s="189" t="str">
        <f>'680 nm (Bubble) Outlier'!N45</f>
        <v>read:412 Read#3</v>
      </c>
      <c r="O30" s="19"/>
      <c r="P30" s="119" t="str">
        <f t="shared" si="49"/>
        <v>5-Amino-o-cresol</v>
      </c>
      <c r="Q30" s="202">
        <f t="shared" si="65"/>
        <v>8.4000000000000005E-2</v>
      </c>
      <c r="R30" s="45"/>
      <c r="S30" s="30" t="s">
        <v>7</v>
      </c>
      <c r="T30" s="46" t="s">
        <v>24</v>
      </c>
      <c r="U30" s="203">
        <f t="shared" si="50"/>
        <v>0.56587500000000002</v>
      </c>
      <c r="V30" s="207">
        <f t="shared" si="50"/>
        <v>0.51587499999999997</v>
      </c>
      <c r="W30" s="207">
        <f t="shared" si="50"/>
        <v>0.52787499999999998</v>
      </c>
      <c r="X30" s="207">
        <f t="shared" si="50"/>
        <v>0.52587499999999998</v>
      </c>
      <c r="Y30" s="215">
        <f t="shared" si="51"/>
        <v>0.54</v>
      </c>
      <c r="Z30" s="215">
        <f t="shared" si="52"/>
        <v>0.53200000000000003</v>
      </c>
      <c r="AA30" s="215">
        <f t="shared" si="53"/>
        <v>0.53500000000000003</v>
      </c>
      <c r="AB30" s="215">
        <f t="shared" si="54"/>
        <v>0.53700000000000003</v>
      </c>
      <c r="AC30" s="122" t="s">
        <v>24</v>
      </c>
      <c r="AD30" s="123" t="s">
        <v>24</v>
      </c>
      <c r="AE30" s="123" t="s">
        <v>24</v>
      </c>
      <c r="AF30" s="121" t="str">
        <f t="shared" si="55"/>
        <v>5-Amino-o-cresol</v>
      </c>
      <c r="AG30" s="98">
        <f t="shared" si="58"/>
        <v>0.53600000000000003</v>
      </c>
      <c r="AH30" s="202">
        <f t="shared" si="59"/>
        <v>3.3665016461206961E-3</v>
      </c>
      <c r="AI30" s="45"/>
      <c r="AJ30" s="30" t="s">
        <v>7</v>
      </c>
      <c r="AK30" s="46" t="s">
        <v>24</v>
      </c>
      <c r="AL30" s="49">
        <f t="shared" si="56"/>
        <v>4.8987282147904265E-3</v>
      </c>
      <c r="AM30" s="137">
        <f t="shared" si="60"/>
        <v>9.2824619249489815E-2</v>
      </c>
      <c r="AN30" s="137">
        <f t="shared" si="61"/>
        <v>7.1722405401161926E-2</v>
      </c>
      <c r="AO30" s="137">
        <f t="shared" si="62"/>
        <v>7.5239441042549871E-2</v>
      </c>
      <c r="AP30" s="182">
        <f t="shared" si="57"/>
        <v>5.0400376825247228E-2</v>
      </c>
      <c r="AQ30" s="182">
        <f t="shared" ref="AQ30:AS30" si="66">IF(Z30="","",1-Z30/$AG$23)</f>
        <v>6.4468519390799117E-2</v>
      </c>
      <c r="AR30" s="182">
        <f t="shared" si="66"/>
        <v>5.9192965928717145E-2</v>
      </c>
      <c r="AS30" s="182">
        <f t="shared" si="66"/>
        <v>5.5675930287329201E-2</v>
      </c>
      <c r="AT30" s="122" t="s">
        <v>24</v>
      </c>
      <c r="AU30" s="123" t="s">
        <v>24</v>
      </c>
      <c r="AV30" s="123" t="s">
        <v>24</v>
      </c>
      <c r="AW30" s="53"/>
      <c r="AX30" s="124">
        <v>9.3749999999999997E-3</v>
      </c>
      <c r="AY30" s="191">
        <f t="shared" si="63"/>
        <v>7.992882189773387E-2</v>
      </c>
      <c r="AZ30" s="125">
        <f t="shared" si="64"/>
        <v>1.1305687813170229E-2</v>
      </c>
      <c r="BA30" s="91"/>
      <c r="BB30" s="91"/>
      <c r="BI30" s="23"/>
      <c r="BU30" s="111"/>
      <c r="BV30" s="142"/>
      <c r="BW30" s="142"/>
      <c r="BX30" s="142"/>
    </row>
    <row r="31" spans="1:81" ht="15" thickBot="1" x14ac:dyDescent="0.4">
      <c r="N31" s="189"/>
      <c r="O31" s="17"/>
      <c r="R31" s="23"/>
      <c r="AI31" s="23"/>
      <c r="AW31" s="25"/>
      <c r="BI31" s="23"/>
      <c r="BU31" s="111"/>
      <c r="BV31" s="142"/>
      <c r="BW31" s="142"/>
      <c r="BX31" s="142"/>
    </row>
    <row r="32" spans="1:81" ht="15" thickBot="1" x14ac:dyDescent="0.4">
      <c r="A32" s="168" t="str">
        <f>'680 nm (Bubble) Outlier'!A47</f>
        <v>50 min</v>
      </c>
      <c r="B32" s="236">
        <f>'680 nm (Bubble) Outlier'!B47</f>
        <v>1</v>
      </c>
      <c r="C32" s="168">
        <f>'680 nm (Bubble) Outlier'!C47</f>
        <v>2</v>
      </c>
      <c r="D32" s="168">
        <f>'680 nm (Bubble) Outlier'!D47</f>
        <v>3</v>
      </c>
      <c r="E32" s="168">
        <f>'680 nm (Bubble) Outlier'!E47</f>
        <v>4</v>
      </c>
      <c r="F32" s="168">
        <f>'680 nm (Bubble) Outlier'!F47</f>
        <v>5</v>
      </c>
      <c r="G32" s="168">
        <f>'680 nm (Bubble) Outlier'!G47</f>
        <v>6</v>
      </c>
      <c r="H32" s="168">
        <f>'680 nm (Bubble) Outlier'!H47</f>
        <v>7</v>
      </c>
      <c r="I32" s="168">
        <f>'680 nm (Bubble) Outlier'!I47</f>
        <v>8</v>
      </c>
      <c r="J32" s="168">
        <f>'680 nm (Bubble) Outlier'!J47</f>
        <v>9</v>
      </c>
      <c r="K32" s="168">
        <f>'680 nm (Bubble) Outlier'!K47</f>
        <v>10</v>
      </c>
      <c r="L32" s="168">
        <f>'680 nm (Bubble) Outlier'!L47</f>
        <v>11</v>
      </c>
      <c r="M32" s="168">
        <f>'680 nm (Bubble) Outlier'!M47</f>
        <v>12</v>
      </c>
      <c r="N32" s="189"/>
      <c r="O32" s="17"/>
      <c r="P32" s="26" t="s">
        <v>19</v>
      </c>
      <c r="Q32" s="27" t="s">
        <v>14</v>
      </c>
      <c r="R32" s="28"/>
      <c r="S32" s="29" t="s">
        <v>12</v>
      </c>
      <c r="T32" s="30">
        <v>1</v>
      </c>
      <c r="U32" s="240">
        <v>2</v>
      </c>
      <c r="V32" s="240">
        <v>3</v>
      </c>
      <c r="W32" s="240">
        <v>4</v>
      </c>
      <c r="X32" s="240">
        <v>5</v>
      </c>
      <c r="Y32" s="240">
        <v>6</v>
      </c>
      <c r="Z32" s="240">
        <v>7</v>
      </c>
      <c r="AA32" s="240">
        <v>8</v>
      </c>
      <c r="AB32" s="240">
        <v>9</v>
      </c>
      <c r="AC32" s="30">
        <v>10</v>
      </c>
      <c r="AD32" s="30">
        <v>11</v>
      </c>
      <c r="AE32" s="30">
        <v>12</v>
      </c>
      <c r="AF32" s="26" t="s">
        <v>19</v>
      </c>
      <c r="AG32" s="32" t="s">
        <v>20</v>
      </c>
      <c r="AH32" s="27" t="s">
        <v>13</v>
      </c>
      <c r="AI32" s="23"/>
      <c r="AJ32" s="29" t="s">
        <v>12</v>
      </c>
      <c r="AK32" s="30">
        <v>1</v>
      </c>
      <c r="AL32" s="30">
        <v>2</v>
      </c>
      <c r="AM32" s="30">
        <v>3</v>
      </c>
      <c r="AN32" s="30">
        <v>4</v>
      </c>
      <c r="AO32" s="30">
        <v>5</v>
      </c>
      <c r="AP32" s="30">
        <v>6</v>
      </c>
      <c r="AQ32" s="30">
        <v>7</v>
      </c>
      <c r="AR32" s="30">
        <v>8</v>
      </c>
      <c r="AS32" s="30">
        <v>9</v>
      </c>
      <c r="AT32" s="30">
        <v>10</v>
      </c>
      <c r="AU32" s="30">
        <v>11</v>
      </c>
      <c r="AV32" s="31">
        <v>12</v>
      </c>
      <c r="AW32" s="33"/>
      <c r="AX32" s="611" t="s">
        <v>21</v>
      </c>
      <c r="AY32" s="612"/>
      <c r="AZ32" s="613"/>
      <c r="BA32" s="34" t="s">
        <v>12</v>
      </c>
      <c r="BI32" s="23"/>
      <c r="BU32" s="111"/>
      <c r="BV32" s="142"/>
      <c r="BW32" s="142"/>
      <c r="BX32" s="142"/>
    </row>
    <row r="33" spans="1:76" ht="15.5" thickTop="1" thickBot="1" x14ac:dyDescent="0.4">
      <c r="A33" s="235" t="str">
        <f>'680 nm (Bubble) Outlier'!A48</f>
        <v>A</v>
      </c>
      <c r="B33" s="526">
        <f>'Quartiles Outlier Blank-NC'!AA33</f>
        <v>7.0000000000000007E-2</v>
      </c>
      <c r="C33" s="171">
        <f>'Quartiles Outlier Blank-NC'!AB33</f>
        <v>0.63200000000000001</v>
      </c>
      <c r="D33" s="171">
        <f>'Quartiles Outlier Blank-NC'!AC33</f>
        <v>0.63700000000000001</v>
      </c>
      <c r="E33" s="171" t="str">
        <f>'Quartiles Outlier Blank-NC'!AD33</f>
        <v/>
      </c>
      <c r="F33" s="171">
        <f>'Quartiles Outlier Blank-NC'!AE33</f>
        <v>0.64300000000000002</v>
      </c>
      <c r="G33" s="171">
        <f>'Quartiles Outlier Blank-NC'!AF33</f>
        <v>0.64300000000000002</v>
      </c>
      <c r="H33" s="171">
        <f>'Quartiles Outlier Blank-NC'!AG33</f>
        <v>0.64300000000000002</v>
      </c>
      <c r="I33" s="171">
        <f>'Quartiles Outlier Blank-NC'!AH33</f>
        <v>0.64600000000000002</v>
      </c>
      <c r="J33" s="171">
        <f>'Quartiles Outlier Blank-NC'!AI33</f>
        <v>0.64300000000000002</v>
      </c>
      <c r="K33" s="168"/>
      <c r="L33" s="168"/>
      <c r="M33" s="168"/>
      <c r="N33" s="189" t="str">
        <f>'680 nm (Bubble) Outlier'!N48</f>
        <v>read:412 Read#4</v>
      </c>
      <c r="O33" s="19"/>
      <c r="P33" s="44" t="str">
        <f>P23</f>
        <v>NC and PC Blank - (Column 1)</v>
      </c>
      <c r="Q33" s="200">
        <f>AVERAGE(B33:B40)</f>
        <v>7.1749999999999994E-2</v>
      </c>
      <c r="R33" s="45"/>
      <c r="S33" s="30" t="s">
        <v>0</v>
      </c>
      <c r="T33" s="237" t="s">
        <v>24</v>
      </c>
      <c r="U33" s="255">
        <f t="shared" ref="U33:AB33" si="67">IF(C33="","",IF($Q$33="","",C33-$Q$33))</f>
        <v>0.56025000000000003</v>
      </c>
      <c r="V33" s="253">
        <f t="shared" si="67"/>
        <v>0.56525000000000003</v>
      </c>
      <c r="W33" s="253" t="str">
        <f t="shared" si="67"/>
        <v/>
      </c>
      <c r="X33" s="253">
        <f t="shared" si="67"/>
        <v>0.57125000000000004</v>
      </c>
      <c r="Y33" s="253">
        <f t="shared" si="67"/>
        <v>0.57125000000000004</v>
      </c>
      <c r="Z33" s="253">
        <f t="shared" si="67"/>
        <v>0.57125000000000004</v>
      </c>
      <c r="AA33" s="253">
        <f t="shared" si="67"/>
        <v>0.57425000000000004</v>
      </c>
      <c r="AB33" s="254">
        <f t="shared" si="67"/>
        <v>0.57125000000000004</v>
      </c>
      <c r="AC33" s="239"/>
      <c r="AD33" s="205"/>
      <c r="AE33" s="205"/>
      <c r="AF33" s="47" t="s">
        <v>9</v>
      </c>
      <c r="AG33" s="219">
        <f>AVERAGE(U33:U40,V33:AB33)</f>
        <v>0.56682142857142859</v>
      </c>
      <c r="AH33" s="220">
        <f>STDEV(U33:U40,V33:AB33)</f>
        <v>4.7832124016314505E-3</v>
      </c>
      <c r="AI33" s="131"/>
      <c r="AJ33" s="30" t="s">
        <v>0</v>
      </c>
      <c r="AK33" s="46" t="s">
        <v>24</v>
      </c>
      <c r="AL33" s="49">
        <f>IF(U33="","",1-U33/$AG$33)</f>
        <v>1.1593472370991065E-2</v>
      </c>
      <c r="AM33" s="49">
        <f t="shared" ref="AM33:AS40" si="68">IF(V33="","",1-V33/$AG$33)</f>
        <v>2.7723520887152908E-3</v>
      </c>
      <c r="AN33" s="49" t="str">
        <f t="shared" si="68"/>
        <v/>
      </c>
      <c r="AO33" s="49">
        <f t="shared" si="68"/>
        <v>-7.81299225001586E-3</v>
      </c>
      <c r="AP33" s="49">
        <f t="shared" si="68"/>
        <v>-7.81299225001586E-3</v>
      </c>
      <c r="AQ33" s="49">
        <f t="shared" si="68"/>
        <v>-7.81299225001586E-3</v>
      </c>
      <c r="AR33" s="49">
        <f t="shared" si="68"/>
        <v>-1.3105664419381213E-2</v>
      </c>
      <c r="AS33" s="49">
        <f t="shared" si="68"/>
        <v>-7.81299225001586E-3</v>
      </c>
      <c r="AT33" s="51"/>
      <c r="AU33" s="51"/>
      <c r="AV33" s="52"/>
      <c r="AW33" s="53"/>
      <c r="AX33" s="132" t="s">
        <v>25</v>
      </c>
      <c r="AY33" s="250" t="s">
        <v>15</v>
      </c>
      <c r="AZ33" s="134" t="s">
        <v>16</v>
      </c>
      <c r="BA33" s="57" t="s">
        <v>9</v>
      </c>
      <c r="BB33" s="58" t="s">
        <v>13</v>
      </c>
      <c r="BC33" s="449" t="str">
        <f>AF34</f>
        <v>Tri-n-octylphospine oxide</v>
      </c>
      <c r="BD33" s="59" t="s">
        <v>13</v>
      </c>
      <c r="BE33" s="450" t="str">
        <f>AF35</f>
        <v>Dicyclohexylcarbodiimide</v>
      </c>
      <c r="BF33" s="60" t="s">
        <v>13</v>
      </c>
      <c r="BG33" s="451" t="str">
        <f>AF36</f>
        <v>Triethanolamine</v>
      </c>
      <c r="BH33" s="61" t="s">
        <v>13</v>
      </c>
      <c r="BI33" s="23"/>
      <c r="BU33" s="111"/>
      <c r="BV33" s="142"/>
      <c r="BW33" s="142"/>
      <c r="BX33" s="142"/>
    </row>
    <row r="34" spans="1:76" ht="15.5" thickTop="1" thickBot="1" x14ac:dyDescent="0.4">
      <c r="A34" s="235" t="str">
        <f>'680 nm (Bubble) Outlier'!A49</f>
        <v>B</v>
      </c>
      <c r="B34" s="527">
        <f>'Quartiles Outlier Blank-NC'!AA34</f>
        <v>7.2999999999999995E-2</v>
      </c>
      <c r="C34" s="171">
        <f>'Quartiles Outlier Blank-NC'!AB34</f>
        <v>0.63600000000000001</v>
      </c>
      <c r="D34" s="172">
        <f>'680 nm (Bubble) Outlier'!D49</f>
        <v>9.1999999999999998E-2</v>
      </c>
      <c r="E34" s="172">
        <f>'680 nm (Bubble) Outlier'!E49</f>
        <v>8.6999999999999994E-2</v>
      </c>
      <c r="F34" s="172">
        <f>'680 nm (Bubble) Outlier'!F49</f>
        <v>8.4000000000000005E-2</v>
      </c>
      <c r="G34" s="173">
        <f>'680 nm (Bubble) Outlier'!G49</f>
        <v>0.629</v>
      </c>
      <c r="H34" s="173">
        <f>'680 nm (Bubble) Outlier'!H49</f>
        <v>0.63400000000000001</v>
      </c>
      <c r="I34" s="173">
        <f>'680 nm (Bubble) Outlier'!I49</f>
        <v>0.63800000000000001</v>
      </c>
      <c r="J34" s="173">
        <f>'680 nm (Bubble) Outlier'!J49</f>
        <v>0.628</v>
      </c>
      <c r="K34" s="173">
        <f>'680 nm (Bubble) Outlier'!K49</f>
        <v>7.3999999999999996E-2</v>
      </c>
      <c r="L34" s="173">
        <f>'680 nm (Bubble) Outlier'!L49</f>
        <v>7.3999999999999996E-2</v>
      </c>
      <c r="M34" s="173">
        <f>'680 nm (Bubble) Outlier'!M49</f>
        <v>7.4999999999999997E-2</v>
      </c>
      <c r="N34" s="189" t="str">
        <f>'680 nm (Bubble) Outlier'!N49</f>
        <v>read:412 Read#4</v>
      </c>
      <c r="O34" s="19"/>
      <c r="P34" s="66" t="str">
        <f t="shared" ref="P34:P40" si="69">P24</f>
        <v>Tri-n-octylphospine oxide</v>
      </c>
      <c r="Q34" s="201">
        <f>IF(AND(K34="",L34="",M34=""),"",AVERAGE(K34:M34))</f>
        <v>7.4333333333333321E-2</v>
      </c>
      <c r="R34" s="45"/>
      <c r="S34" s="30" t="s">
        <v>1</v>
      </c>
      <c r="T34" s="237" t="s">
        <v>24</v>
      </c>
      <c r="U34" s="251">
        <f t="shared" ref="U34:X40" si="70">IF(C34="","",IF($Q$33="","",C34-$Q$33))</f>
        <v>0.56425000000000003</v>
      </c>
      <c r="V34" s="241">
        <f t="shared" si="70"/>
        <v>2.0250000000000004E-2</v>
      </c>
      <c r="W34" s="242">
        <f t="shared" si="70"/>
        <v>1.525E-2</v>
      </c>
      <c r="X34" s="242">
        <f t="shared" si="70"/>
        <v>1.2250000000000011E-2</v>
      </c>
      <c r="Y34" s="243">
        <f>IF(G34="","",IF(Q34="","",G34-Q34))</f>
        <v>0.55466666666666664</v>
      </c>
      <c r="Z34" s="243">
        <f>IF(H34="","",IF(Q34="","",H34-Q34))</f>
        <v>0.55966666666666665</v>
      </c>
      <c r="AA34" s="243">
        <f>IF(I34="","",IF(Q34="","",I34-Q34))</f>
        <v>0.56366666666666665</v>
      </c>
      <c r="AB34" s="243">
        <f>IF(J34="","",IF(Q34="","",J34-Q34))</f>
        <v>0.55366666666666664</v>
      </c>
      <c r="AC34" s="71" t="s">
        <v>24</v>
      </c>
      <c r="AD34" s="72" t="s">
        <v>24</v>
      </c>
      <c r="AE34" s="72" t="s">
        <v>24</v>
      </c>
      <c r="AF34" s="68" t="str">
        <f t="shared" ref="AF34:AF40" si="71">P34</f>
        <v>Tri-n-octylphospine oxide</v>
      </c>
      <c r="AG34" s="84">
        <f>IF(AND(Y34="",Z34="",AA34="",AB34=""),"",AVERAGE(Y34:AB34))</f>
        <v>0.55791666666666662</v>
      </c>
      <c r="AH34" s="201">
        <f>STDEV(Y34:AB34)</f>
        <v>4.645786621588789E-3</v>
      </c>
      <c r="AI34" s="45"/>
      <c r="AJ34" s="30" t="s">
        <v>1</v>
      </c>
      <c r="AK34" s="46" t="s">
        <v>24</v>
      </c>
      <c r="AL34" s="49">
        <f t="shared" ref="AL34:AL40" si="72">IF(U34="","",1-U34/$AG$33)</f>
        <v>4.5365761451704456E-3</v>
      </c>
      <c r="AM34" s="137">
        <f>IF(V34="","",1-V34/$AG$33)</f>
        <v>0.96427446285678275</v>
      </c>
      <c r="AN34" s="137">
        <f t="shared" si="68"/>
        <v>0.97309558313905864</v>
      </c>
      <c r="AO34" s="137">
        <f t="shared" si="68"/>
        <v>0.9783882553084241</v>
      </c>
      <c r="AP34" s="181">
        <f t="shared" ref="AP34:AP40" si="73">IF(Y34="","",1-Y34/$AG$33)</f>
        <v>2.1443723352865929E-2</v>
      </c>
      <c r="AQ34" s="181">
        <f t="shared" si="68"/>
        <v>1.2622603070590044E-2</v>
      </c>
      <c r="AR34" s="181">
        <f t="shared" si="68"/>
        <v>5.5657068447693137E-3</v>
      </c>
      <c r="AS34" s="181">
        <f t="shared" si="68"/>
        <v>2.3207947409321084E-2</v>
      </c>
      <c r="AT34" s="71" t="s">
        <v>24</v>
      </c>
      <c r="AU34" s="72" t="s">
        <v>24</v>
      </c>
      <c r="AV34" s="72" t="s">
        <v>24</v>
      </c>
      <c r="AW34" s="53"/>
      <c r="AX34" s="244">
        <v>0.6</v>
      </c>
      <c r="AY34" s="256">
        <f>IF(AND(AM34="",AN34="",AO34=""),"",AVERAGE(AM34:AO34))</f>
        <v>0.97191943376808843</v>
      </c>
      <c r="AZ34" s="247">
        <f>STDEV(AM34:AO34)</f>
        <v>7.1300266373364399E-3</v>
      </c>
      <c r="BA34" s="76">
        <f>AVERAGE(AL33:AL40,AM33:AS33)</f>
        <v>-2.3790493384824782E-17</v>
      </c>
      <c r="BB34" s="77">
        <f>STDEV(AL33:AL40,AM33:AS33)</f>
        <v>8.4386583860929319E-3</v>
      </c>
      <c r="BC34" s="78">
        <f>IF(AND(AP34="",AQ34="",AR34="",AS34=""),"",AVERAGE(AP34:AS34))</f>
        <v>1.5709995169386592E-2</v>
      </c>
      <c r="BD34" s="78">
        <f>IF(AND(AP34="",AQ34="",AR34="",AS34=""),"",STDEV(AP34:AS34))</f>
        <v>8.1962085189645605E-3</v>
      </c>
      <c r="BE34" s="79">
        <f>IF(AND(AP35="",AQ35="",AR35="",AS35=""),"",AVERAGE(AP35:AS35))</f>
        <v>5.8786465881166899E-2</v>
      </c>
      <c r="BF34" s="80">
        <f>IF(AND(AP35="",AQ35="",AR35="",AS35=""),"",STDEV(AP35:AS35))</f>
        <v>3.6725252337629589E-3</v>
      </c>
      <c r="BG34" s="81">
        <f>IF(AND(AP36="",AQ36="",AR36="",AS36=""),"",AVERAGE(AP36:AS36))</f>
        <v>-6.0907735282378361E-4</v>
      </c>
      <c r="BH34" s="82">
        <f>IF(AND(AP36="",AQ36="",AR36="",AS36=""),"",STDEV(AP36:AS36))</f>
        <v>3.0557257017156132E-3</v>
      </c>
      <c r="BI34" s="23"/>
      <c r="BU34" s="111"/>
      <c r="BV34" s="142"/>
      <c r="BW34" s="142"/>
      <c r="BX34" s="142"/>
    </row>
    <row r="35" spans="1:76" ht="15" thickBot="1" x14ac:dyDescent="0.4">
      <c r="A35" s="235" t="str">
        <f>'680 nm (Bubble) Outlier'!A50</f>
        <v>C</v>
      </c>
      <c r="B35" s="527">
        <f>'Quartiles Outlier Blank-NC'!AA35</f>
        <v>7.1999999999999995E-2</v>
      </c>
      <c r="C35" s="171">
        <f>'Quartiles Outlier Blank-NC'!AB35</f>
        <v>0.63700000000000001</v>
      </c>
      <c r="D35" s="172">
        <f>'680 nm (Bubble) Outlier'!D50</f>
        <v>8.7999999999999995E-2</v>
      </c>
      <c r="E35" s="172">
        <f>'680 nm (Bubble) Outlier'!E50</f>
        <v>0.108</v>
      </c>
      <c r="F35" s="172">
        <f>'680 nm (Bubble) Outlier'!F50</f>
        <v>8.7999999999999995E-2</v>
      </c>
      <c r="G35" s="174">
        <f>'680 nm (Bubble) Outlier'!G50</f>
        <v>0.60799999999999998</v>
      </c>
      <c r="H35" s="174">
        <f>'680 nm (Bubble) Outlier'!H50</f>
        <v>0.60299999999999998</v>
      </c>
      <c r="I35" s="174">
        <f>'680 nm (Bubble) Outlier'!I50</f>
        <v>0.60499999999999998</v>
      </c>
      <c r="J35" s="174">
        <f>'680 nm (Bubble) Outlier'!J50</f>
        <v>0.60599999999999998</v>
      </c>
      <c r="K35" s="174">
        <f>'680 nm (Bubble) Outlier'!K50</f>
        <v>7.0999999999999994E-2</v>
      </c>
      <c r="L35" s="174">
        <f>'680 nm (Bubble) Outlier'!L50</f>
        <v>7.1999999999999995E-2</v>
      </c>
      <c r="M35" s="174">
        <f>'680 nm (Bubble) Outlier'!M50</f>
        <v>7.2999999999999995E-2</v>
      </c>
      <c r="N35" s="189" t="str">
        <f>'680 nm (Bubble) Outlier'!N50</f>
        <v>read:412 Read#4</v>
      </c>
      <c r="O35" s="19"/>
      <c r="P35" s="66" t="str">
        <f t="shared" si="69"/>
        <v>Dicyclohexylcarbodiimide</v>
      </c>
      <c r="Q35" s="201">
        <f>IF(AND(K35="",L35="",M35=""),"",AVERAGE(K35:M35))</f>
        <v>7.1999999999999995E-2</v>
      </c>
      <c r="R35" s="45"/>
      <c r="S35" s="30" t="s">
        <v>2</v>
      </c>
      <c r="T35" s="237" t="s">
        <v>24</v>
      </c>
      <c r="U35" s="251">
        <f t="shared" si="70"/>
        <v>0.56525000000000003</v>
      </c>
      <c r="V35" s="238">
        <f t="shared" si="70"/>
        <v>1.6250000000000001E-2</v>
      </c>
      <c r="W35" s="207">
        <f t="shared" si="70"/>
        <v>3.6250000000000004E-2</v>
      </c>
      <c r="X35" s="207">
        <f t="shared" si="70"/>
        <v>1.6250000000000001E-2</v>
      </c>
      <c r="Y35" s="88">
        <f>IF(G35="","",IF(Q35="","",G35-Q35))</f>
        <v>0.53600000000000003</v>
      </c>
      <c r="Z35" s="88">
        <f>IF(H35="","",IF(Q35="","",H35-Q35))</f>
        <v>0.53100000000000003</v>
      </c>
      <c r="AA35" s="88">
        <f>IF(I35="","",IF(Q35="","",I35-Q35))</f>
        <v>0.53300000000000003</v>
      </c>
      <c r="AB35" s="88">
        <f>IF(J35="","",IF(Q35="","",J35-Q35))</f>
        <v>0.53400000000000003</v>
      </c>
      <c r="AC35" s="87" t="s">
        <v>24</v>
      </c>
      <c r="AD35" s="88" t="s">
        <v>24</v>
      </c>
      <c r="AE35" s="88" t="s">
        <v>24</v>
      </c>
      <c r="AF35" s="68" t="str">
        <f t="shared" si="71"/>
        <v>Dicyclohexylcarbodiimide</v>
      </c>
      <c r="AG35" s="84">
        <f t="shared" ref="AG35:AG40" si="74">IF(AND(Y35="",Z35="",AA35="",AB35=""),"",AVERAGE(Y35:AB35))</f>
        <v>0.53350000000000009</v>
      </c>
      <c r="AH35" s="201">
        <f t="shared" ref="AH35:AH40" si="75">STDEV(Y35:AB35)</f>
        <v>2.0816659994661343E-3</v>
      </c>
      <c r="AI35" s="45"/>
      <c r="AJ35" s="30" t="s">
        <v>2</v>
      </c>
      <c r="AK35" s="46" t="s">
        <v>24</v>
      </c>
      <c r="AL35" s="49">
        <f t="shared" si="72"/>
        <v>2.7723520887152908E-3</v>
      </c>
      <c r="AM35" s="137">
        <f t="shared" ref="AM35:AM40" si="76">IF(V35="","",1-V35/$AG$33)</f>
        <v>0.97133135908260348</v>
      </c>
      <c r="AN35" s="137">
        <f t="shared" ref="AN35:AN40" si="77">IF(W35="","",1-W35/$AG$33)</f>
        <v>0.93604687795350006</v>
      </c>
      <c r="AO35" s="137">
        <f t="shared" ref="AO35:AO40" si="78">IF(X35="","",1-X35/$AG$33)</f>
        <v>0.97133135908260348</v>
      </c>
      <c r="AP35" s="183">
        <f t="shared" si="73"/>
        <v>5.4375905740028929E-2</v>
      </c>
      <c r="AQ35" s="183">
        <f t="shared" si="68"/>
        <v>6.3197026022304814E-2</v>
      </c>
      <c r="AR35" s="183">
        <f t="shared" si="68"/>
        <v>5.9668577909394505E-2</v>
      </c>
      <c r="AS35" s="183">
        <f t="shared" si="68"/>
        <v>5.790435385293935E-2</v>
      </c>
      <c r="AT35" s="87" t="s">
        <v>24</v>
      </c>
      <c r="AU35" s="88" t="s">
        <v>24</v>
      </c>
      <c r="AV35" s="88" t="s">
        <v>24</v>
      </c>
      <c r="AW35" s="53"/>
      <c r="AX35" s="245">
        <v>0.3</v>
      </c>
      <c r="AY35" s="257">
        <f t="shared" ref="AY35:AY40" si="79">IF(AND(AM35="",AN35="",AO35=""),"",AVERAGE(AM35:AO35))</f>
        <v>0.95956986537290234</v>
      </c>
      <c r="AZ35" s="248">
        <f t="shared" ref="AZ35:AZ40" si="80">STDEV(AM35:AO35)</f>
        <v>2.0371504678104134E-2</v>
      </c>
      <c r="BA35" s="91"/>
      <c r="BB35" s="91"/>
      <c r="BI35" s="23"/>
    </row>
    <row r="36" spans="1:76" x14ac:dyDescent="0.35">
      <c r="A36" s="235" t="str">
        <f>'680 nm (Bubble) Outlier'!A51</f>
        <v>D</v>
      </c>
      <c r="B36" s="527">
        <f>'Quartiles Outlier Blank-NC'!AA36</f>
        <v>7.0000000000000007E-2</v>
      </c>
      <c r="C36" s="171">
        <f>'Quartiles Outlier Blank-NC'!AB36</f>
        <v>0.629</v>
      </c>
      <c r="D36" s="172">
        <f>'680 nm (Bubble) Outlier'!D51</f>
        <v>0.14199999999999999</v>
      </c>
      <c r="E36" s="172">
        <f>'680 nm (Bubble) Outlier'!E51</f>
        <v>0.16200000000000001</v>
      </c>
      <c r="F36" s="172">
        <f>'680 nm (Bubble) Outlier'!F51</f>
        <v>0.13500000000000001</v>
      </c>
      <c r="G36" s="175">
        <f>'680 nm (Bubble) Outlier'!G51</f>
        <v>0.64</v>
      </c>
      <c r="H36" s="175">
        <f>'680 nm (Bubble) Outlier'!H51</f>
        <v>0.64</v>
      </c>
      <c r="I36" s="175">
        <f>'680 nm (Bubble) Outlier'!I51</f>
        <v>0.64100000000000001</v>
      </c>
      <c r="J36" s="175">
        <f>'680 nm (Bubble) Outlier'!J51</f>
        <v>0.63700000000000001</v>
      </c>
      <c r="K36" s="175">
        <f>'680 nm (Bubble) Outlier'!K51</f>
        <v>7.0999999999999994E-2</v>
      </c>
      <c r="L36" s="175">
        <f>'680 nm (Bubble) Outlier'!L51</f>
        <v>7.2999999999999995E-2</v>
      </c>
      <c r="M36" s="175">
        <f>'680 nm (Bubble) Outlier'!M51</f>
        <v>7.2999999999999995E-2</v>
      </c>
      <c r="N36" s="189" t="str">
        <f>'680 nm (Bubble) Outlier'!N51</f>
        <v>read:412 Read#4</v>
      </c>
      <c r="O36" s="19"/>
      <c r="P36" s="66" t="str">
        <f t="shared" si="69"/>
        <v>Triethanolamine</v>
      </c>
      <c r="Q36" s="201">
        <f>IF(AND(K36="",L36="",M36=""),"",AVERAGE(K36:M36))</f>
        <v>7.2333333333333319E-2</v>
      </c>
      <c r="R36" s="45"/>
      <c r="S36" s="30" t="s">
        <v>3</v>
      </c>
      <c r="T36" s="237" t="s">
        <v>24</v>
      </c>
      <c r="U36" s="251">
        <f t="shared" si="70"/>
        <v>0.55725000000000002</v>
      </c>
      <c r="V36" s="238">
        <f t="shared" si="70"/>
        <v>7.0249999999999993E-2</v>
      </c>
      <c r="W36" s="207">
        <f t="shared" si="70"/>
        <v>9.0250000000000011E-2</v>
      </c>
      <c r="X36" s="207">
        <f t="shared" si="70"/>
        <v>6.3250000000000015E-2</v>
      </c>
      <c r="Y36" s="93">
        <f>IF(G36="","",IF(Q36="","",G36-Q36))</f>
        <v>0.56766666666666665</v>
      </c>
      <c r="Z36" s="93">
        <f>IF(H36="","",IF(Q36="","",H36-Q36))</f>
        <v>0.56766666666666665</v>
      </c>
      <c r="AA36" s="93">
        <f>IF(I36="","",IF(Q36="","",I36-Q36))</f>
        <v>0.56866666666666665</v>
      </c>
      <c r="AB36" s="93">
        <f>IF(J36="","",IF(Q36="","",J36-Q36))</f>
        <v>0.56466666666666665</v>
      </c>
      <c r="AC36" s="92" t="s">
        <v>24</v>
      </c>
      <c r="AD36" s="93" t="s">
        <v>24</v>
      </c>
      <c r="AE36" s="93" t="s">
        <v>24</v>
      </c>
      <c r="AF36" s="68" t="str">
        <f t="shared" si="71"/>
        <v>Triethanolamine</v>
      </c>
      <c r="AG36" s="84">
        <f t="shared" si="74"/>
        <v>0.5671666666666666</v>
      </c>
      <c r="AH36" s="201">
        <f t="shared" si="75"/>
        <v>1.7320508075688787E-3</v>
      </c>
      <c r="AI36" s="45"/>
      <c r="AJ36" s="30" t="s">
        <v>3</v>
      </c>
      <c r="AK36" s="46" t="s">
        <v>24</v>
      </c>
      <c r="AL36" s="49">
        <f t="shared" si="72"/>
        <v>1.688614454035664E-2</v>
      </c>
      <c r="AM36" s="137">
        <f t="shared" si="76"/>
        <v>0.87606326003402435</v>
      </c>
      <c r="AN36" s="137">
        <f t="shared" si="77"/>
        <v>0.84077877890492092</v>
      </c>
      <c r="AO36" s="137">
        <f t="shared" si="78"/>
        <v>0.88841282842921054</v>
      </c>
      <c r="AP36" s="184">
        <f t="shared" si="73"/>
        <v>-1.4911893810514165E-3</v>
      </c>
      <c r="AQ36" s="184">
        <f t="shared" si="68"/>
        <v>-1.4911893810514165E-3</v>
      </c>
      <c r="AR36" s="184">
        <f t="shared" si="68"/>
        <v>-3.2554134375064603E-3</v>
      </c>
      <c r="AS36" s="184">
        <f t="shared" si="68"/>
        <v>3.8014827883141589E-3</v>
      </c>
      <c r="AT36" s="92" t="s">
        <v>24</v>
      </c>
      <c r="AU36" s="93" t="s">
        <v>24</v>
      </c>
      <c r="AV36" s="93" t="s">
        <v>24</v>
      </c>
      <c r="AW36" s="53"/>
      <c r="AX36" s="245">
        <v>0.15</v>
      </c>
      <c r="AY36" s="257">
        <f t="shared" si="79"/>
        <v>0.86841828912271846</v>
      </c>
      <c r="AZ36" s="248">
        <f t="shared" si="80"/>
        <v>2.4720130535590874E-2</v>
      </c>
      <c r="BA36" s="455" t="str">
        <f>AF37</f>
        <v>Pentaerythritol triacrylate</v>
      </c>
      <c r="BB36" s="94" t="s">
        <v>13</v>
      </c>
      <c r="BC36" s="454" t="str">
        <f>AF38</f>
        <v>Clarithromycin</v>
      </c>
      <c r="BD36" s="95" t="s">
        <v>13</v>
      </c>
      <c r="BE36" s="453" t="str">
        <f>AF39</f>
        <v>o-Benzyl-p-chlorophenol</v>
      </c>
      <c r="BF36" s="96" t="s">
        <v>13</v>
      </c>
      <c r="BG36" s="452" t="str">
        <f>AF40</f>
        <v>5-Amino-o-cresol</v>
      </c>
      <c r="BH36" s="97" t="s">
        <v>13</v>
      </c>
      <c r="BI36" s="23"/>
    </row>
    <row r="37" spans="1:76" ht="15" thickBot="1" x14ac:dyDescent="0.4">
      <c r="A37" s="235" t="str">
        <f>'680 nm (Bubble) Outlier'!A52</f>
        <v>E</v>
      </c>
      <c r="B37" s="527">
        <f>'Quartiles Outlier Blank-NC'!AA37</f>
        <v>7.1999999999999995E-2</v>
      </c>
      <c r="C37" s="171">
        <f>'Quartiles Outlier Blank-NC'!AB37</f>
        <v>0.63500000000000001</v>
      </c>
      <c r="D37" s="172">
        <f>'680 nm (Bubble) Outlier'!D52</f>
        <v>0.27500000000000002</v>
      </c>
      <c r="E37" s="172">
        <f>'680 nm (Bubble) Outlier'!E52</f>
        <v>0.307</v>
      </c>
      <c r="F37" s="172">
        <f>'680 nm (Bubble) Outlier'!F52</f>
        <v>0.29199999999999998</v>
      </c>
      <c r="G37" s="176">
        <f>'680 nm (Bubble) Outlier'!G52</f>
        <v>0.60599999999999998</v>
      </c>
      <c r="H37" s="176">
        <f>'680 nm (Bubble) Outlier'!H52</f>
        <v>0.60299999999999998</v>
      </c>
      <c r="I37" s="176">
        <f>'680 nm (Bubble) Outlier'!I52</f>
        <v>0.60899999999999999</v>
      </c>
      <c r="J37" s="176">
        <f>'680 nm (Bubble) Outlier'!J52</f>
        <v>0.60499999999999998</v>
      </c>
      <c r="K37" s="176">
        <f>'680 nm (Bubble) Outlier'!K52</f>
        <v>7.0999999999999994E-2</v>
      </c>
      <c r="L37" s="176">
        <f>'680 nm (Bubble) Outlier'!L52</f>
        <v>7.1999999999999995E-2</v>
      </c>
      <c r="M37" s="176">
        <f>'680 nm (Bubble) Outlier'!M52</f>
        <v>7.3999999999999996E-2</v>
      </c>
      <c r="N37" s="189" t="str">
        <f>'680 nm (Bubble) Outlier'!N52</f>
        <v>read:412 Read#4</v>
      </c>
      <c r="O37" s="19"/>
      <c r="P37" s="66" t="str">
        <f t="shared" si="69"/>
        <v>Pentaerythritol triacrylate</v>
      </c>
      <c r="Q37" s="201">
        <f t="shared" ref="Q37:Q40" si="81">IF(AND(K37="",L37="",M37=""),"",AVERAGE(K37:M37))</f>
        <v>7.2333333333333319E-2</v>
      </c>
      <c r="R37" s="45"/>
      <c r="S37" s="30" t="s">
        <v>4</v>
      </c>
      <c r="T37" s="237" t="s">
        <v>24</v>
      </c>
      <c r="U37" s="251">
        <f t="shared" si="70"/>
        <v>0.56325000000000003</v>
      </c>
      <c r="V37" s="238">
        <f t="shared" si="70"/>
        <v>0.20325000000000004</v>
      </c>
      <c r="W37" s="207">
        <f t="shared" si="70"/>
        <v>0.23525000000000001</v>
      </c>
      <c r="X37" s="207">
        <f t="shared" si="70"/>
        <v>0.22025</v>
      </c>
      <c r="Y37" s="102">
        <f>IF(G37="","",IF(Q37="","",G37-Q37))</f>
        <v>0.53366666666666662</v>
      </c>
      <c r="Z37" s="102">
        <f>IF(H37="","",IF(Q37="","",H37-Q37))</f>
        <v>0.53066666666666662</v>
      </c>
      <c r="AA37" s="102">
        <f>IF(I37="","",IF(Q37="","",I37-Q37))</f>
        <v>0.53666666666666663</v>
      </c>
      <c r="AB37" s="102">
        <f>IF(J37="","",IF(Q37="","",J37-Q37))</f>
        <v>0.53266666666666662</v>
      </c>
      <c r="AC37" s="101" t="s">
        <v>24</v>
      </c>
      <c r="AD37" s="102" t="s">
        <v>24</v>
      </c>
      <c r="AE37" s="102" t="s">
        <v>24</v>
      </c>
      <c r="AF37" s="68" t="str">
        <f t="shared" si="71"/>
        <v>Pentaerythritol triacrylate</v>
      </c>
      <c r="AG37" s="84">
        <f t="shared" si="74"/>
        <v>0.53341666666666665</v>
      </c>
      <c r="AH37" s="201">
        <f t="shared" si="75"/>
        <v>2.5000000000000022E-3</v>
      </c>
      <c r="AI37" s="45"/>
      <c r="AJ37" s="30" t="s">
        <v>4</v>
      </c>
      <c r="AK37" s="46" t="s">
        <v>24</v>
      </c>
      <c r="AL37" s="49">
        <f t="shared" si="72"/>
        <v>6.3008002016256004E-3</v>
      </c>
      <c r="AM37" s="137">
        <f t="shared" si="76"/>
        <v>0.64142146052548665</v>
      </c>
      <c r="AN37" s="137">
        <f t="shared" si="77"/>
        <v>0.58496629071892126</v>
      </c>
      <c r="AO37" s="137">
        <f t="shared" si="78"/>
        <v>0.61142965156574891</v>
      </c>
      <c r="AP37" s="185">
        <f t="shared" si="73"/>
        <v>5.8492428538424512E-2</v>
      </c>
      <c r="AQ37" s="185">
        <f t="shared" si="68"/>
        <v>6.3785100707789977E-2</v>
      </c>
      <c r="AR37" s="185">
        <f t="shared" si="68"/>
        <v>5.3199756369058937E-2</v>
      </c>
      <c r="AS37" s="185">
        <f t="shared" si="68"/>
        <v>6.0256652594879667E-2</v>
      </c>
      <c r="AT37" s="101" t="s">
        <v>24</v>
      </c>
      <c r="AU37" s="102" t="s">
        <v>24</v>
      </c>
      <c r="AV37" s="102" t="s">
        <v>24</v>
      </c>
      <c r="AW37" s="53"/>
      <c r="AX37" s="245">
        <v>7.4999999999999997E-2</v>
      </c>
      <c r="AY37" s="257">
        <f t="shared" si="79"/>
        <v>0.6126058009367189</v>
      </c>
      <c r="AZ37" s="248">
        <f t="shared" si="80"/>
        <v>2.8245956258890551E-2</v>
      </c>
      <c r="BA37" s="103">
        <f>IF(AND(AP37="",AQ37="",AR37="",AS37=""),"",AVERAGE(AP37:AS37))</f>
        <v>5.8933484552538273E-2</v>
      </c>
      <c r="BB37" s="104">
        <f>IF(AND(AP37="",AQ37="",AR37="",AS37=""),"",STDEV(AP37:AS37))</f>
        <v>4.4105601411379355E-3</v>
      </c>
      <c r="BC37" s="105">
        <f>IF(AND(AP38="",AQ38="",AR38="",AS38=""),"",AVERAGE(AP38:AS38))</f>
        <v>-9.5772163064709592E-3</v>
      </c>
      <c r="BD37" s="106">
        <f>IF(AND(AP38="",AQ38="",AR38="",AS38=""),"",STDEV(AP38:AS38))</f>
        <v>3.0129861744362337E-3</v>
      </c>
      <c r="BE37" s="107">
        <f>IF(AND(AP39="",AQ39="",AR39="",AS39=""),"",AVERAGE(AP39:AS39))</f>
        <v>7.6869762459832403E-2</v>
      </c>
      <c r="BF37" s="108">
        <f>IF(AND(AP39="",AQ39="",AR39="",AS39=""),"",STDEV(AP39:AS39))</f>
        <v>7.9390082540482486E-3</v>
      </c>
      <c r="BG37" s="109">
        <f>IF(AND(AP40="",AQ40="",AR40="",AS40=""),"",AVERAGE(AP40:AS40))</f>
        <v>8.6572994770335837E-2</v>
      </c>
      <c r="BH37" s="110">
        <f>IF(AND(AP40="",AQ40="",AR40="",AS40=""),"",STDEV(AP40:AS40))</f>
        <v>6.6597997664791754E-3</v>
      </c>
      <c r="BI37" s="23"/>
    </row>
    <row r="38" spans="1:76" x14ac:dyDescent="0.35">
      <c r="A38" s="235" t="str">
        <f>'680 nm (Bubble) Outlier'!A53</f>
        <v>F</v>
      </c>
      <c r="B38" s="527">
        <f>'Quartiles Outlier Blank-NC'!AA38</f>
        <v>7.2999999999999995E-2</v>
      </c>
      <c r="C38" s="171">
        <f>'Quartiles Outlier Blank-NC'!AB38</f>
        <v>0.64</v>
      </c>
      <c r="D38" s="172">
        <f>'680 nm (Bubble) Outlier'!D53</f>
        <v>0.40899999999999997</v>
      </c>
      <c r="E38" s="172">
        <f>'680 nm (Bubble) Outlier'!E53</f>
        <v>0.436</v>
      </c>
      <c r="F38" s="172">
        <f>'680 nm (Bubble) Outlier'!F53</f>
        <v>0.433</v>
      </c>
      <c r="G38" s="177">
        <f>'680 nm (Bubble) Outlier'!G53</f>
        <v>0.64400000000000002</v>
      </c>
      <c r="H38" s="177">
        <f>'680 nm (Bubble) Outlier'!H53</f>
        <v>0.64300000000000002</v>
      </c>
      <c r="I38" s="177">
        <f>'680 nm (Bubble) Outlier'!I53</f>
        <v>0.64500000000000002</v>
      </c>
      <c r="J38" s="177">
        <f>'680 nm (Bubble) Outlier'!J53</f>
        <v>0.64100000000000001</v>
      </c>
      <c r="K38" s="177">
        <f>'680 nm (Bubble) Outlier'!K53</f>
        <v>7.0999999999999994E-2</v>
      </c>
      <c r="L38" s="177">
        <f>'680 nm (Bubble) Outlier'!L53</f>
        <v>7.0000000000000007E-2</v>
      </c>
      <c r="M38" s="177">
        <f>'680 nm (Bubble) Outlier'!M53</f>
        <v>7.1999999999999995E-2</v>
      </c>
      <c r="N38" s="189" t="str">
        <f>'680 nm (Bubble) Outlier'!N53</f>
        <v>read:412 Read#4</v>
      </c>
      <c r="O38" s="19"/>
      <c r="P38" s="66" t="str">
        <f t="shared" si="69"/>
        <v>Clarithromycin</v>
      </c>
      <c r="Q38" s="201">
        <f t="shared" si="81"/>
        <v>7.1000000000000008E-2</v>
      </c>
      <c r="R38" s="45"/>
      <c r="S38" s="30" t="s">
        <v>5</v>
      </c>
      <c r="T38" s="237" t="s">
        <v>24</v>
      </c>
      <c r="U38" s="251">
        <f t="shared" si="70"/>
        <v>0.56825000000000003</v>
      </c>
      <c r="V38" s="238">
        <f t="shared" si="70"/>
        <v>0.33724999999999999</v>
      </c>
      <c r="W38" s="207">
        <f t="shared" si="70"/>
        <v>0.36425000000000002</v>
      </c>
      <c r="X38" s="207">
        <f t="shared" si="70"/>
        <v>0.36125000000000002</v>
      </c>
      <c r="Y38" s="115">
        <f>IF(G38="","",IF(Q38="","",G38-Q38))</f>
        <v>0.57299999999999995</v>
      </c>
      <c r="Z38" s="115">
        <f>IF(H38="","",IF(Q38="","",H38-Q38))</f>
        <v>0.57200000000000006</v>
      </c>
      <c r="AA38" s="115">
        <f>IF(I38="","",IF(Q38="","",I38-Q38))</f>
        <v>0.57400000000000007</v>
      </c>
      <c r="AB38" s="115">
        <f>IF(J38="","",IF(Q38="","",J38-Q38))</f>
        <v>0.57000000000000006</v>
      </c>
      <c r="AC38" s="114" t="s">
        <v>24</v>
      </c>
      <c r="AD38" s="115" t="s">
        <v>24</v>
      </c>
      <c r="AE38" s="115" t="s">
        <v>24</v>
      </c>
      <c r="AF38" s="68" t="str">
        <f t="shared" si="71"/>
        <v>Clarithromycin</v>
      </c>
      <c r="AG38" s="84">
        <f t="shared" si="74"/>
        <v>0.57225000000000004</v>
      </c>
      <c r="AH38" s="201">
        <f t="shared" si="75"/>
        <v>1.7078251276599183E-3</v>
      </c>
      <c r="AI38" s="45"/>
      <c r="AJ38" s="30" t="s">
        <v>5</v>
      </c>
      <c r="AK38" s="46" t="s">
        <v>24</v>
      </c>
      <c r="AL38" s="49">
        <f t="shared" si="72"/>
        <v>-2.5203200806502846E-3</v>
      </c>
      <c r="AM38" s="137">
        <f t="shared" si="76"/>
        <v>0.40501543696049402</v>
      </c>
      <c r="AN38" s="137">
        <f t="shared" si="77"/>
        <v>0.3573813874362044</v>
      </c>
      <c r="AO38" s="137">
        <f t="shared" si="78"/>
        <v>0.36267405960556987</v>
      </c>
      <c r="AP38" s="186">
        <f t="shared" si="73"/>
        <v>-1.0900384348812242E-2</v>
      </c>
      <c r="AQ38" s="186">
        <f t="shared" si="68"/>
        <v>-9.1361602923571983E-3</v>
      </c>
      <c r="AR38" s="186">
        <f t="shared" si="68"/>
        <v>-1.2664608405267508E-2</v>
      </c>
      <c r="AS38" s="186">
        <f t="shared" si="68"/>
        <v>-5.6077121794468887E-3</v>
      </c>
      <c r="AT38" s="114" t="s">
        <v>24</v>
      </c>
      <c r="AU38" s="115" t="s">
        <v>24</v>
      </c>
      <c r="AV38" s="115" t="s">
        <v>24</v>
      </c>
      <c r="AW38" s="53"/>
      <c r="AX38" s="245">
        <v>3.7499999999999999E-2</v>
      </c>
      <c r="AY38" s="257">
        <f t="shared" si="79"/>
        <v>0.37502362800075612</v>
      </c>
      <c r="AZ38" s="248">
        <f t="shared" si="80"/>
        <v>2.6108131840121309E-2</v>
      </c>
      <c r="BA38" s="91"/>
      <c r="BB38" s="91"/>
      <c r="BI38" s="23"/>
    </row>
    <row r="39" spans="1:76" x14ac:dyDescent="0.35">
      <c r="A39" s="235" t="str">
        <f>'680 nm (Bubble) Outlier'!A54</f>
        <v>G</v>
      </c>
      <c r="B39" s="527">
        <f>'Quartiles Outlier Blank-NC'!AA39</f>
        <v>7.1999999999999995E-2</v>
      </c>
      <c r="C39" s="171">
        <f>'Quartiles Outlier Blank-NC'!AB39</f>
        <v>0.63900000000000001</v>
      </c>
      <c r="D39" s="172">
        <f>'680 nm (Bubble) Outlier'!D54</f>
        <v>0.51300000000000001</v>
      </c>
      <c r="E39" s="172">
        <f>'680 nm (Bubble) Outlier'!E54</f>
        <v>0.53200000000000003</v>
      </c>
      <c r="F39" s="172">
        <f>'680 nm (Bubble) Outlier'!F54</f>
        <v>0.52300000000000002</v>
      </c>
      <c r="G39" s="178">
        <f>'680 nm (Bubble) Outlier'!G54</f>
        <v>0.59799999999999998</v>
      </c>
      <c r="H39" s="178">
        <f>'680 nm (Bubble) Outlier'!H54</f>
        <v>0.59199999999999997</v>
      </c>
      <c r="I39" s="178">
        <f>'680 nm (Bubble) Outlier'!I54</f>
        <v>0.60199999999999998</v>
      </c>
      <c r="J39" s="178">
        <f>'680 nm (Bubble) Outlier'!J54</f>
        <v>0.60099999999999998</v>
      </c>
      <c r="K39" s="178">
        <f>'680 nm (Bubble) Outlier'!K54</f>
        <v>7.2999999999999995E-2</v>
      </c>
      <c r="L39" s="178">
        <f>'680 nm (Bubble) Outlier'!L54</f>
        <v>7.6999999999999999E-2</v>
      </c>
      <c r="M39" s="178">
        <f>'680 nm (Bubble) Outlier'!M54</f>
        <v>7.4999999999999997E-2</v>
      </c>
      <c r="N39" s="189" t="str">
        <f>'680 nm (Bubble) Outlier'!N54</f>
        <v>read:412 Read#4</v>
      </c>
      <c r="O39" s="19"/>
      <c r="P39" s="66" t="str">
        <f t="shared" si="69"/>
        <v>o-Benzyl-p-chlorophenol</v>
      </c>
      <c r="Q39" s="201">
        <f t="shared" si="81"/>
        <v>7.4999999999999997E-2</v>
      </c>
      <c r="R39" s="45"/>
      <c r="S39" s="30" t="s">
        <v>6</v>
      </c>
      <c r="T39" s="237" t="s">
        <v>24</v>
      </c>
      <c r="U39" s="251">
        <f t="shared" si="70"/>
        <v>0.56725000000000003</v>
      </c>
      <c r="V39" s="238">
        <f t="shared" si="70"/>
        <v>0.44125000000000003</v>
      </c>
      <c r="W39" s="207">
        <f t="shared" si="70"/>
        <v>0.46025000000000005</v>
      </c>
      <c r="X39" s="207">
        <f t="shared" si="70"/>
        <v>0.45125000000000004</v>
      </c>
      <c r="Y39" s="117">
        <f t="shared" ref="Y39:Y40" si="82">IF(G39="","",IF(Q39="","",G39-Q39))</f>
        <v>0.52300000000000002</v>
      </c>
      <c r="Z39" s="117">
        <f t="shared" ref="Z39:Z40" si="83">IF(H39="","",IF(Q39="","",H39-Q39))</f>
        <v>0.51700000000000002</v>
      </c>
      <c r="AA39" s="117">
        <f t="shared" ref="AA39:AA40" si="84">IF(I39="","",IF(Q39="","",I39-Q39))</f>
        <v>0.52700000000000002</v>
      </c>
      <c r="AB39" s="117">
        <f t="shared" ref="AB39:AB40" si="85">IF(J39="","",IF(Q39="","",J39-Q39))</f>
        <v>0.52600000000000002</v>
      </c>
      <c r="AC39" s="116" t="s">
        <v>24</v>
      </c>
      <c r="AD39" s="117" t="s">
        <v>24</v>
      </c>
      <c r="AE39" s="117" t="s">
        <v>24</v>
      </c>
      <c r="AF39" s="68" t="str">
        <f t="shared" si="71"/>
        <v>o-Benzyl-p-chlorophenol</v>
      </c>
      <c r="AG39" s="84">
        <f t="shared" si="74"/>
        <v>0.52324999999999999</v>
      </c>
      <c r="AH39" s="201">
        <f t="shared" si="75"/>
        <v>4.500000000000004E-3</v>
      </c>
      <c r="AI39" s="45"/>
      <c r="AJ39" s="30" t="s">
        <v>6</v>
      </c>
      <c r="AK39" s="46" t="s">
        <v>24</v>
      </c>
      <c r="AL39" s="49">
        <f t="shared" si="72"/>
        <v>-7.5609602419501876E-4</v>
      </c>
      <c r="AM39" s="137">
        <f t="shared" si="76"/>
        <v>0.22153613508915626</v>
      </c>
      <c r="AN39" s="137">
        <f t="shared" si="77"/>
        <v>0.18801587801650799</v>
      </c>
      <c r="AO39" s="137">
        <f t="shared" si="78"/>
        <v>0.2038938945246046</v>
      </c>
      <c r="AP39" s="187">
        <f t="shared" si="73"/>
        <v>7.7310818473946163E-2</v>
      </c>
      <c r="AQ39" s="187">
        <f t="shared" si="68"/>
        <v>8.7896162812677203E-2</v>
      </c>
      <c r="AR39" s="187">
        <f t="shared" si="68"/>
        <v>7.0253922248125544E-2</v>
      </c>
      <c r="AS39" s="187">
        <f t="shared" si="68"/>
        <v>7.2018146304580699E-2</v>
      </c>
      <c r="AT39" s="116" t="s">
        <v>24</v>
      </c>
      <c r="AU39" s="117" t="s">
        <v>24</v>
      </c>
      <c r="AV39" s="117" t="s">
        <v>24</v>
      </c>
      <c r="AW39" s="53"/>
      <c r="AX39" s="245">
        <v>1.8749999999999999E-2</v>
      </c>
      <c r="AY39" s="257">
        <f t="shared" si="79"/>
        <v>0.20448196921008963</v>
      </c>
      <c r="AZ39" s="248">
        <f t="shared" si="80"/>
        <v>1.676786457575585E-2</v>
      </c>
      <c r="BA39" s="91"/>
      <c r="BB39" s="91"/>
      <c r="BI39" s="23"/>
    </row>
    <row r="40" spans="1:76" ht="15" thickBot="1" x14ac:dyDescent="0.4">
      <c r="A40" s="235" t="str">
        <f>'680 nm (Bubble) Outlier'!A55</f>
        <v>H</v>
      </c>
      <c r="B40" s="528">
        <f>'Quartiles Outlier Blank-NC'!AA40</f>
        <v>7.1999999999999995E-2</v>
      </c>
      <c r="C40" s="171">
        <f>'Quartiles Outlier Blank-NC'!AB40</f>
        <v>0.63700000000000001</v>
      </c>
      <c r="D40" s="172">
        <f>'680 nm (Bubble) Outlier'!D55</f>
        <v>0.57299999999999995</v>
      </c>
      <c r="E40" s="172">
        <f>'680 nm (Bubble) Outlier'!E55</f>
        <v>0.58399999999999996</v>
      </c>
      <c r="F40" s="172">
        <f>'680 nm (Bubble) Outlier'!F55</f>
        <v>0.58099999999999996</v>
      </c>
      <c r="G40" s="179">
        <f>'680 nm (Bubble) Outlier'!G55</f>
        <v>0.60799999999999998</v>
      </c>
      <c r="H40" s="179">
        <f>'680 nm (Bubble) Outlier'!H55</f>
        <v>0.59899999999999998</v>
      </c>
      <c r="I40" s="179">
        <f>'680 nm (Bubble) Outlier'!I55</f>
        <v>0.60299999999999998</v>
      </c>
      <c r="J40" s="179">
        <f>'680 nm (Bubble) Outlier'!J55</f>
        <v>0.60499999999999998</v>
      </c>
      <c r="K40" s="179">
        <f>'680 nm (Bubble) Outlier'!K55</f>
        <v>8.5000000000000006E-2</v>
      </c>
      <c r="L40" s="179">
        <f>'680 nm (Bubble) Outlier'!L55</f>
        <v>8.5999999999999993E-2</v>
      </c>
      <c r="M40" s="179">
        <f>'680 nm (Bubble) Outlier'!M55</f>
        <v>8.6999999999999994E-2</v>
      </c>
      <c r="N40" s="189" t="str">
        <f>'680 nm (Bubble) Outlier'!N55</f>
        <v>read:412 Read#4</v>
      </c>
      <c r="O40" s="19"/>
      <c r="P40" s="119" t="str">
        <f t="shared" si="69"/>
        <v>5-Amino-o-cresol</v>
      </c>
      <c r="Q40" s="202">
        <f t="shared" si="81"/>
        <v>8.6000000000000007E-2</v>
      </c>
      <c r="R40" s="45"/>
      <c r="S40" s="30" t="s">
        <v>7</v>
      </c>
      <c r="T40" s="237" t="s">
        <v>24</v>
      </c>
      <c r="U40" s="252">
        <f t="shared" si="70"/>
        <v>0.56525000000000003</v>
      </c>
      <c r="V40" s="238">
        <f t="shared" si="70"/>
        <v>0.50124999999999997</v>
      </c>
      <c r="W40" s="207">
        <f t="shared" si="70"/>
        <v>0.51224999999999998</v>
      </c>
      <c r="X40" s="207">
        <f t="shared" si="70"/>
        <v>0.50924999999999998</v>
      </c>
      <c r="Y40" s="215">
        <f t="shared" si="82"/>
        <v>0.52200000000000002</v>
      </c>
      <c r="Z40" s="215">
        <f t="shared" si="83"/>
        <v>0.51300000000000001</v>
      </c>
      <c r="AA40" s="215">
        <f t="shared" si="84"/>
        <v>0.51700000000000002</v>
      </c>
      <c r="AB40" s="215">
        <f t="shared" si="85"/>
        <v>0.51900000000000002</v>
      </c>
      <c r="AC40" s="122" t="s">
        <v>24</v>
      </c>
      <c r="AD40" s="123" t="s">
        <v>24</v>
      </c>
      <c r="AE40" s="123" t="s">
        <v>24</v>
      </c>
      <c r="AF40" s="121" t="str">
        <f t="shared" si="71"/>
        <v>5-Amino-o-cresol</v>
      </c>
      <c r="AG40" s="98">
        <f t="shared" si="74"/>
        <v>0.51775000000000004</v>
      </c>
      <c r="AH40" s="202">
        <f t="shared" si="75"/>
        <v>3.7749172176353785E-3</v>
      </c>
      <c r="AI40" s="45"/>
      <c r="AJ40" s="30" t="s">
        <v>7</v>
      </c>
      <c r="AK40" s="46" t="s">
        <v>24</v>
      </c>
      <c r="AL40" s="49">
        <f t="shared" si="72"/>
        <v>2.7723520887152908E-3</v>
      </c>
      <c r="AM40" s="137">
        <f t="shared" si="76"/>
        <v>0.1156826917018462</v>
      </c>
      <c r="AN40" s="137">
        <f t="shared" si="77"/>
        <v>9.6276227080839272E-2</v>
      </c>
      <c r="AO40" s="137">
        <f t="shared" si="78"/>
        <v>0.10156889925020485</v>
      </c>
      <c r="AP40" s="182">
        <f t="shared" si="73"/>
        <v>7.9075042530401318E-2</v>
      </c>
      <c r="AQ40" s="182">
        <f t="shared" si="68"/>
        <v>9.4953059038497933E-2</v>
      </c>
      <c r="AR40" s="182">
        <f t="shared" si="68"/>
        <v>8.7896162812677203E-2</v>
      </c>
      <c r="AS40" s="182">
        <f t="shared" si="68"/>
        <v>8.4367714699766894E-2</v>
      </c>
      <c r="AT40" s="122" t="s">
        <v>24</v>
      </c>
      <c r="AU40" s="123" t="s">
        <v>24</v>
      </c>
      <c r="AV40" s="123" t="s">
        <v>24</v>
      </c>
      <c r="AW40" s="53"/>
      <c r="AX40" s="246">
        <v>9.3749999999999997E-3</v>
      </c>
      <c r="AY40" s="258">
        <f t="shared" si="79"/>
        <v>0.10450927267763011</v>
      </c>
      <c r="AZ40" s="249">
        <f t="shared" si="80"/>
        <v>1.00318026391636E-2</v>
      </c>
      <c r="BA40" s="91"/>
      <c r="BB40" s="91"/>
      <c r="BI40" s="23"/>
    </row>
    <row r="41" spans="1:76" ht="15" thickTop="1" x14ac:dyDescent="0.35">
      <c r="B41" s="15" t="s">
        <v>116</v>
      </c>
      <c r="U41" s="15" t="s">
        <v>116</v>
      </c>
      <c r="AX41" s="194" t="s">
        <v>70</v>
      </c>
      <c r="AY41" s="192">
        <f>(AY34+AY40)/2</f>
        <v>0.53821435322285927</v>
      </c>
    </row>
    <row r="42" spans="1:76" x14ac:dyDescent="0.35">
      <c r="A42" s="169"/>
      <c r="B42" s="165"/>
      <c r="C42" s="165"/>
      <c r="D42" s="165"/>
      <c r="E42" s="165"/>
      <c r="F42" s="165"/>
      <c r="G42" s="165"/>
      <c r="H42" s="165"/>
      <c r="I42" s="165"/>
      <c r="J42" s="165"/>
      <c r="K42" s="165"/>
      <c r="L42" s="165"/>
      <c r="M42" s="165"/>
      <c r="N42" s="159"/>
      <c r="Q42" s="231"/>
      <c r="R42" s="232"/>
      <c r="S42" s="233"/>
      <c r="T42" s="233"/>
      <c r="U42" s="233"/>
      <c r="AX42" s="194" t="s">
        <v>113</v>
      </c>
      <c r="AY42" s="193">
        <f>FORECAST(AY41,AX36:AX38,AY36:AY38)</f>
        <v>6.9085319473816714E-2</v>
      </c>
    </row>
    <row r="43" spans="1:76" x14ac:dyDescent="0.35">
      <c r="A43" s="165"/>
      <c r="B43" s="166"/>
      <c r="C43" s="166"/>
      <c r="D43" s="166"/>
      <c r="E43" s="166"/>
      <c r="F43" s="166"/>
      <c r="G43" s="166"/>
      <c r="H43" s="166"/>
      <c r="I43" s="166"/>
      <c r="J43" s="166"/>
      <c r="K43" s="166"/>
      <c r="L43" s="166"/>
      <c r="M43" s="166"/>
      <c r="N43" s="167"/>
      <c r="AY43" s="15" t="s">
        <v>116</v>
      </c>
    </row>
    <row r="44" spans="1:76" x14ac:dyDescent="0.35">
      <c r="A44" s="165"/>
      <c r="B44" s="166"/>
      <c r="C44" s="166"/>
      <c r="D44" s="166"/>
      <c r="E44" s="166"/>
      <c r="F44" s="166"/>
      <c r="G44" s="166"/>
      <c r="H44" s="166"/>
      <c r="I44" s="166"/>
      <c r="J44" s="166"/>
      <c r="K44" s="166"/>
      <c r="L44" s="166"/>
      <c r="M44" s="166"/>
      <c r="N44" s="167"/>
    </row>
    <row r="45" spans="1:76" x14ac:dyDescent="0.35">
      <c r="A45" s="165"/>
      <c r="B45" s="166"/>
      <c r="C45" s="166"/>
      <c r="D45" s="166"/>
      <c r="E45" s="166"/>
      <c r="F45" s="166"/>
      <c r="G45" s="166"/>
      <c r="H45" s="166"/>
      <c r="I45" s="166"/>
      <c r="J45" s="166"/>
      <c r="K45" s="166"/>
      <c r="L45" s="166"/>
      <c r="M45" s="166"/>
      <c r="N45" s="167"/>
    </row>
    <row r="46" spans="1:76" x14ac:dyDescent="0.35">
      <c r="A46" s="165"/>
      <c r="B46" s="166"/>
      <c r="C46" s="166"/>
      <c r="D46" s="166"/>
      <c r="E46" s="166"/>
      <c r="F46" s="166"/>
      <c r="G46" s="166"/>
      <c r="H46" s="166"/>
      <c r="I46" s="166"/>
      <c r="J46" s="166"/>
      <c r="K46" s="166"/>
      <c r="L46" s="166"/>
      <c r="M46" s="166"/>
      <c r="N46" s="167"/>
    </row>
    <row r="47" spans="1:76" x14ac:dyDescent="0.35">
      <c r="A47" s="165"/>
      <c r="B47" s="166"/>
      <c r="C47" s="166"/>
      <c r="D47" s="166"/>
      <c r="E47" s="166"/>
      <c r="F47" s="166"/>
      <c r="G47" s="166"/>
      <c r="H47" s="166"/>
      <c r="I47" s="166"/>
      <c r="J47" s="166"/>
      <c r="K47" s="166"/>
      <c r="L47" s="166"/>
      <c r="M47" s="166"/>
      <c r="N47" s="167"/>
    </row>
    <row r="48" spans="1:76" x14ac:dyDescent="0.35">
      <c r="A48" s="165"/>
      <c r="B48" s="166"/>
      <c r="C48" s="166"/>
      <c r="D48" s="166"/>
      <c r="E48" s="166"/>
      <c r="F48" s="166"/>
      <c r="G48" s="166"/>
      <c r="H48" s="166"/>
      <c r="I48" s="166"/>
      <c r="J48" s="166"/>
      <c r="K48" s="166"/>
      <c r="L48" s="166"/>
      <c r="M48" s="166"/>
      <c r="N48" s="167"/>
    </row>
    <row r="49" spans="1:14" x14ac:dyDescent="0.35">
      <c r="A49" s="165"/>
      <c r="B49" s="166"/>
      <c r="C49" s="166"/>
      <c r="D49" s="166"/>
      <c r="E49" s="166"/>
      <c r="F49" s="166"/>
      <c r="G49" s="166"/>
      <c r="H49" s="166"/>
      <c r="I49" s="166"/>
      <c r="J49" s="166"/>
      <c r="K49" s="166"/>
      <c r="L49" s="166"/>
      <c r="M49" s="166"/>
      <c r="N49" s="167"/>
    </row>
    <row r="50" spans="1:14" x14ac:dyDescent="0.35">
      <c r="A50" s="165"/>
      <c r="B50" s="166"/>
      <c r="C50" s="166"/>
      <c r="D50" s="166"/>
      <c r="E50" s="166"/>
      <c r="F50" s="166"/>
      <c r="G50" s="166"/>
      <c r="H50" s="166"/>
      <c r="I50" s="166"/>
      <c r="J50" s="166"/>
      <c r="K50" s="166"/>
      <c r="L50" s="166"/>
      <c r="M50" s="166"/>
      <c r="N50" s="167"/>
    </row>
  </sheetData>
  <sheetProtection algorithmName="SHA-512" hashValue="p7vCm8m6dCWP4Ew2mpyL5hTglc4h4QxTZjqPYT/BGXWRgl5GTnPUViXHhrW9F7pfq6cvYRbHjKycOthc8Suw5w==" saltValue="/H9MdeEp3YTBCUzmacyeYw==" spinCount="100000" sheet="1" objects="1" scenarios="1"/>
  <mergeCells count="8">
    <mergeCell ref="AX32:AZ32"/>
    <mergeCell ref="BU8:CC8"/>
    <mergeCell ref="BU1:CC1"/>
    <mergeCell ref="AX2:AZ2"/>
    <mergeCell ref="AX12:AZ12"/>
    <mergeCell ref="AX22:AZ22"/>
    <mergeCell ref="AX1:BH1"/>
    <mergeCell ref="BU15:BW15"/>
  </mergeCells>
  <conditionalFormatting sqref="BV3:CC3">
    <cfRule type="cellIs" dxfId="203" priority="81" operator="lessThan">
      <formula>$BW$17</formula>
    </cfRule>
    <cfRule type="cellIs" dxfId="202" priority="82" operator="greaterThan">
      <formula>$BW$17</formula>
    </cfRule>
  </conditionalFormatting>
  <conditionalFormatting sqref="BV4:CC4">
    <cfRule type="cellIs" dxfId="201" priority="83" operator="lessThan">
      <formula>$BW$18</formula>
    </cfRule>
    <cfRule type="cellIs" dxfId="200" priority="84" operator="greaterThan">
      <formula>$BW$18</formula>
    </cfRule>
  </conditionalFormatting>
  <conditionalFormatting sqref="BV5:CC5">
    <cfRule type="cellIs" dxfId="199" priority="85" operator="lessThan">
      <formula>$BW$19</formula>
    </cfRule>
    <cfRule type="cellIs" dxfId="198" priority="86" operator="greaterThan">
      <formula>$BW$19</formula>
    </cfRule>
  </conditionalFormatting>
  <conditionalFormatting sqref="BV5:CB5">
    <cfRule type="cellIs" dxfId="197" priority="87" operator="greaterThan">
      <formula>$BW$19</formula>
    </cfRule>
  </conditionalFormatting>
  <conditionalFormatting sqref="BV6:CC6">
    <cfRule type="cellIs" dxfId="196" priority="88" operator="lessThan">
      <formula>$BW$20</formula>
    </cfRule>
    <cfRule type="cellIs" dxfId="195" priority="89" operator="greaterThan">
      <formula>$BW$20</formula>
    </cfRule>
  </conditionalFormatting>
  <conditionalFormatting sqref="BV3:CC6 BV10:CC13">
    <cfRule type="containsBlanks" dxfId="194" priority="6">
      <formula>LEN(TRIM(BV3))=0</formula>
    </cfRule>
  </conditionalFormatting>
  <conditionalFormatting sqref="BA4:BH4 BA7:BH7 BA14:BH14 BA17:BH17 BA24:BH24 BA27:BH27 BA34:BH34 BA37:BH37">
    <cfRule type="containsBlanks" dxfId="193" priority="5">
      <formula>LEN(TRIM(BA4))=0</formula>
    </cfRule>
  </conditionalFormatting>
  <conditionalFormatting sqref="AL3:AV10 AL13:AV20 AL23:AV30 AL33:AV40 AY4:AZ10 AY14:AZ20 AY24:AZ30 AY34:AZ40">
    <cfRule type="containsBlanks" dxfId="192" priority="4">
      <formula>LEN(TRIM(AL3))=0</formula>
    </cfRule>
  </conditionalFormatting>
  <conditionalFormatting sqref="U3:AB10 U13:AB20 U23:AB30 U33:AB40">
    <cfRule type="containsBlanks" dxfId="191" priority="3">
      <formula>LEN(TRIM(U3))=0</formula>
    </cfRule>
  </conditionalFormatting>
  <conditionalFormatting sqref="Q3:Q10 Q13:Q20 Q23:Q30 Q33:Q40 B3:M10 B13:M20 B23:M30 B33:M40">
    <cfRule type="containsBlanks" dxfId="190" priority="2">
      <formula>LEN(TRIM(B3))=0</formula>
    </cfRule>
  </conditionalFormatting>
  <conditionalFormatting sqref="AC3:AE10 AC13:AE20 AC23:AE30 AC33:AE40">
    <cfRule type="containsBlanks" dxfId="189" priority="1">
      <formula>LEN(TRIM(AC3))=0</formula>
    </cfRule>
  </conditionalFormatting>
  <conditionalFormatting sqref="Q4:Q10 Q14:Q20 Q24:Q30 Q34:Q40">
    <cfRule type="cellIs" dxfId="188" priority="378" operator="lessThan">
      <formula>#REF!</formula>
    </cfRule>
    <cfRule type="cellIs" dxfId="187" priority="379" operator="greaterThan">
      <formula>#REF!</formula>
    </cfRule>
    <cfRule type="cellIs" dxfId="186" priority="380" operator="greaterThan">
      <formula>#REF!</formula>
    </cfRule>
  </conditionalFormatting>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P54"/>
  <sheetViews>
    <sheetView topLeftCell="U1" zoomScale="70" zoomScaleNormal="70" workbookViewId="0">
      <pane ySplit="1" topLeftCell="A32" activePane="bottomLeft" state="frozen"/>
      <selection pane="bottomLeft" activeCell="AE43" sqref="AE43"/>
    </sheetView>
  </sheetViews>
  <sheetFormatPr defaultRowHeight="14.5" x14ac:dyDescent="0.35"/>
  <cols>
    <col min="1" max="13" width="11.54296875" style="346" customWidth="1"/>
    <col min="14" max="14" width="35.6328125" customWidth="1"/>
    <col min="15" max="15" width="2.453125" customWidth="1"/>
    <col min="16" max="16" width="19.90625" style="2" bestFit="1" customWidth="1"/>
    <col min="17" max="17" width="11.08984375" style="346" customWidth="1"/>
    <col min="18" max="18" width="2.54296875" customWidth="1"/>
    <col min="19" max="22" width="12.81640625" style="346" customWidth="1"/>
    <col min="23" max="23" width="24.6328125" style="346" customWidth="1"/>
    <col min="24" max="24" width="16.36328125" style="346" customWidth="1"/>
    <col min="25" max="27" width="16.90625" style="346" customWidth="1"/>
    <col min="28" max="28" width="14.6328125" style="346" customWidth="1"/>
    <col min="29" max="29" width="16.90625" style="412" customWidth="1"/>
    <col min="30" max="30" width="16.90625" style="349" customWidth="1"/>
    <col min="31" max="31" width="40" customWidth="1"/>
  </cols>
  <sheetData>
    <row r="1" spans="1:42" ht="90.65" customHeight="1" x14ac:dyDescent="0.35">
      <c r="P1" s="458"/>
      <c r="Q1" s="356"/>
      <c r="R1" s="347"/>
      <c r="S1" s="12" t="s">
        <v>127</v>
      </c>
      <c r="T1" s="12" t="s">
        <v>128</v>
      </c>
      <c r="U1" s="12" t="s">
        <v>129</v>
      </c>
      <c r="V1" s="12" t="s">
        <v>130</v>
      </c>
      <c r="W1" s="357" t="s">
        <v>131</v>
      </c>
      <c r="X1" s="358" t="s">
        <v>158</v>
      </c>
      <c r="Y1" s="359" t="s">
        <v>132</v>
      </c>
      <c r="Z1" s="360" t="s">
        <v>197</v>
      </c>
      <c r="AA1" s="361" t="s">
        <v>198</v>
      </c>
      <c r="AB1" s="362" t="s">
        <v>199</v>
      </c>
      <c r="AC1" s="363" t="s">
        <v>167</v>
      </c>
      <c r="AD1" s="362" t="s">
        <v>133</v>
      </c>
      <c r="AE1" s="456" t="s">
        <v>190</v>
      </c>
      <c r="AF1" s="347"/>
      <c r="AG1" s="347"/>
      <c r="AH1" s="347"/>
      <c r="AI1" s="347"/>
      <c r="AJ1" s="347"/>
      <c r="AK1" s="347"/>
      <c r="AL1" s="347"/>
      <c r="AM1" s="347"/>
      <c r="AN1" s="347"/>
      <c r="AO1" s="347"/>
      <c r="AP1" s="347"/>
    </row>
    <row r="2" spans="1:42" ht="15" thickBot="1" x14ac:dyDescent="0.4">
      <c r="A2" s="350" t="str">
        <f>'NBT Depletion'!A2</f>
        <v>5 min</v>
      </c>
      <c r="B2" s="350">
        <f>'NBT Depletion'!B2</f>
        <v>1</v>
      </c>
      <c r="C2" s="350">
        <f>'NBT Depletion'!C2</f>
        <v>2</v>
      </c>
      <c r="D2" s="350">
        <f>'NBT Depletion'!D2</f>
        <v>3</v>
      </c>
      <c r="E2" s="350">
        <f>'NBT Depletion'!E2</f>
        <v>4</v>
      </c>
      <c r="F2" s="350">
        <f>'NBT Depletion'!F2</f>
        <v>5</v>
      </c>
      <c r="G2" s="350">
        <f>'NBT Depletion'!G2</f>
        <v>6</v>
      </c>
      <c r="H2" s="350">
        <f>'NBT Depletion'!H2</f>
        <v>7</v>
      </c>
      <c r="I2" s="350">
        <f>'NBT Depletion'!I2</f>
        <v>8</v>
      </c>
      <c r="J2" s="350">
        <f>'NBT Depletion'!J2</f>
        <v>9</v>
      </c>
      <c r="K2" s="350">
        <f>'NBT Depletion'!K2</f>
        <v>10</v>
      </c>
      <c r="L2" s="350">
        <f>'NBT Depletion'!L2</f>
        <v>11</v>
      </c>
      <c r="M2" s="350">
        <f>'NBT Depletion'!M2</f>
        <v>12</v>
      </c>
      <c r="P2" s="482"/>
      <c r="Q2" s="492"/>
      <c r="R2" s="491"/>
      <c r="S2" s="492"/>
      <c r="T2" s="492"/>
      <c r="U2" s="492"/>
      <c r="V2" s="492"/>
      <c r="W2" s="492"/>
      <c r="X2" s="492"/>
      <c r="Y2" s="493"/>
      <c r="Z2" s="494"/>
      <c r="AA2" s="488"/>
      <c r="AB2" s="489"/>
      <c r="AC2" s="495">
        <v>5.0000000000000001E-3</v>
      </c>
      <c r="AD2" s="496" t="s">
        <v>206</v>
      </c>
    </row>
    <row r="3" spans="1:42" x14ac:dyDescent="0.35">
      <c r="A3" s="350" t="str">
        <f>'NBT Depletion'!A3</f>
        <v>A</v>
      </c>
      <c r="B3" s="147">
        <f>'NBT Depletion'!B3</f>
        <v>7.0999999999999994E-2</v>
      </c>
      <c r="C3" s="148">
        <f>'NBT Depletion'!C3</f>
        <v>0.63700000000000001</v>
      </c>
      <c r="D3" s="148">
        <f>'NBT Depletion'!D3</f>
        <v>0.64300000000000002</v>
      </c>
      <c r="E3" s="148">
        <f>'NBT Depletion'!E3</f>
        <v>0.65900000000000003</v>
      </c>
      <c r="F3" s="148">
        <f>'NBT Depletion'!F3</f>
        <v>0.65200000000000002</v>
      </c>
      <c r="G3" s="148">
        <f>'NBT Depletion'!G3</f>
        <v>0.65100000000000002</v>
      </c>
      <c r="H3" s="148">
        <f>'NBT Depletion'!H3</f>
        <v>0.65</v>
      </c>
      <c r="I3" s="148">
        <f>'NBT Depletion'!I3</f>
        <v>0.65500000000000003</v>
      </c>
      <c r="J3" s="148">
        <f>'NBT Depletion'!J3</f>
        <v>0.65100000000000002</v>
      </c>
      <c r="K3" s="348"/>
      <c r="L3" s="348"/>
      <c r="M3" s="348"/>
      <c r="P3" s="630" t="str">
        <f>A2</f>
        <v>5 min</v>
      </c>
      <c r="Q3" s="607"/>
      <c r="R3" s="607"/>
      <c r="S3" s="607"/>
      <c r="T3" s="607"/>
      <c r="U3" s="607"/>
      <c r="V3" s="607"/>
      <c r="W3" s="607"/>
      <c r="X3" s="607"/>
      <c r="Y3" s="607"/>
      <c r="Z3" s="607"/>
      <c r="AA3" s="607"/>
      <c r="AB3" s="607"/>
      <c r="AC3" s="607"/>
      <c r="AD3" s="608"/>
    </row>
    <row r="4" spans="1:42" x14ac:dyDescent="0.35">
      <c r="A4" s="350" t="str">
        <f>'NBT Depletion'!A4</f>
        <v>B</v>
      </c>
      <c r="B4" s="147" t="str">
        <f>'NBT Depletion'!B4</f>
        <v/>
      </c>
      <c r="C4" s="148">
        <f>'NBT Depletion'!C4</f>
        <v>0.64300000000000002</v>
      </c>
      <c r="D4" s="151">
        <f>'NBT Depletion'!D4</f>
        <v>0.315</v>
      </c>
      <c r="E4" s="151">
        <f>'NBT Depletion'!E4</f>
        <v>0.35299999999999998</v>
      </c>
      <c r="F4" s="151">
        <f>'NBT Depletion'!F4</f>
        <v>0.32500000000000001</v>
      </c>
      <c r="G4" s="351">
        <f>'NBT Depletion'!G4</f>
        <v>0.63</v>
      </c>
      <c r="H4" s="351">
        <f>'NBT Depletion'!H4</f>
        <v>0.63600000000000001</v>
      </c>
      <c r="I4" s="351">
        <f>'NBT Depletion'!I4</f>
        <v>0.64</v>
      </c>
      <c r="J4" s="351">
        <f>'NBT Depletion'!J4</f>
        <v>0.63100000000000001</v>
      </c>
      <c r="K4" s="351">
        <f>'NBT Depletion'!K4</f>
        <v>7.2999999999999995E-2</v>
      </c>
      <c r="L4" s="351">
        <f>'NBT Depletion'!L4</f>
        <v>7.1999999999999995E-2</v>
      </c>
      <c r="M4" s="351">
        <f>'NBT Depletion'!M4</f>
        <v>7.2999999999999995E-2</v>
      </c>
      <c r="N4" t="str">
        <f>'NBT Depletion'!P4</f>
        <v>Tri-n-octylphospine oxide</v>
      </c>
      <c r="P4" s="472" t="s">
        <v>134</v>
      </c>
      <c r="Q4" s="153">
        <f>AVERAGE(C3:C10,D3:J3)</f>
        <v>0.64626666666666666</v>
      </c>
      <c r="R4" s="143"/>
      <c r="S4" s="153">
        <f>AVERAGE(G4:J4)</f>
        <v>0.63424999999999998</v>
      </c>
      <c r="T4" s="153">
        <f>STDEV(G4:J4)</f>
        <v>4.645786621588789E-3</v>
      </c>
      <c r="U4" s="153">
        <f t="shared" ref="U4:U10" si="0">AVERAGE(K4:M4)</f>
        <v>7.2666666666666657E-2</v>
      </c>
      <c r="V4" s="153">
        <f t="shared" ref="V4:V10" si="1">STDEV(K4:M4)</f>
        <v>5.7735026918962634E-4</v>
      </c>
      <c r="W4" s="153">
        <f>(Q4-Q7)-(S4-U4)</f>
        <v>1.2850000000000028E-2</v>
      </c>
      <c r="X4" s="365">
        <f>SQRT(Q5^2/COUNT(C3:C10,D3:J3)+Q8^2/COUNT(B3:B10)+T4^2/COUNT(G4:J4)+V4^2/COUNT(K4:M4))</f>
        <v>2.9107559155655801E-3</v>
      </c>
      <c r="Y4" s="366">
        <f>W4/X4</f>
        <v>4.4146607866648218</v>
      </c>
      <c r="Z4" s="381">
        <f>((Q5^2)/COUNT(C3:C10,D3:J3)+(Q8^2)/COUNT(B3:B10)+(T4^2)/COUNT(G4:J4)+(V4^2)/COUNT(K4:M4))^2</f>
        <v>7.1783256250000298E-11</v>
      </c>
      <c r="AA4" s="367">
        <f>((Q5^2)/COUNT(C3:C10,D3:J3))^2/(COUNT(C3:C10,D3:J3)-1)+((Q8^2)/COUNT(B3:B10))^2/(COUNT(B3:B10)-1)+((T4^2)/COUNT(G4:J4))^2/(COUNT(G4:J4)-1)+((V4^2)/COUNT(K4:M4))^2/(COUNT(K4:M4)-1)</f>
        <v>1.0327799966931256E-11</v>
      </c>
      <c r="AB4" s="368">
        <f>ROUNDDOWN(Z4/AA4,0)</f>
        <v>6</v>
      </c>
      <c r="AC4" s="379">
        <f>-_xlfn.T.INV(2*$AC$2,AB4)</f>
        <v>3.1426684032909828</v>
      </c>
      <c r="AD4" s="373" t="str">
        <f>IF(W4&lt;0,"Negative",IF(Y4&gt;AC4,"Positive","Negative"))</f>
        <v>Positive</v>
      </c>
      <c r="AE4" s="457" t="str">
        <f t="shared" ref="AE4:AE10" si="2">N4</f>
        <v>Tri-n-octylphospine oxide</v>
      </c>
    </row>
    <row r="5" spans="1:42" x14ac:dyDescent="0.35">
      <c r="A5" s="350" t="str">
        <f>'NBT Depletion'!A5</f>
        <v>C</v>
      </c>
      <c r="B5" s="147">
        <f>'NBT Depletion'!B5</f>
        <v>7.1999999999999995E-2</v>
      </c>
      <c r="C5" s="148">
        <f>'NBT Depletion'!C5</f>
        <v>0.64400000000000002</v>
      </c>
      <c r="D5" s="151">
        <f>'NBT Depletion'!D5</f>
        <v>0.439</v>
      </c>
      <c r="E5" s="151">
        <f>'NBT Depletion'!E5</f>
        <v>0.47499999999999998</v>
      </c>
      <c r="F5" s="151">
        <f>'NBT Depletion'!F5</f>
        <v>0.45400000000000001</v>
      </c>
      <c r="G5" s="155">
        <f>'NBT Depletion'!G5</f>
        <v>0.63700000000000001</v>
      </c>
      <c r="H5" s="155">
        <f>'NBT Depletion'!H5</f>
        <v>0.63700000000000001</v>
      </c>
      <c r="I5" s="155">
        <f>'NBT Depletion'!I5</f>
        <v>0.64200000000000002</v>
      </c>
      <c r="J5" s="155">
        <f>'NBT Depletion'!J5</f>
        <v>0.64300000000000002</v>
      </c>
      <c r="K5" s="155">
        <f>'NBT Depletion'!K5</f>
        <v>7.0999999999999994E-2</v>
      </c>
      <c r="L5" s="155">
        <f>'NBT Depletion'!L5</f>
        <v>7.1999999999999995E-2</v>
      </c>
      <c r="M5" s="155">
        <f>'NBT Depletion'!M5</f>
        <v>7.1999999999999995E-2</v>
      </c>
      <c r="N5" t="str">
        <f>'NBT Depletion'!P5</f>
        <v>Dicyclohexylcarbodiimide</v>
      </c>
      <c r="P5" s="472" t="s">
        <v>135</v>
      </c>
      <c r="Q5" s="153">
        <f>STDEV(C3:C10,D3:J3)</f>
        <v>6.638272867747058E-3</v>
      </c>
      <c r="R5" s="473"/>
      <c r="S5" s="391">
        <f t="shared" ref="S5:S10" si="3">AVERAGE(G5:J5)</f>
        <v>0.63975000000000004</v>
      </c>
      <c r="T5" s="153">
        <f t="shared" ref="T5:T10" si="4">STDEV(G5:J5)</f>
        <v>3.2015621187164271E-3</v>
      </c>
      <c r="U5" s="391">
        <f t="shared" si="0"/>
        <v>7.1666666666666656E-2</v>
      </c>
      <c r="V5" s="153">
        <f t="shared" si="1"/>
        <v>5.7735026918962634E-4</v>
      </c>
      <c r="W5" s="153">
        <f>(Q4-Q7)-(S5-U5)</f>
        <v>6.3499999999999668E-3</v>
      </c>
      <c r="X5" s="365">
        <f>SQRT(Q5^2/COUNT(C3:C10,D3:J3)+Q8^2/COUNT(B3:B10)+T5^2/COUNT(G5:J5)+V5^2/COUNT(K5:M5))</f>
        <v>2.3746929626094143E-3</v>
      </c>
      <c r="Y5" s="366">
        <f t="shared" ref="Y5:Y10" si="5">W5/X5</f>
        <v>2.6740299061746131</v>
      </c>
      <c r="Z5" s="381">
        <f>((Q5^2)/COUNT(C3:C10,D3:J3)+(Q8^2)/COUNT(B3:B10)+(T5^2)/COUNT(G5:J5)+(V5^2)/COUNT(K5:M5))^2</f>
        <v>3.1800200694444557E-11</v>
      </c>
      <c r="AA5" s="367">
        <f>((Q5^2)/COUNT(C3:C10,D3:J3))^2/(COUNT(C3:C10,D3:J3)-1)+((Q8^2)/COUNT(B3:B10))^2/(COUNT(B3:B10)-1)+((T5^2)/COUNT(G5:J5))^2/(COUNT(G5:J5)-1)+((V5^2)/COUNT(K5:M5))^2/(COUNT(K5:M5)-1)</f>
        <v>2.8115962632275232E-12</v>
      </c>
      <c r="AB5" s="368">
        <f t="shared" ref="AB5:AB10" si="6">ROUNDDOWN(Z5/AA5,0)</f>
        <v>11</v>
      </c>
      <c r="AC5" s="379">
        <f t="shared" ref="AC5:AC10" si="7">-_xlfn.T.INV(2*$AC$2,AB5)</f>
        <v>2.7180791838138614</v>
      </c>
      <c r="AD5" s="373" t="str">
        <f t="shared" ref="AD5:AD10" si="8">IF(W5&lt;0,"Negative",IF(Y5&gt;AC5,"Positive","Negative"))</f>
        <v>Negative</v>
      </c>
      <c r="AE5" s="457" t="str">
        <f t="shared" si="2"/>
        <v>Dicyclohexylcarbodiimide</v>
      </c>
    </row>
    <row r="6" spans="1:42" x14ac:dyDescent="0.35">
      <c r="A6" s="350" t="str">
        <f>'NBT Depletion'!A6</f>
        <v>D</v>
      </c>
      <c r="B6" s="147" t="str">
        <f>'NBT Depletion'!B6</f>
        <v/>
      </c>
      <c r="C6" s="148">
        <f>'NBT Depletion'!C6</f>
        <v>0.63500000000000001</v>
      </c>
      <c r="D6" s="151">
        <f>'NBT Depletion'!D6</f>
        <v>0.52600000000000002</v>
      </c>
      <c r="E6" s="151">
        <f>'NBT Depletion'!E6</f>
        <v>0.55100000000000005</v>
      </c>
      <c r="F6" s="151">
        <f>'NBT Depletion'!F6</f>
        <v>0.53600000000000003</v>
      </c>
      <c r="G6" s="144">
        <f>'NBT Depletion'!G6</f>
        <v>0.64500000000000002</v>
      </c>
      <c r="H6" s="144">
        <f>'NBT Depletion'!H6</f>
        <v>0.64600000000000002</v>
      </c>
      <c r="I6" s="144">
        <f>'NBT Depletion'!I6</f>
        <v>0.64700000000000002</v>
      </c>
      <c r="J6" s="144">
        <f>'NBT Depletion'!J6</f>
        <v>0.64400000000000002</v>
      </c>
      <c r="K6" s="144">
        <f>'NBT Depletion'!K6</f>
        <v>7.5999999999999998E-2</v>
      </c>
      <c r="L6" s="144">
        <f>'NBT Depletion'!L6</f>
        <v>7.1999999999999995E-2</v>
      </c>
      <c r="M6" s="144">
        <f>'NBT Depletion'!M6</f>
        <v>7.1999999999999995E-2</v>
      </c>
      <c r="N6" t="str">
        <f>'NBT Depletion'!P6</f>
        <v>Triethanolamine</v>
      </c>
      <c r="P6" s="474"/>
      <c r="Q6" s="437"/>
      <c r="R6" s="473"/>
      <c r="S6" s="391">
        <f t="shared" si="3"/>
        <v>0.64549999999999996</v>
      </c>
      <c r="T6" s="153">
        <f t="shared" si="4"/>
        <v>1.2909944487358069E-3</v>
      </c>
      <c r="U6" s="391">
        <f t="shared" si="0"/>
        <v>7.333333333333332E-2</v>
      </c>
      <c r="V6" s="153">
        <f t="shared" si="1"/>
        <v>2.3094010767585054E-3</v>
      </c>
      <c r="W6" s="153">
        <f>(Q4-Q7)-(S6-U6)</f>
        <v>2.2666666666667501E-3</v>
      </c>
      <c r="X6" s="365">
        <f>SQRT(Q5^2/COUNT(C3:C10,D3:J3)+Q8^2/COUNT(B3:B10)+T6^2/COUNT(G6:J6)+V6^2/COUNT(K6:M6))</f>
        <v>2.2715633383201118E-3</v>
      </c>
      <c r="Y6" s="366">
        <f t="shared" si="5"/>
        <v>0.99784436050240932</v>
      </c>
      <c r="Z6" s="381">
        <f>((Q5^2)/COUNT(C3:C10,D3:J3)+(Q8^2)/COUNT(B3:B10)+(T6^2)/COUNT(G6:J6)+(V6^2)/COUNT(K6:M6))^2</f>
        <v>2.6625600000000112E-11</v>
      </c>
      <c r="AA6" s="367">
        <f>((Q5^2)/COUNT(C3:C10,D3:J3))^2/(COUNT(C3:C10,D3:J3)-1)+((Q8^2)/COUNT(B3:B10))^2/(COUNT(B3:B10)-1)+((T6^2)/COUNT(G6:J6))^2/(COUNT(G6:J6)-1)+((V6^2)/COUNT(K6:M6))^2/(COUNT(K6:M6)-1)</f>
        <v>2.2547386243386333E-12</v>
      </c>
      <c r="AB6" s="368">
        <f t="shared" si="6"/>
        <v>11</v>
      </c>
      <c r="AC6" s="379">
        <f t="shared" si="7"/>
        <v>2.7180791838138614</v>
      </c>
      <c r="AD6" s="373" t="str">
        <f t="shared" si="8"/>
        <v>Negative</v>
      </c>
      <c r="AE6" s="457" t="str">
        <f t="shared" si="2"/>
        <v>Triethanolamine</v>
      </c>
    </row>
    <row r="7" spans="1:42" x14ac:dyDescent="0.35">
      <c r="A7" s="350" t="str">
        <f>'NBT Depletion'!A7</f>
        <v>E</v>
      </c>
      <c r="B7" s="147">
        <f>'NBT Depletion'!B7</f>
        <v>7.1999999999999995E-2</v>
      </c>
      <c r="C7" s="148">
        <f>'NBT Depletion'!C7</f>
        <v>0.64200000000000002</v>
      </c>
      <c r="D7" s="151">
        <f>'NBT Depletion'!D7</f>
        <v>0.58299999999999996</v>
      </c>
      <c r="E7" s="151">
        <f>'NBT Depletion'!E7</f>
        <v>0.60299999999999998</v>
      </c>
      <c r="F7" s="151">
        <f>'NBT Depletion'!F7</f>
        <v>0.59899999999999998</v>
      </c>
      <c r="G7" s="352">
        <f>'NBT Depletion'!G7</f>
        <v>0.63600000000000001</v>
      </c>
      <c r="H7" s="352">
        <f>'NBT Depletion'!H7</f>
        <v>0.63800000000000001</v>
      </c>
      <c r="I7" s="352">
        <f>'NBT Depletion'!I7</f>
        <v>0.64500000000000002</v>
      </c>
      <c r="J7" s="352">
        <f>'NBT Depletion'!J7</f>
        <v>0.63800000000000001</v>
      </c>
      <c r="K7" s="352">
        <f>'NBT Depletion'!K7</f>
        <v>7.0999999999999994E-2</v>
      </c>
      <c r="L7" s="352">
        <f>'NBT Depletion'!L7</f>
        <v>7.2999999999999995E-2</v>
      </c>
      <c r="M7" s="352">
        <f>'NBT Depletion'!M7</f>
        <v>7.2999999999999995E-2</v>
      </c>
      <c r="N7" t="str">
        <f>'NBT Depletion'!P7</f>
        <v>Pentaerythritol triacrylate</v>
      </c>
      <c r="P7" s="472" t="s">
        <v>136</v>
      </c>
      <c r="Q7" s="153">
        <f>AVERAGE(B3:B10)</f>
        <v>7.1833333333333332E-2</v>
      </c>
      <c r="R7" s="473"/>
      <c r="S7" s="391">
        <f t="shared" si="3"/>
        <v>0.63924999999999998</v>
      </c>
      <c r="T7" s="153">
        <f t="shared" si="4"/>
        <v>3.9475730941090073E-3</v>
      </c>
      <c r="U7" s="391">
        <f t="shared" si="0"/>
        <v>7.2333333333333319E-2</v>
      </c>
      <c r="V7" s="153">
        <f t="shared" si="1"/>
        <v>1.1547005383792527E-3</v>
      </c>
      <c r="W7" s="153">
        <f>(Q4-Q7)-(S7-U7)</f>
        <v>7.516666666666727E-3</v>
      </c>
      <c r="X7" s="365">
        <f>SQRT(Q5^2/COUNT(C3:C10,D3:J3)+Q8^2/COUNT(B3:B10)+T7^2/COUNT(G7:J7)+V7^2/COUNT(K7:M7))</f>
        <v>2.7029305084173634E-3</v>
      </c>
      <c r="Y7" s="366">
        <f t="shared" si="5"/>
        <v>2.7809322671295504</v>
      </c>
      <c r="Z7" s="381">
        <f>((Q5^2)/COUNT(C3:C10,D3:J3)+(Q8^2)/COUNT(B3:B10)+(T7^2)/COUNT(G7:J7)+(V7^2)/COUNT(K7:M7))^2</f>
        <v>5.3375200694444635E-11</v>
      </c>
      <c r="AA7" s="367">
        <f>((Q5^2)/COUNT(C3:C10,D3:J3))^2/(COUNT(C3:C10,D3:J3)-1)+((Q8^2)/COUNT(B3:B10))^2/(COUNT(B3:B10)-1)+((T7^2)/COUNT(G7:J7))^2/(COUNT(G7:J7)-1)+((V7^2)/COUNT(K7:M7))^2/(COUNT(K7:M7)-1)</f>
        <v>5.774559226190497E-12</v>
      </c>
      <c r="AB7" s="368">
        <f t="shared" si="6"/>
        <v>9</v>
      </c>
      <c r="AC7" s="379">
        <f t="shared" si="7"/>
        <v>2.8214379250258084</v>
      </c>
      <c r="AD7" s="373" t="str">
        <f t="shared" si="8"/>
        <v>Negative</v>
      </c>
      <c r="AE7" s="457" t="str">
        <f t="shared" si="2"/>
        <v>Pentaerythritol triacrylate</v>
      </c>
    </row>
    <row r="8" spans="1:42" x14ac:dyDescent="0.35">
      <c r="A8" s="350" t="str">
        <f>'NBT Depletion'!A8</f>
        <v>F</v>
      </c>
      <c r="B8" s="147">
        <f>'NBT Depletion'!B8</f>
        <v>7.1999999999999995E-2</v>
      </c>
      <c r="C8" s="148">
        <f>'NBT Depletion'!C8</f>
        <v>0.64600000000000002</v>
      </c>
      <c r="D8" s="151">
        <f>'NBT Depletion'!D8</f>
        <v>0.61099999999999999</v>
      </c>
      <c r="E8" s="151">
        <f>'NBT Depletion'!E8</f>
        <v>0.627</v>
      </c>
      <c r="F8" s="151">
        <f>'NBT Depletion'!F8</f>
        <v>0.63200000000000001</v>
      </c>
      <c r="G8" s="353">
        <f>'NBT Depletion'!G8</f>
        <v>0.65</v>
      </c>
      <c r="H8" s="353">
        <f>'NBT Depletion'!H8</f>
        <v>0.65100000000000002</v>
      </c>
      <c r="I8" s="353">
        <f>'NBT Depletion'!I8</f>
        <v>0.65400000000000003</v>
      </c>
      <c r="J8" s="353">
        <f>'NBT Depletion'!J8</f>
        <v>0.64900000000000002</v>
      </c>
      <c r="K8" s="353">
        <f>'NBT Depletion'!K8</f>
        <v>7.1999999999999995E-2</v>
      </c>
      <c r="L8" s="353">
        <f>'NBT Depletion'!L8</f>
        <v>7.1999999999999995E-2</v>
      </c>
      <c r="M8" s="353">
        <f>'NBT Depletion'!M8</f>
        <v>7.1999999999999995E-2</v>
      </c>
      <c r="N8" t="str">
        <f>'NBT Depletion'!P8</f>
        <v>Clarithromycin</v>
      </c>
      <c r="P8" s="472" t="s">
        <v>137</v>
      </c>
      <c r="Q8" s="153">
        <f>STDEV(B3:B10)</f>
        <v>4.0824829046386341E-4</v>
      </c>
      <c r="R8" s="473"/>
      <c r="S8" s="391">
        <f t="shared" si="3"/>
        <v>0.65100000000000002</v>
      </c>
      <c r="T8" s="153">
        <f t="shared" si="4"/>
        <v>2.1602468994692888E-3</v>
      </c>
      <c r="U8" s="391">
        <f t="shared" si="0"/>
        <v>7.1999999999999995E-2</v>
      </c>
      <c r="V8" s="153">
        <f t="shared" si="1"/>
        <v>0</v>
      </c>
      <c r="W8" s="153">
        <f>(Q4-Q7)-(S8-U8)</f>
        <v>-4.5666666666667188E-3</v>
      </c>
      <c r="X8" s="365">
        <f>SQRT(Q5^2/COUNT(C3:C10,D3:J3)+Q8^2/COUNT(B3:B10)+T8^2/COUNT(G8:J8)+V8^2/COUNT(K8:M8))</f>
        <v>2.0327868117985788E-3</v>
      </c>
      <c r="Y8" s="366">
        <f t="shared" si="5"/>
        <v>-2.2465054575133738</v>
      </c>
      <c r="Z8" s="381">
        <f>((Q5^2)/COUNT(C3:C10,D3:J3)+(Q8^2)/COUNT(B3:B10)+(T8^2)/COUNT(G8:J8)+(V8^2)/COUNT(K8:M8))^2</f>
        <v>1.7075260493827228E-11</v>
      </c>
      <c r="AA8" s="367">
        <f>((Q5^2)/COUNT(C3:C10,D3:J3))^2/(COUNT(C3:C10,D3:J3)-1)+((Q8^2)/COUNT(B3:B10))^2/(COUNT(B3:B10)-1)+((T8^2)/COUNT(G8:J8))^2/(COUNT(G8:J8)-1)+((V8^2)/COUNT(K8:M8))^2/(COUNT(K8:M8)-1)</f>
        <v>1.070325044091715E-12</v>
      </c>
      <c r="AB8" s="368">
        <f t="shared" si="6"/>
        <v>15</v>
      </c>
      <c r="AC8" s="379">
        <f t="shared" si="7"/>
        <v>2.6024802950111221</v>
      </c>
      <c r="AD8" s="373" t="str">
        <f t="shared" si="8"/>
        <v>Negative</v>
      </c>
      <c r="AE8" s="457" t="str">
        <f t="shared" si="2"/>
        <v>Clarithromycin</v>
      </c>
    </row>
    <row r="9" spans="1:42" x14ac:dyDescent="0.35">
      <c r="A9" s="350" t="str">
        <f>'NBT Depletion'!A9</f>
        <v>G</v>
      </c>
      <c r="B9" s="147">
        <f>'NBT Depletion'!B9</f>
        <v>7.1999999999999995E-2</v>
      </c>
      <c r="C9" s="148">
        <f>'NBT Depletion'!C9</f>
        <v>0.64500000000000002</v>
      </c>
      <c r="D9" s="151">
        <f>'NBT Depletion'!D9</f>
        <v>0.626</v>
      </c>
      <c r="E9" s="151">
        <f>'NBT Depletion'!E9</f>
        <v>0.64300000000000002</v>
      </c>
      <c r="F9" s="151">
        <f>'NBT Depletion'!F9</f>
        <v>0.64100000000000001</v>
      </c>
      <c r="G9" s="354">
        <f>'NBT Depletion'!G9</f>
        <v>0.629</v>
      </c>
      <c r="H9" s="354">
        <f>'NBT Depletion'!H9</f>
        <v>0.629</v>
      </c>
      <c r="I9" s="354">
        <f>'NBT Depletion'!I9</f>
        <v>0.63700000000000001</v>
      </c>
      <c r="J9" s="354">
        <f>'NBT Depletion'!J9</f>
        <v>0.63200000000000001</v>
      </c>
      <c r="K9" s="354">
        <f>'NBT Depletion'!K9</f>
        <v>7.2999999999999995E-2</v>
      </c>
      <c r="L9" s="354">
        <f>'NBT Depletion'!L9</f>
        <v>7.6999999999999999E-2</v>
      </c>
      <c r="M9" s="354">
        <f>'NBT Depletion'!M9</f>
        <v>7.3999999999999996E-2</v>
      </c>
      <c r="N9" t="str">
        <f>'NBT Depletion'!P9</f>
        <v>o-Benzyl-p-chlorophenol</v>
      </c>
      <c r="P9" s="475"/>
      <c r="Q9" s="438"/>
      <c r="R9" s="473"/>
      <c r="S9" s="391">
        <f t="shared" si="3"/>
        <v>0.63175000000000003</v>
      </c>
      <c r="T9" s="153">
        <f t="shared" si="4"/>
        <v>3.7749172176353785E-3</v>
      </c>
      <c r="U9" s="391">
        <f t="shared" si="0"/>
        <v>7.4666666666666659E-2</v>
      </c>
      <c r="V9" s="153">
        <f t="shared" si="1"/>
        <v>2.0816659994661348E-3</v>
      </c>
      <c r="W9" s="153">
        <f>(Q4-Q7)-(S9-U9)</f>
        <v>1.7349999999999977E-2</v>
      </c>
      <c r="X9" s="365">
        <f>SQRT(Q5^2/COUNT(C3:C10,D3:J3)+Q8^2/COUNT(B3:B10)+T9^2/COUNT(G9:J9)+V9^2/COUNT(K9:M9))</f>
        <v>2.8235615806991026E-3</v>
      </c>
      <c r="Y9" s="366">
        <f t="shared" si="5"/>
        <v>6.1447216588434337</v>
      </c>
      <c r="Z9" s="381">
        <f>((Q5^2)/COUNT(C3:C10,D3:J3)+(Q8^2)/COUNT(B3:B10)+(T9^2)/COUNT(G9:J9)+(V9^2)/COUNT(K9:M9))^2</f>
        <v>6.3560756250000252E-11</v>
      </c>
      <c r="AA9" s="367">
        <f>((Q5^2)/COUNT(C3:C10,D3:J3))^2/(COUNT(C3:C10,D3:J3)-1)+((Q8^2)/COUNT(B3:B10))^2/(COUNT(B3:B10)-1)+((T9^2)/COUNT(G9:J9))^2/(COUNT(G9:J9)-1)+((V9^2)/COUNT(K9:M9))^2/(COUNT(K9:M9)-1)</f>
        <v>5.8902999669312397E-12</v>
      </c>
      <c r="AB9" s="368">
        <f t="shared" si="6"/>
        <v>10</v>
      </c>
      <c r="AC9" s="379">
        <f t="shared" si="7"/>
        <v>2.7637694581126966</v>
      </c>
      <c r="AD9" s="373" t="str">
        <f t="shared" si="8"/>
        <v>Positive</v>
      </c>
      <c r="AE9" s="457" t="str">
        <f t="shared" si="2"/>
        <v>o-Benzyl-p-chlorophenol</v>
      </c>
    </row>
    <row r="10" spans="1:42" ht="15" thickBot="1" x14ac:dyDescent="0.4">
      <c r="A10" s="350" t="str">
        <f>'NBT Depletion'!A10</f>
        <v>H</v>
      </c>
      <c r="B10" s="147">
        <f>'NBT Depletion'!B10</f>
        <v>7.1999999999999995E-2</v>
      </c>
      <c r="C10" s="148">
        <f>'NBT Depletion'!C10</f>
        <v>0.64100000000000001</v>
      </c>
      <c r="D10" s="151">
        <f>'NBT Depletion'!D10</f>
        <v>0.63400000000000001</v>
      </c>
      <c r="E10" s="151">
        <f>'NBT Depletion'!E10</f>
        <v>0.64800000000000002</v>
      </c>
      <c r="F10" s="151">
        <f>'NBT Depletion'!F10</f>
        <v>0.64500000000000002</v>
      </c>
      <c r="G10" s="355">
        <f>'NBT Depletion'!G10</f>
        <v>0.66100000000000003</v>
      </c>
      <c r="H10" s="355">
        <f>'NBT Depletion'!H10</f>
        <v>0.65400000000000003</v>
      </c>
      <c r="I10" s="355">
        <f>'NBT Depletion'!I10</f>
        <v>0.65800000000000003</v>
      </c>
      <c r="J10" s="355">
        <f>'NBT Depletion'!J10</f>
        <v>0.65900000000000003</v>
      </c>
      <c r="K10" s="355">
        <f>'NBT Depletion'!K10</f>
        <v>8.5000000000000006E-2</v>
      </c>
      <c r="L10" s="355">
        <f>'NBT Depletion'!L10</f>
        <v>8.5000000000000006E-2</v>
      </c>
      <c r="M10" s="355">
        <f>'NBT Depletion'!M10</f>
        <v>8.5999999999999993E-2</v>
      </c>
      <c r="N10" t="str">
        <f>'NBT Depletion'!P10</f>
        <v>5-Amino-o-cresol</v>
      </c>
      <c r="P10" s="476"/>
      <c r="Q10" s="481"/>
      <c r="R10" s="478"/>
      <c r="S10" s="479">
        <f t="shared" si="3"/>
        <v>0.65799999999999992</v>
      </c>
      <c r="T10" s="339">
        <f t="shared" si="4"/>
        <v>2.9439202887759515E-3</v>
      </c>
      <c r="U10" s="479">
        <f t="shared" si="0"/>
        <v>8.533333333333333E-2</v>
      </c>
      <c r="V10" s="339">
        <f t="shared" si="1"/>
        <v>5.7735026918961832E-4</v>
      </c>
      <c r="W10" s="339">
        <f>(Q4-Q7)-(S10-U10)</f>
        <v>1.7666666666668052E-3</v>
      </c>
      <c r="X10" s="480">
        <f>SQRT(Q5^2/COUNT(C3:C10,D3:J3)+Q8^2/COUNT(B3:B10)+T10^2/COUNT(G10:J10)+V10^2/COUNT(K10:M10))</f>
        <v>2.2898325994127476E-3</v>
      </c>
      <c r="Y10" s="370">
        <f t="shared" si="5"/>
        <v>0.77152655924275249</v>
      </c>
      <c r="Z10" s="382">
        <f>((Q5^2)/COUNT(C3:C10,D3:J3)+(Q8^2)/COUNT(B3:B10)+(T10^2)/COUNT(G10:J10)+(V10^2)/COUNT(K10:M10))^2</f>
        <v>2.749254444444452E-11</v>
      </c>
      <c r="AA10" s="371">
        <f>((Q5^2)/COUNT(C3:C10,D3:J3))^2/(COUNT(C3:C10,D3:J3)-1)+((Q8^2)/COUNT(B3:B10))^2/(COUNT(B3:B10)-1)+((T10^2)/COUNT(G10:J10))^2/(COUNT(G10:J10)-1)+((V10^2)/COUNT(K10:M10))^2/(COUNT(K10:M10)-1)</f>
        <v>2.1876089947090018E-12</v>
      </c>
      <c r="AB10" s="372">
        <f t="shared" si="6"/>
        <v>12</v>
      </c>
      <c r="AC10" s="380">
        <f t="shared" si="7"/>
        <v>2.6809979931209149</v>
      </c>
      <c r="AD10" s="374" t="str">
        <f t="shared" si="8"/>
        <v>Negative</v>
      </c>
      <c r="AE10" s="457" t="str">
        <f t="shared" si="2"/>
        <v>5-Amino-o-cresol</v>
      </c>
    </row>
    <row r="11" spans="1:42" x14ac:dyDescent="0.35">
      <c r="P11" s="482"/>
      <c r="Q11" s="483"/>
      <c r="R11" s="484"/>
      <c r="S11" s="485"/>
      <c r="T11" s="485"/>
      <c r="U11" s="485"/>
      <c r="V11" s="485"/>
      <c r="W11" s="485"/>
      <c r="X11" s="483"/>
      <c r="Y11" s="486"/>
      <c r="Z11" s="487"/>
      <c r="AA11" s="488"/>
      <c r="AB11" s="489"/>
      <c r="AC11" s="490"/>
      <c r="AD11" s="489"/>
      <c r="AE11" s="491"/>
    </row>
    <row r="12" spans="1:42" ht="15" thickBot="1" x14ac:dyDescent="0.4">
      <c r="A12" s="350" t="str">
        <f>'NBT Depletion'!A12</f>
        <v>20 min</v>
      </c>
      <c r="B12" s="350">
        <f>'NBT Depletion'!B12</f>
        <v>1</v>
      </c>
      <c r="C12" s="350">
        <f>'NBT Depletion'!C12</f>
        <v>2</v>
      </c>
      <c r="D12" s="350">
        <f>'NBT Depletion'!D12</f>
        <v>3</v>
      </c>
      <c r="E12" s="350">
        <f>'NBT Depletion'!E12</f>
        <v>4</v>
      </c>
      <c r="F12" s="350">
        <f>'NBT Depletion'!F12</f>
        <v>5</v>
      </c>
      <c r="G12" s="350">
        <f>'NBT Depletion'!G12</f>
        <v>6</v>
      </c>
      <c r="H12" s="350">
        <f>'NBT Depletion'!H12</f>
        <v>7</v>
      </c>
      <c r="I12" s="350">
        <f>'NBT Depletion'!I12</f>
        <v>8</v>
      </c>
      <c r="J12" s="350">
        <f>'NBT Depletion'!J12</f>
        <v>9</v>
      </c>
      <c r="K12" s="350">
        <f>'NBT Depletion'!K12</f>
        <v>10</v>
      </c>
      <c r="L12" s="350">
        <f>'NBT Depletion'!L12</f>
        <v>11</v>
      </c>
      <c r="M12" s="350">
        <f>'NBT Depletion'!M12</f>
        <v>12</v>
      </c>
      <c r="P12" s="482"/>
      <c r="Q12" s="483"/>
      <c r="R12" s="484"/>
      <c r="S12" s="485"/>
      <c r="T12" s="485"/>
      <c r="U12" s="485"/>
      <c r="V12" s="485"/>
      <c r="W12" s="485"/>
      <c r="X12" s="483"/>
      <c r="Y12" s="486"/>
      <c r="Z12" s="487"/>
      <c r="AA12" s="488"/>
      <c r="AB12" s="489"/>
      <c r="AC12" s="490"/>
      <c r="AD12" s="489"/>
      <c r="AE12" s="491"/>
    </row>
    <row r="13" spans="1:42" x14ac:dyDescent="0.35">
      <c r="A13" s="350" t="str">
        <f>'NBT Depletion'!A13</f>
        <v>A</v>
      </c>
      <c r="B13" s="147">
        <f>'NBT Depletion'!B13</f>
        <v>6.9000000000000006E-2</v>
      </c>
      <c r="C13" s="148">
        <f>'NBT Depletion'!C13</f>
        <v>0.63300000000000001</v>
      </c>
      <c r="D13" s="148">
        <f>'NBT Depletion'!D13</f>
        <v>0.63800000000000001</v>
      </c>
      <c r="E13" s="148" t="str">
        <f>'NBT Depletion'!E13</f>
        <v/>
      </c>
      <c r="F13" s="148">
        <f>'NBT Depletion'!F13</f>
        <v>0.64500000000000002</v>
      </c>
      <c r="G13" s="148">
        <f>'NBT Depletion'!G13</f>
        <v>0.64500000000000002</v>
      </c>
      <c r="H13" s="148">
        <f>'NBT Depletion'!H13</f>
        <v>0.64500000000000002</v>
      </c>
      <c r="I13" s="148">
        <f>'NBT Depletion'!I13</f>
        <v>0.64900000000000002</v>
      </c>
      <c r="J13" s="148">
        <f>'NBT Depletion'!J13</f>
        <v>0.64500000000000002</v>
      </c>
      <c r="K13" s="348"/>
      <c r="L13" s="348"/>
      <c r="M13" s="348"/>
      <c r="P13" s="630" t="str">
        <f>A12</f>
        <v>20 min</v>
      </c>
      <c r="Q13" s="607"/>
      <c r="R13" s="607"/>
      <c r="S13" s="607"/>
      <c r="T13" s="607"/>
      <c r="U13" s="607"/>
      <c r="V13" s="607"/>
      <c r="W13" s="607"/>
      <c r="X13" s="607"/>
      <c r="Y13" s="607"/>
      <c r="Z13" s="607"/>
      <c r="AA13" s="607"/>
      <c r="AB13" s="607"/>
      <c r="AC13" s="607"/>
      <c r="AD13" s="608"/>
    </row>
    <row r="14" spans="1:42" x14ac:dyDescent="0.35">
      <c r="A14" s="350" t="str">
        <f>'NBT Depletion'!A14</f>
        <v>B</v>
      </c>
      <c r="B14" s="147">
        <f>'NBT Depletion'!B14</f>
        <v>7.0999999999999994E-2</v>
      </c>
      <c r="C14" s="148">
        <f>'NBT Depletion'!C14</f>
        <v>0.63800000000000001</v>
      </c>
      <c r="D14" s="151">
        <f>'NBT Depletion'!D14</f>
        <v>9.6000000000000002E-2</v>
      </c>
      <c r="E14" s="151">
        <f>'NBT Depletion'!E14</f>
        <v>0.112</v>
      </c>
      <c r="F14" s="151">
        <f>'NBT Depletion'!F14</f>
        <v>9.1999999999999998E-2</v>
      </c>
      <c r="G14" s="351">
        <f>'NBT Depletion'!G14</f>
        <v>0.628</v>
      </c>
      <c r="H14" s="351">
        <f>'NBT Depletion'!H14</f>
        <v>0.63400000000000001</v>
      </c>
      <c r="I14" s="351">
        <f>'NBT Depletion'!I14</f>
        <v>0.63800000000000001</v>
      </c>
      <c r="J14" s="351">
        <f>'NBT Depletion'!J14</f>
        <v>0.629</v>
      </c>
      <c r="K14" s="351">
        <f>'NBT Depletion'!K14</f>
        <v>7.0999999999999994E-2</v>
      </c>
      <c r="L14" s="351">
        <f>'NBT Depletion'!L14</f>
        <v>7.0000000000000007E-2</v>
      </c>
      <c r="M14" s="351">
        <f>'NBT Depletion'!M14</f>
        <v>7.0000000000000007E-2</v>
      </c>
      <c r="N14" t="str">
        <f>'NBT Depletion'!P14</f>
        <v>Tri-n-octylphospine oxide</v>
      </c>
      <c r="P14" s="472" t="s">
        <v>134</v>
      </c>
      <c r="Q14" s="153">
        <f>AVERAGE(C13:C20,D13:J13)</f>
        <v>0.63999999999999979</v>
      </c>
      <c r="R14" s="473"/>
      <c r="S14" s="391">
        <f>AVERAGE(G14:J14)</f>
        <v>0.63224999999999998</v>
      </c>
      <c r="T14" s="153">
        <f>STDEV(G14:J14)</f>
        <v>4.645786621588789E-3</v>
      </c>
      <c r="U14" s="391">
        <f t="shared" ref="U14:U20" si="9">AVERAGE(K14:M14)</f>
        <v>7.0333333333333345E-2</v>
      </c>
      <c r="V14" s="153">
        <f t="shared" ref="V14:V20" si="10">STDEV(K14:M14)</f>
        <v>5.7735026918961832E-4</v>
      </c>
      <c r="W14" s="153">
        <f>(Q14-Q17)-(S14-U14)</f>
        <v>8.5833333333331652E-3</v>
      </c>
      <c r="X14" s="365">
        <f>SQRT(Q15^2/COUNT(C13:C20,D13:J13)+Q18^2/COUNT(B13:B20)+T14^2/COUNT(G14:J14)+V14^2/COUNT(K14:M14))</f>
        <v>2.7633431425657827E-3</v>
      </c>
      <c r="Y14" s="366">
        <f>W14/X14</f>
        <v>3.1061409642247622</v>
      </c>
      <c r="Z14" s="381">
        <f>((Q15^2)/COUNT(C13:C20,D13:J13)+(Q18^2)/COUNT(B13:B20)+(T14^2)/COUNT(G14:J14)+(V14^2)/COUNT(K14:M14))^2</f>
        <v>5.8309493625756952E-11</v>
      </c>
      <c r="AA14" s="367">
        <f>((Q15^2)/COUNT(C13:C20,D13:J13))^2/(COUNT(C13:C20,D13:J13)-1)+((Q18^2)/COUNT(B13:B20))^2/(COUNT(B13:B20)-1)+((T14^2)/COUNT(G14:J14))^2/(COUNT(G14:J14)-1)+((V14^2)/COUNT(K14:M14))^2/(COUNT(K14:M14)-1)</f>
        <v>1.0027310500646684E-11</v>
      </c>
      <c r="AB14" s="368">
        <f>ROUNDDOWN(Z14/AA14,0)</f>
        <v>5</v>
      </c>
      <c r="AC14" s="379">
        <f>-_xlfn.T.INV(2*$AC$2,AB14)</f>
        <v>3.3649299989072183</v>
      </c>
      <c r="AD14" s="373" t="str">
        <f>IF(W14&lt;0,"Negative",IF(Y14&gt;AC14,"Positive","Negative"))</f>
        <v>Negative</v>
      </c>
      <c r="AE14" s="457" t="str">
        <f t="shared" ref="AE14:AE20" si="11">N14</f>
        <v>Tri-n-octylphospine oxide</v>
      </c>
    </row>
    <row r="15" spans="1:42" x14ac:dyDescent="0.35">
      <c r="A15" s="350" t="str">
        <f>'NBT Depletion'!A15</f>
        <v>C</v>
      </c>
      <c r="B15" s="147">
        <f>'NBT Depletion'!B15</f>
        <v>7.0000000000000007E-2</v>
      </c>
      <c r="C15" s="148">
        <f>'NBT Depletion'!C15</f>
        <v>0.63800000000000001</v>
      </c>
      <c r="D15" s="151">
        <f>'NBT Depletion'!D15</f>
        <v>0.16600000000000001</v>
      </c>
      <c r="E15" s="151">
        <f>'NBT Depletion'!E15</f>
        <v>0.20300000000000001</v>
      </c>
      <c r="F15" s="151">
        <f>'NBT Depletion'!F15</f>
        <v>0.16500000000000001</v>
      </c>
      <c r="G15" s="155">
        <f>'NBT Depletion'!G15</f>
        <v>0.61199999999999999</v>
      </c>
      <c r="H15" s="155">
        <f>'NBT Depletion'!H15</f>
        <v>0.61099999999999999</v>
      </c>
      <c r="I15" s="155">
        <f>'NBT Depletion'!I15</f>
        <v>0.61399999999999999</v>
      </c>
      <c r="J15" s="155">
        <f>'NBT Depletion'!J15</f>
        <v>0.61399999999999999</v>
      </c>
      <c r="K15" s="155">
        <f>'NBT Depletion'!K15</f>
        <v>6.8000000000000005E-2</v>
      </c>
      <c r="L15" s="155">
        <f>'NBT Depletion'!L15</f>
        <v>6.9000000000000006E-2</v>
      </c>
      <c r="M15" s="155">
        <f>'NBT Depletion'!M15</f>
        <v>6.9000000000000006E-2</v>
      </c>
      <c r="N15" t="str">
        <f>'NBT Depletion'!P15</f>
        <v>Dicyclohexylcarbodiimide</v>
      </c>
      <c r="P15" s="472" t="s">
        <v>135</v>
      </c>
      <c r="Q15" s="153">
        <f>STDEV(C13:C20,D13:J13)</f>
        <v>5.3204973740894152E-3</v>
      </c>
      <c r="R15" s="473"/>
      <c r="S15" s="391">
        <f t="shared" ref="S15:S20" si="12">AVERAGE(G15:J15)</f>
        <v>0.61274999999999991</v>
      </c>
      <c r="T15" s="153">
        <f t="shared" ref="T15:T20" si="13">STDEV(G15:J15)</f>
        <v>1.5000000000000013E-3</v>
      </c>
      <c r="U15" s="391">
        <f t="shared" si="9"/>
        <v>6.8666666666666668E-2</v>
      </c>
      <c r="V15" s="153">
        <f t="shared" si="10"/>
        <v>5.7735026918962634E-4</v>
      </c>
      <c r="W15" s="153">
        <f>(Q14-Q17)-(S15-U15)</f>
        <v>2.6416666666666533E-2</v>
      </c>
      <c r="X15" s="365">
        <f>SQRT(Q15^2/COUNT(C13:C20,D13:J13)+Q18^2/COUNT(B13:B20)+T15^2/COUNT(G15:J15)+V15^2/COUNT(K15:M15))</f>
        <v>1.6741361922591588E-3</v>
      </c>
      <c r="Y15" s="366">
        <f t="shared" ref="Y15:Y20" si="14">W15/X15</f>
        <v>15.779281750679214</v>
      </c>
      <c r="Z15" s="381">
        <f>((Q15^2)/COUNT(C13:C20,D13:J13)+(Q18^2)/COUNT(B13:B20)+(T15^2)/COUNT(G15:J15)+(V15^2)/COUNT(K15:M15))^2</f>
        <v>7.8553066090697988E-12</v>
      </c>
      <c r="AA15" s="367">
        <f>((Q15^2)/COUNT(C13:C20,D13:J13))^2/(COUNT(C13:C20,D13:J13)-1)+((Q18^2)/COUNT(B13:B20))^2/(COUNT(B13:B20)-1)+((T15^2)/COUNT(G15:J15))^2/(COUNT(G15:J15)-1)+((V15^2)/COUNT(K15:M15))^2/(COUNT(K15:M15)-1)</f>
        <v>4.2777346360960991E-13</v>
      </c>
      <c r="AB15" s="368">
        <f t="shared" ref="AB15:AB20" si="15">ROUNDDOWN(Z15/AA15,0)</f>
        <v>18</v>
      </c>
      <c r="AC15" s="379">
        <f t="shared" ref="AC15:AC20" si="16">-_xlfn.T.INV(2*$AC$2,AB15)</f>
        <v>2.552379630182251</v>
      </c>
      <c r="AD15" s="373" t="str">
        <f t="shared" ref="AD15:AD20" si="17">IF(W15&lt;0,"Negative",IF(Y15&gt;AC15,"Positive","Negative"))</f>
        <v>Positive</v>
      </c>
      <c r="AE15" s="457" t="str">
        <f t="shared" si="11"/>
        <v>Dicyclohexylcarbodiimide</v>
      </c>
    </row>
    <row r="16" spans="1:42" x14ac:dyDescent="0.35">
      <c r="A16" s="350" t="str">
        <f>'NBT Depletion'!A16</f>
        <v>D</v>
      </c>
      <c r="B16" s="147">
        <f>'NBT Depletion'!B16</f>
        <v>6.8000000000000005E-2</v>
      </c>
      <c r="C16" s="148">
        <f>'NBT Depletion'!C16</f>
        <v>0.63</v>
      </c>
      <c r="D16" s="151">
        <f>'NBT Depletion'!D16</f>
        <v>0.30499999999999999</v>
      </c>
      <c r="E16" s="151">
        <f>'NBT Depletion'!E16</f>
        <v>0.33700000000000002</v>
      </c>
      <c r="F16" s="151">
        <f>'NBT Depletion'!F16</f>
        <v>0.29799999999999999</v>
      </c>
      <c r="G16" s="144">
        <f>'NBT Depletion'!G16</f>
        <v>0.64100000000000001</v>
      </c>
      <c r="H16" s="144">
        <f>'NBT Depletion'!H16</f>
        <v>0.64300000000000002</v>
      </c>
      <c r="I16" s="144">
        <f>'NBT Depletion'!I16</f>
        <v>0.64300000000000002</v>
      </c>
      <c r="J16" s="144">
        <f>'NBT Depletion'!J16</f>
        <v>0.63900000000000001</v>
      </c>
      <c r="K16" s="144">
        <f>'NBT Depletion'!K16</f>
        <v>7.0000000000000007E-2</v>
      </c>
      <c r="L16" s="144">
        <f>'NBT Depletion'!L16</f>
        <v>6.9000000000000006E-2</v>
      </c>
      <c r="M16" s="144">
        <f>'NBT Depletion'!M16</f>
        <v>6.9000000000000006E-2</v>
      </c>
      <c r="N16" t="str">
        <f>'NBT Depletion'!P16</f>
        <v>Triethanolamine</v>
      </c>
      <c r="P16" s="474"/>
      <c r="Q16" s="437"/>
      <c r="R16" s="473"/>
      <c r="S16" s="391">
        <f t="shared" si="12"/>
        <v>0.64149999999999996</v>
      </c>
      <c r="T16" s="153">
        <f t="shared" si="13"/>
        <v>1.9148542155126779E-3</v>
      </c>
      <c r="U16" s="391">
        <f t="shared" si="9"/>
        <v>6.9333333333333344E-2</v>
      </c>
      <c r="V16" s="153">
        <f t="shared" si="10"/>
        <v>5.7735026918962634E-4</v>
      </c>
      <c r="W16" s="153">
        <f>(Q14-Q17)-(S16-U16)</f>
        <v>-1.6666666666668162E-3</v>
      </c>
      <c r="X16" s="365">
        <f>SQRT(Q15^2/COUNT(C13:C20,D13:J13)+Q18^2/COUNT(B13:B20)+T16^2/COUNT(G16:J16)+V16^2/COUNT(K16:M16))</f>
        <v>1.7767663484258875E-3</v>
      </c>
      <c r="Y16" s="366">
        <f t="shared" si="14"/>
        <v>-0.93803367457031517</v>
      </c>
      <c r="Z16" s="381">
        <f>((Q15^2)/COUNT(C13:C20,D13:J13)+(Q18^2)/COUNT(B13:B20)+(T16^2)/COUNT(G16:J16)+(V16^2)/COUNT(K16:M16))^2</f>
        <v>9.9660091299285777E-12</v>
      </c>
      <c r="AA16" s="367">
        <f>((Q15^2)/COUNT(C13:C20,D13:J13))^2/(COUNT(C13:C20,D13:J13)-1)+((Q18^2)/COUNT(B13:B20))^2/(COUNT(B13:B20)-1)+((T16^2)/COUNT(G16:J16))^2/(COUNT(G16:J16)-1)+((V16^2)/COUNT(K16:M16))^2/(COUNT(K16:M16)-1)</f>
        <v>6.0239730620220316E-13</v>
      </c>
      <c r="AB16" s="368">
        <f t="shared" si="15"/>
        <v>16</v>
      </c>
      <c r="AC16" s="379">
        <f t="shared" si="16"/>
        <v>2.5834871852759917</v>
      </c>
      <c r="AD16" s="373" t="str">
        <f t="shared" si="17"/>
        <v>Negative</v>
      </c>
      <c r="AE16" s="457" t="str">
        <f t="shared" si="11"/>
        <v>Triethanolamine</v>
      </c>
    </row>
    <row r="17" spans="1:36" x14ac:dyDescent="0.35">
      <c r="A17" s="350" t="str">
        <f>'NBT Depletion'!A17</f>
        <v>E</v>
      </c>
      <c r="B17" s="147">
        <f>'NBT Depletion'!B17</f>
        <v>7.0000000000000007E-2</v>
      </c>
      <c r="C17" s="148">
        <f>'NBT Depletion'!C17</f>
        <v>0.63600000000000001</v>
      </c>
      <c r="D17" s="151">
        <f>'NBT Depletion'!D17</f>
        <v>0.433</v>
      </c>
      <c r="E17" s="151">
        <f>'NBT Depletion'!E17</f>
        <v>0.46300000000000002</v>
      </c>
      <c r="F17" s="151">
        <f>'NBT Depletion'!F17</f>
        <v>0.45100000000000001</v>
      </c>
      <c r="G17" s="352">
        <f>'NBT Depletion'!G17</f>
        <v>0.624</v>
      </c>
      <c r="H17" s="352">
        <f>'NBT Depletion'!H17</f>
        <v>0.625</v>
      </c>
      <c r="I17" s="352">
        <f>'NBT Depletion'!I17</f>
        <v>0.63</v>
      </c>
      <c r="J17" s="352">
        <f>'NBT Depletion'!J17</f>
        <v>0.624</v>
      </c>
      <c r="K17" s="352">
        <f>'NBT Depletion'!K17</f>
        <v>6.9000000000000006E-2</v>
      </c>
      <c r="L17" s="352">
        <f>'NBT Depletion'!L17</f>
        <v>7.0000000000000007E-2</v>
      </c>
      <c r="M17" s="352">
        <f>'NBT Depletion'!M17</f>
        <v>7.0000000000000007E-2</v>
      </c>
      <c r="N17" t="str">
        <f>'NBT Depletion'!P17</f>
        <v>Pentaerythritol triacrylate</v>
      </c>
      <c r="P17" s="472" t="s">
        <v>136</v>
      </c>
      <c r="Q17" s="153">
        <f>AVERAGE(B13:B20)</f>
        <v>6.9500000000000006E-2</v>
      </c>
      <c r="R17" s="473"/>
      <c r="S17" s="391">
        <f t="shared" si="12"/>
        <v>0.62575000000000003</v>
      </c>
      <c r="T17" s="153">
        <f t="shared" si="13"/>
        <v>2.872281323269017E-3</v>
      </c>
      <c r="U17" s="391">
        <f t="shared" si="9"/>
        <v>6.9666666666666668E-2</v>
      </c>
      <c r="V17" s="153">
        <f t="shared" si="10"/>
        <v>5.7735026918962634E-4</v>
      </c>
      <c r="W17" s="153">
        <f>(Q14-Q17)-(S17-U17)</f>
        <v>1.4416666666666411E-2</v>
      </c>
      <c r="X17" s="365">
        <f>SQRT(Q15^2/COUNT(C13:C20,D13:J13)+Q18^2/COUNT(B13:B20)+T17^2/COUNT(G17:J17)+V17^2/COUNT(K17:M17))</f>
        <v>2.0743027720735462E-3</v>
      </c>
      <c r="Y17" s="366">
        <f t="shared" si="14"/>
        <v>6.9501265007012467</v>
      </c>
      <c r="Z17" s="381">
        <f>((Q15^2)/COUNT(C13:C20,D13:J13)+(Q18^2)/COUNT(B13:B20)+(T17^2)/COUNT(G17:J17)+(V17^2)/COUNT(K17:M17))^2</f>
        <v>1.851350257976581E-11</v>
      </c>
      <c r="AA17" s="367">
        <f>((Q15^2)/COUNT(C13:C20,D13:J13))^2/(COUNT(C13:C20,D13:J13)-1)+((Q18^2)/COUNT(B13:B20))^2/(COUNT(B13:B20)-1)+((T17^2)/COUNT(G17:J17))^2/(COUNT(G17:J17)-1)+((V17^2)/COUNT(K17:M17))^2/(COUNT(K17:M17)-1)</f>
        <v>1.7402734636096149E-12</v>
      </c>
      <c r="AB17" s="368">
        <f t="shared" si="15"/>
        <v>10</v>
      </c>
      <c r="AC17" s="379">
        <f t="shared" si="16"/>
        <v>2.7637694581126966</v>
      </c>
      <c r="AD17" s="373" t="str">
        <f t="shared" si="17"/>
        <v>Positive</v>
      </c>
      <c r="AE17" s="457" t="str">
        <f t="shared" si="11"/>
        <v>Pentaerythritol triacrylate</v>
      </c>
    </row>
    <row r="18" spans="1:36" x14ac:dyDescent="0.35">
      <c r="A18" s="350" t="str">
        <f>'NBT Depletion'!A18</f>
        <v>F</v>
      </c>
      <c r="B18" s="147">
        <f>'NBT Depletion'!B18</f>
        <v>7.0000000000000007E-2</v>
      </c>
      <c r="C18" s="148">
        <f>'NBT Depletion'!C18</f>
        <v>0.64100000000000001</v>
      </c>
      <c r="D18" s="151">
        <f>'NBT Depletion'!D18</f>
        <v>0.51900000000000002</v>
      </c>
      <c r="E18" s="151">
        <f>'NBT Depletion'!E18</f>
        <v>0.54300000000000004</v>
      </c>
      <c r="F18" s="151">
        <f>'NBT Depletion'!F18</f>
        <v>0.54200000000000004</v>
      </c>
      <c r="G18" s="353">
        <f>'NBT Depletion'!G18</f>
        <v>0.64600000000000002</v>
      </c>
      <c r="H18" s="353">
        <f>'NBT Depletion'!H18</f>
        <v>0.64700000000000002</v>
      </c>
      <c r="I18" s="353">
        <f>'NBT Depletion'!I18</f>
        <v>0.64900000000000002</v>
      </c>
      <c r="J18" s="353">
        <f>'NBT Depletion'!J18</f>
        <v>0.64500000000000002</v>
      </c>
      <c r="K18" s="353">
        <f>'NBT Depletion'!K18</f>
        <v>7.0000000000000007E-2</v>
      </c>
      <c r="L18" s="353">
        <f>'NBT Depletion'!L18</f>
        <v>6.9000000000000006E-2</v>
      </c>
      <c r="M18" s="353">
        <f>'NBT Depletion'!M18</f>
        <v>6.9000000000000006E-2</v>
      </c>
      <c r="N18" t="str">
        <f>'NBT Depletion'!P18</f>
        <v>Clarithromycin</v>
      </c>
      <c r="P18" s="472" t="s">
        <v>137</v>
      </c>
      <c r="Q18" s="153">
        <f>STDEV(B13:B20)</f>
        <v>9.25820099772549E-4</v>
      </c>
      <c r="R18" s="473"/>
      <c r="S18" s="391">
        <f t="shared" si="12"/>
        <v>0.64675000000000005</v>
      </c>
      <c r="T18" s="153">
        <f t="shared" si="13"/>
        <v>1.7078251276599345E-3</v>
      </c>
      <c r="U18" s="391">
        <f t="shared" si="9"/>
        <v>6.9333333333333344E-2</v>
      </c>
      <c r="V18" s="153">
        <f t="shared" si="10"/>
        <v>5.7735026918962634E-4</v>
      </c>
      <c r="W18" s="153">
        <f>(Q14-Q17)-(S18-U18)</f>
        <v>-6.9166666666669041E-3</v>
      </c>
      <c r="X18" s="365">
        <f>SQRT(Q15^2/COUNT(C13:C20,D13:J13)+Q18^2/COUNT(B13:B20)+T18^2/COUNT(G18:J18)+V18^2/COUNT(K18:M18))</f>
        <v>1.7231943178001319E-3</v>
      </c>
      <c r="Y18" s="366">
        <f t="shared" si="14"/>
        <v>-4.0138634367694959</v>
      </c>
      <c r="Z18" s="381">
        <f>((Q15^2)/COUNT(C13:C20,D13:J13)+(Q18^2)/COUNT(B13:B20)+(T18^2)/COUNT(G18:J18)+(V18^2)/COUNT(K18:M18))^2</f>
        <v>8.8173283835915775E-12</v>
      </c>
      <c r="AA18" s="367">
        <f>((Q15^2)/COUNT(C13:C20,D13:J13))^2/(COUNT(C13:C20,D13:J13)-1)+((Q18^2)/COUNT(B13:B20))^2/(COUNT(B13:B20)-1)+((T18^2)/COUNT(G18:J18))^2/(COUNT(G18:J18)-1)+((V18^2)/COUNT(K18:M18))^2/(COUNT(K18:M18)-1)</f>
        <v>4.9953272286886947E-13</v>
      </c>
      <c r="AB18" s="368">
        <f t="shared" si="15"/>
        <v>17</v>
      </c>
      <c r="AC18" s="379">
        <f t="shared" si="16"/>
        <v>2.5669339837247178</v>
      </c>
      <c r="AD18" s="373" t="str">
        <f t="shared" si="17"/>
        <v>Negative</v>
      </c>
      <c r="AE18" s="457" t="str">
        <f t="shared" si="11"/>
        <v>Clarithromycin</v>
      </c>
    </row>
    <row r="19" spans="1:36" x14ac:dyDescent="0.35">
      <c r="A19" s="350" t="str">
        <f>'NBT Depletion'!A19</f>
        <v>G</v>
      </c>
      <c r="B19" s="147">
        <f>'NBT Depletion'!B19</f>
        <v>6.9000000000000006E-2</v>
      </c>
      <c r="C19" s="148">
        <f>'NBT Depletion'!C19</f>
        <v>0.64</v>
      </c>
      <c r="D19" s="151">
        <f>'NBT Depletion'!D19</f>
        <v>0.57399999999999995</v>
      </c>
      <c r="E19" s="151">
        <f>'NBT Depletion'!E19</f>
        <v>0.59499999999999997</v>
      </c>
      <c r="F19" s="151">
        <f>'NBT Depletion'!F19</f>
        <v>0.58799999999999997</v>
      </c>
      <c r="G19" s="354">
        <f>'NBT Depletion'!G19</f>
        <v>0.61799999999999999</v>
      </c>
      <c r="H19" s="354">
        <f>'NBT Depletion'!H19</f>
        <v>0.61499999999999999</v>
      </c>
      <c r="I19" s="354">
        <f>'NBT Depletion'!I19</f>
        <v>0.623</v>
      </c>
      <c r="J19" s="354">
        <f>'NBT Depletion'!J19</f>
        <v>0.62</v>
      </c>
      <c r="K19" s="354">
        <f>'NBT Depletion'!K19</f>
        <v>7.0000000000000007E-2</v>
      </c>
      <c r="L19" s="354">
        <f>'NBT Depletion'!L19</f>
        <v>7.3999999999999996E-2</v>
      </c>
      <c r="M19" s="354">
        <f>'NBT Depletion'!M19</f>
        <v>7.1999999999999995E-2</v>
      </c>
      <c r="N19" t="str">
        <f>'NBT Depletion'!P19</f>
        <v>o-Benzyl-p-chlorophenol</v>
      </c>
      <c r="P19" s="475"/>
      <c r="Q19" s="438"/>
      <c r="R19" s="473"/>
      <c r="S19" s="391">
        <f t="shared" si="12"/>
        <v>0.61899999999999999</v>
      </c>
      <c r="T19" s="153">
        <f t="shared" si="13"/>
        <v>3.3665016461206956E-3</v>
      </c>
      <c r="U19" s="391">
        <f t="shared" si="9"/>
        <v>7.2000000000000008E-2</v>
      </c>
      <c r="V19" s="153">
        <f t="shared" si="10"/>
        <v>1.9999999999999948E-3</v>
      </c>
      <c r="W19" s="153">
        <f>(Q14-Q17)-(S19-U19)</f>
        <v>2.3499999999999854E-2</v>
      </c>
      <c r="X19" s="365">
        <f>SQRT(Q15^2/COUNT(C13:C20,D13:J13)+Q18^2/COUNT(B13:B20)+T19^2/COUNT(G19:J19)+V19^2/COUNT(K19:M19))</f>
        <v>2.5091407983187288E-3</v>
      </c>
      <c r="Y19" s="366">
        <f t="shared" si="14"/>
        <v>9.3657558060297887</v>
      </c>
      <c r="Z19" s="381">
        <f>((Q15^2)/COUNT(C13:C20,D13:J13)+(Q18^2)/COUNT(B13:B20)+(T19^2)/COUNT(G19:J19)+(V19^2)/COUNT(K19:M19))^2</f>
        <v>3.963694082169359E-11</v>
      </c>
      <c r="AA19" s="367">
        <f>((Q15^2)/COUNT(C13:C20,D13:J13))^2/(COUNT(C13:C20,D13:J13)-1)+((Q18^2)/COUNT(B13:B20))^2/(COUNT(B13:B20)-1)+((T19^2)/COUNT(G19:J19))^2/(COUNT(G19:J19)-1)+((V19^2)/COUNT(K19:M19))^2/(COUNT(K19:M19)-1)</f>
        <v>3.8809466889182525E-12</v>
      </c>
      <c r="AB19" s="368">
        <f t="shared" si="15"/>
        <v>10</v>
      </c>
      <c r="AC19" s="379">
        <f t="shared" si="16"/>
        <v>2.7637694581126966</v>
      </c>
      <c r="AD19" s="373" t="str">
        <f t="shared" si="17"/>
        <v>Positive</v>
      </c>
      <c r="AE19" s="457" t="str">
        <f t="shared" si="11"/>
        <v>o-Benzyl-p-chlorophenol</v>
      </c>
    </row>
    <row r="20" spans="1:36" ht="15" thickBot="1" x14ac:dyDescent="0.4">
      <c r="A20" s="350" t="str">
        <f>'NBT Depletion'!A20</f>
        <v>H</v>
      </c>
      <c r="B20" s="147">
        <f>'NBT Depletion'!B20</f>
        <v>6.9000000000000006E-2</v>
      </c>
      <c r="C20" s="148">
        <f>'NBT Depletion'!C20</f>
        <v>0.63700000000000001</v>
      </c>
      <c r="D20" s="151">
        <f>'NBT Depletion'!D20</f>
        <v>0.60599999999999998</v>
      </c>
      <c r="E20" s="151">
        <f>'NBT Depletion'!E20</f>
        <v>0.61899999999999999</v>
      </c>
      <c r="F20" s="151">
        <f>'NBT Depletion'!F20</f>
        <v>0.61599999999999999</v>
      </c>
      <c r="G20" s="355">
        <f>'NBT Depletion'!G20</f>
        <v>0.64200000000000002</v>
      </c>
      <c r="H20" s="355">
        <f>'NBT Depletion'!H20</f>
        <v>0.63400000000000001</v>
      </c>
      <c r="I20" s="355">
        <f>'NBT Depletion'!I20</f>
        <v>0.63700000000000001</v>
      </c>
      <c r="J20" s="355">
        <f>'NBT Depletion'!J20</f>
        <v>0.63900000000000001</v>
      </c>
      <c r="K20" s="355">
        <f>'NBT Depletion'!K20</f>
        <v>8.2000000000000003E-2</v>
      </c>
      <c r="L20" s="355">
        <f>'NBT Depletion'!L20</f>
        <v>8.3000000000000004E-2</v>
      </c>
      <c r="M20" s="355">
        <f>'NBT Depletion'!M20</f>
        <v>8.3000000000000004E-2</v>
      </c>
      <c r="N20" t="str">
        <f>'NBT Depletion'!P20</f>
        <v>5-Amino-o-cresol</v>
      </c>
      <c r="P20" s="476"/>
      <c r="Q20" s="481"/>
      <c r="R20" s="478"/>
      <c r="S20" s="479">
        <f t="shared" si="12"/>
        <v>0.63800000000000001</v>
      </c>
      <c r="T20" s="339">
        <f t="shared" si="13"/>
        <v>3.3665016461206961E-3</v>
      </c>
      <c r="U20" s="479">
        <f t="shared" si="9"/>
        <v>8.2666666666666666E-2</v>
      </c>
      <c r="V20" s="339">
        <f t="shared" si="10"/>
        <v>5.7735026918962634E-4</v>
      </c>
      <c r="W20" s="339">
        <f>(Q14-Q17)-(S20-U20)</f>
        <v>1.516666666666644E-2</v>
      </c>
      <c r="X20" s="480">
        <f>SQRT(Q15^2/COUNT(C13:C20,D13:J13)+Q18^2/COUNT(B13:B20)+T20^2/COUNT(G20:J20)+V20^2/COUNT(K20:M20))</f>
        <v>2.2524576185947057E-3</v>
      </c>
      <c r="Y20" s="370">
        <f t="shared" si="14"/>
        <v>6.7333860319772985</v>
      </c>
      <c r="Z20" s="382">
        <f>((Q15^2)/COUNT(C13:C20,D13:J13)+(Q18^2)/COUNT(B13:B20)+(T20^2)/COUNT(G20:J20)+(V20^2)/COUNT(K20:M20))^2</f>
        <v>2.5741065092484596E-11</v>
      </c>
      <c r="AA20" s="371">
        <f>((Q15^2)/COUNT(C13:C20,D13:J13))^2/(COUNT(C13:C20,D13:J13)-1)+((Q18^2)/COUNT(B13:B20))^2/(COUNT(B13:B20)-1)+((T20^2)/COUNT(G20:J20))^2/(COUNT(G20:J20)-1)+((V20^2)/COUNT(K20:M20))^2/(COUNT(K20:M20)-1)</f>
        <v>2.9982306395355463E-12</v>
      </c>
      <c r="AB20" s="372">
        <f t="shared" si="15"/>
        <v>8</v>
      </c>
      <c r="AC20" s="380">
        <f t="shared" si="16"/>
        <v>2.8964594477096224</v>
      </c>
      <c r="AD20" s="374" t="str">
        <f t="shared" si="17"/>
        <v>Positive</v>
      </c>
      <c r="AE20" s="457" t="str">
        <f t="shared" si="11"/>
        <v>5-Amino-o-cresol</v>
      </c>
    </row>
    <row r="21" spans="1:36" x14ac:dyDescent="0.35">
      <c r="P21" s="482"/>
      <c r="Q21" s="483"/>
      <c r="R21" s="484"/>
      <c r="S21" s="485"/>
      <c r="T21" s="485"/>
      <c r="U21" s="485"/>
      <c r="V21" s="485"/>
      <c r="W21" s="485"/>
      <c r="X21" s="483"/>
      <c r="Y21" s="486"/>
      <c r="Z21" s="487"/>
      <c r="AA21" s="488"/>
      <c r="AB21" s="489"/>
      <c r="AC21" s="490"/>
      <c r="AD21" s="489"/>
      <c r="AE21" s="491"/>
    </row>
    <row r="22" spans="1:36" ht="15" thickBot="1" x14ac:dyDescent="0.4">
      <c r="A22" s="350" t="str">
        <f>'NBT Depletion'!A22</f>
        <v>35 min</v>
      </c>
      <c r="B22" s="350">
        <f>'NBT Depletion'!B22</f>
        <v>1</v>
      </c>
      <c r="C22" s="350">
        <f>'NBT Depletion'!C22</f>
        <v>2</v>
      </c>
      <c r="D22" s="350">
        <f>'NBT Depletion'!D22</f>
        <v>3</v>
      </c>
      <c r="E22" s="350">
        <f>'NBT Depletion'!E22</f>
        <v>4</v>
      </c>
      <c r="F22" s="350">
        <f>'NBT Depletion'!F22</f>
        <v>5</v>
      </c>
      <c r="G22" s="350">
        <f>'NBT Depletion'!G22</f>
        <v>6</v>
      </c>
      <c r="H22" s="350">
        <f>'NBT Depletion'!H22</f>
        <v>7</v>
      </c>
      <c r="I22" s="350">
        <f>'NBT Depletion'!I22</f>
        <v>8</v>
      </c>
      <c r="J22" s="350">
        <f>'NBT Depletion'!J22</f>
        <v>9</v>
      </c>
      <c r="K22" s="350">
        <f>'NBT Depletion'!K22</f>
        <v>10</v>
      </c>
      <c r="L22" s="350">
        <f>'NBT Depletion'!L22</f>
        <v>11</v>
      </c>
      <c r="M22" s="350">
        <f>'NBT Depletion'!M22</f>
        <v>12</v>
      </c>
      <c r="P22" s="482"/>
      <c r="Q22" s="483"/>
      <c r="R22" s="484"/>
      <c r="S22" s="485"/>
      <c r="T22" s="485"/>
      <c r="U22" s="485"/>
      <c r="V22" s="485"/>
      <c r="W22" s="485"/>
      <c r="X22" s="483"/>
      <c r="Y22" s="486"/>
      <c r="Z22" s="487"/>
      <c r="AA22" s="488"/>
      <c r="AB22" s="489"/>
      <c r="AC22" s="490"/>
      <c r="AD22" s="489"/>
      <c r="AE22" s="491"/>
    </row>
    <row r="23" spans="1:36" x14ac:dyDescent="0.35">
      <c r="A23" s="350" t="str">
        <f>'NBT Depletion'!A23</f>
        <v>A</v>
      </c>
      <c r="B23" s="147">
        <f>'NBT Depletion'!B23</f>
        <v>6.9000000000000006E-2</v>
      </c>
      <c r="C23" s="148">
        <f>'NBT Depletion'!C23</f>
        <v>0.63200000000000001</v>
      </c>
      <c r="D23" s="148">
        <f>'NBT Depletion'!D23</f>
        <v>0.63600000000000001</v>
      </c>
      <c r="E23" s="148" t="str">
        <f>'NBT Depletion'!E23</f>
        <v/>
      </c>
      <c r="F23" s="148">
        <f>'NBT Depletion'!F23</f>
        <v>0.64400000000000002</v>
      </c>
      <c r="G23" s="148">
        <f>'NBT Depletion'!G23</f>
        <v>0.64400000000000002</v>
      </c>
      <c r="H23" s="148">
        <f>'NBT Depletion'!H23</f>
        <v>0.64400000000000002</v>
      </c>
      <c r="I23" s="148">
        <f>'NBT Depletion'!I23</f>
        <v>0.64700000000000002</v>
      </c>
      <c r="J23" s="148">
        <f>'NBT Depletion'!J23</f>
        <v>0.64400000000000002</v>
      </c>
      <c r="K23" s="348"/>
      <c r="L23" s="348"/>
      <c r="M23" s="348"/>
      <c r="P23" s="630" t="str">
        <f>A22</f>
        <v>35 min</v>
      </c>
      <c r="Q23" s="607"/>
      <c r="R23" s="607"/>
      <c r="S23" s="607"/>
      <c r="T23" s="607"/>
      <c r="U23" s="607"/>
      <c r="V23" s="607"/>
      <c r="W23" s="607"/>
      <c r="X23" s="607"/>
      <c r="Y23" s="607"/>
      <c r="Z23" s="607"/>
      <c r="AA23" s="607"/>
      <c r="AB23" s="607"/>
      <c r="AC23" s="607"/>
      <c r="AD23" s="608"/>
    </row>
    <row r="24" spans="1:36" x14ac:dyDescent="0.35">
      <c r="A24" s="350" t="str">
        <f>'NBT Depletion'!A24</f>
        <v>B</v>
      </c>
      <c r="B24" s="147">
        <f>'NBT Depletion'!B24</f>
        <v>7.1999999999999995E-2</v>
      </c>
      <c r="C24" s="148">
        <f>'NBT Depletion'!C24</f>
        <v>0.63600000000000001</v>
      </c>
      <c r="D24" s="151">
        <f>'NBT Depletion'!D24</f>
        <v>9.0999999999999998E-2</v>
      </c>
      <c r="E24" s="151">
        <f>'NBT Depletion'!E24</f>
        <v>8.6999999999999994E-2</v>
      </c>
      <c r="F24" s="151">
        <f>'NBT Depletion'!F24</f>
        <v>8.2000000000000003E-2</v>
      </c>
      <c r="G24" s="351">
        <f>'NBT Depletion'!G24</f>
        <v>0.628</v>
      </c>
      <c r="H24" s="351">
        <f>'NBT Depletion'!H24</f>
        <v>0.63300000000000001</v>
      </c>
      <c r="I24" s="351">
        <f>'NBT Depletion'!I24</f>
        <v>0.63700000000000001</v>
      </c>
      <c r="J24" s="351">
        <f>'NBT Depletion'!J24</f>
        <v>0.628</v>
      </c>
      <c r="K24" s="351">
        <f>'NBT Depletion'!K24</f>
        <v>7.1999999999999995E-2</v>
      </c>
      <c r="L24" s="351">
        <f>'NBT Depletion'!L24</f>
        <v>7.0999999999999994E-2</v>
      </c>
      <c r="M24" s="351">
        <f>'NBT Depletion'!M24</f>
        <v>7.1999999999999995E-2</v>
      </c>
      <c r="N24" t="str">
        <f>'NBT Depletion'!P24</f>
        <v>Tri-n-octylphospine oxide</v>
      </c>
      <c r="P24" s="472" t="s">
        <v>134</v>
      </c>
      <c r="Q24" s="153">
        <f>AVERAGE(C23:C30,D23:J23)</f>
        <v>0.63878571428571429</v>
      </c>
      <c r="R24" s="473"/>
      <c r="S24" s="391">
        <f>AVERAGE(G24:J24)</f>
        <v>0.63150000000000006</v>
      </c>
      <c r="T24" s="153">
        <f>STDEV(G24:J24)</f>
        <v>4.358898943540677E-3</v>
      </c>
      <c r="U24" s="391">
        <f t="shared" ref="U24:U30" si="18">AVERAGE(K24:M24)</f>
        <v>7.1666666666666656E-2</v>
      </c>
      <c r="V24" s="153">
        <f t="shared" ref="V24:V30" si="19">STDEV(K24:M24)</f>
        <v>5.7735026918962634E-4</v>
      </c>
      <c r="W24" s="153">
        <f>(Q24-Q27)-(S24-U24)</f>
        <v>8.8273809523808922E-3</v>
      </c>
      <c r="X24" s="365">
        <f>SQRT(Q25^2/COUNT(C23:C30,D23:J23)+Q28^2/COUNT(B23:B30)+T24^2/COUNT(G24:J24)+V24^2/COUNT(K24:M24))</f>
        <v>2.6389132743739135E-3</v>
      </c>
      <c r="Y24" s="366">
        <f>W24/X24</f>
        <v>3.345081870670874</v>
      </c>
      <c r="Z24" s="381">
        <f>((Q25^2)/COUNT(C23:C30,D23:J23)+(Q28^2)/COUNT(B23:B30)+(T24^2)/COUNT(G24:J24)+(V24^2)/COUNT(K24:M24))^2</f>
        <v>4.8495391638615075E-11</v>
      </c>
      <c r="AA24" s="367">
        <f>((Q25^2)/COUNT(C23:C30,D23:J23))^2/(COUNT(C23:C30,D23:J23)-1)+((Q28^2)/COUNT(B23:B30))^2/(COUNT(B23:B30)-1)+((T24^2)/COUNT(G24:J24))^2/(COUNT(G24:J24)-1)+((V24^2)/COUNT(K24:M24))^2/(COUNT(K24:M24)-1)</f>
        <v>7.8307237568461972E-12</v>
      </c>
      <c r="AB24" s="368">
        <f>ROUNDDOWN(Z24/AA24,0)</f>
        <v>6</v>
      </c>
      <c r="AC24" s="379">
        <f>-_xlfn.T.INV(2*$AC$2,AB24)</f>
        <v>3.1426684032909828</v>
      </c>
      <c r="AD24" s="373" t="str">
        <f>IF(W24&lt;0,"Negative",IF(Y24&gt;AC24,"Positive","Negative"))</f>
        <v>Positive</v>
      </c>
      <c r="AE24" s="457" t="str">
        <f t="shared" ref="AE24:AE30" si="20">N24</f>
        <v>Tri-n-octylphospine oxide</v>
      </c>
    </row>
    <row r="25" spans="1:36" x14ac:dyDescent="0.35">
      <c r="A25" s="350" t="str">
        <f>'NBT Depletion'!A25</f>
        <v>C</v>
      </c>
      <c r="B25" s="147">
        <f>'NBT Depletion'!B25</f>
        <v>7.0000000000000007E-2</v>
      </c>
      <c r="C25" s="148">
        <f>'NBT Depletion'!C25</f>
        <v>0.63700000000000001</v>
      </c>
      <c r="D25" s="151">
        <f>'NBT Depletion'!D25</f>
        <v>0.1</v>
      </c>
      <c r="E25" s="151">
        <f>'NBT Depletion'!E25</f>
        <v>0.13300000000000001</v>
      </c>
      <c r="F25" s="151">
        <f>'NBT Depletion'!F25</f>
        <v>9.9000000000000005E-2</v>
      </c>
      <c r="G25" s="155">
        <f>'NBT Depletion'!G25</f>
        <v>0.60599999999999998</v>
      </c>
      <c r="H25" s="155">
        <f>'NBT Depletion'!H25</f>
        <v>0.60299999999999998</v>
      </c>
      <c r="I25" s="155">
        <f>'NBT Depletion'!I25</f>
        <v>0.60499999999999998</v>
      </c>
      <c r="J25" s="155">
        <f>'NBT Depletion'!J25</f>
        <v>0.60599999999999998</v>
      </c>
      <c r="K25" s="155">
        <f>'NBT Depletion'!K25</f>
        <v>6.9000000000000006E-2</v>
      </c>
      <c r="L25" s="155">
        <f>'NBT Depletion'!L25</f>
        <v>7.0000000000000007E-2</v>
      </c>
      <c r="M25" s="155">
        <f>'NBT Depletion'!M25</f>
        <v>7.0999999999999994E-2</v>
      </c>
      <c r="N25" t="str">
        <f>'NBT Depletion'!P25</f>
        <v>Dicyclohexylcarbodiimide</v>
      </c>
      <c r="P25" s="472" t="s">
        <v>135</v>
      </c>
      <c r="Q25" s="153">
        <f>STDEV(C23:C30,D23:J23)</f>
        <v>5.2649577604934562E-3</v>
      </c>
      <c r="R25" s="473"/>
      <c r="S25" s="391">
        <f t="shared" ref="S25:S30" si="21">AVERAGE(G25:J25)</f>
        <v>0.60499999999999998</v>
      </c>
      <c r="T25" s="153">
        <f t="shared" ref="T25:T30" si="22">STDEV(G25:J25)</f>
        <v>1.4142135623730965E-3</v>
      </c>
      <c r="U25" s="391">
        <f t="shared" si="18"/>
        <v>7.0000000000000007E-2</v>
      </c>
      <c r="V25" s="153">
        <f t="shared" si="19"/>
        <v>9.9999999999999395E-4</v>
      </c>
      <c r="W25" s="153">
        <f>(Q24-Q27)-(S25-U25)</f>
        <v>3.3660714285714377E-2</v>
      </c>
      <c r="X25" s="365">
        <f>SQRT(Q25^2/COUNT(C23:C30,D23:J23)+Q28^2/COUNT(B23:B30)+T25^2/COUNT(G25:J25)+V25^2/COUNT(K25:M25))</f>
        <v>1.7135009459842917E-3</v>
      </c>
      <c r="Y25" s="366">
        <f t="shared" ref="Y25:Y30" si="23">W25/X25</f>
        <v>19.644409514100705</v>
      </c>
      <c r="Z25" s="381">
        <f>((Q25^2)/COUNT(C23:C30,D23:J23)+(Q28^2)/COUNT(B23:B30)+(T25^2)/COUNT(G25:J25)+(V25^2)/COUNT(K25:M25))^2</f>
        <v>8.6205980156814407E-12</v>
      </c>
      <c r="AA25" s="367">
        <f>((Q25^2)/COUNT(C23:C30,D23:J23))^2/(COUNT(C23:C30,D23:J23)-1)+((Q28^2)/COUNT(B23:B30))^2/(COUNT(B23:B30)-1)+((T25^2)/COUNT(G25:J25))^2/(COUNT(G25:J25)-1)+((V25^2)/COUNT(K25:M25))^2/(COUNT(K25:M25)-1)</f>
        <v>4.426064728955569E-13</v>
      </c>
      <c r="AB25" s="368">
        <f t="shared" ref="AB25:AB30" si="24">ROUNDDOWN(Z25/AA25,0)</f>
        <v>19</v>
      </c>
      <c r="AC25" s="379">
        <f t="shared" ref="AC25:AC30" si="25">-_xlfn.T.INV(2*$AC$2,AB25)</f>
        <v>2.5394831906239612</v>
      </c>
      <c r="AD25" s="373" t="str">
        <f t="shared" ref="AD25:AD30" si="26">IF(W25&lt;0,"Negative",IF(Y25&gt;AC25,"Positive","Negative"))</f>
        <v>Positive</v>
      </c>
      <c r="AE25" s="457" t="str">
        <f t="shared" si="20"/>
        <v>Dicyclohexylcarbodiimide</v>
      </c>
    </row>
    <row r="26" spans="1:36" x14ac:dyDescent="0.35">
      <c r="A26" s="350" t="str">
        <f>'NBT Depletion'!A26</f>
        <v>D</v>
      </c>
      <c r="B26" s="147">
        <f>'NBT Depletion'!B26</f>
        <v>6.9000000000000006E-2</v>
      </c>
      <c r="C26" s="148">
        <f>'NBT Depletion'!C26</f>
        <v>0.629</v>
      </c>
      <c r="D26" s="151">
        <f>'NBT Depletion'!D26</f>
        <v>0.19500000000000001</v>
      </c>
      <c r="E26" s="151">
        <f>'NBT Depletion'!E26</f>
        <v>0.222</v>
      </c>
      <c r="F26" s="151">
        <f>'NBT Depletion'!F26</f>
        <v>0.186</v>
      </c>
      <c r="G26" s="144">
        <f>'NBT Depletion'!G26</f>
        <v>0.64</v>
      </c>
      <c r="H26" s="144">
        <f>'NBT Depletion'!H26</f>
        <v>0.64100000000000001</v>
      </c>
      <c r="I26" s="144">
        <f>'NBT Depletion'!I26</f>
        <v>0.64100000000000001</v>
      </c>
      <c r="J26" s="144">
        <f>'NBT Depletion'!J26</f>
        <v>0.63700000000000001</v>
      </c>
      <c r="K26" s="144">
        <f>'NBT Depletion'!K26</f>
        <v>7.0000000000000007E-2</v>
      </c>
      <c r="L26" s="144">
        <f>'NBT Depletion'!L26</f>
        <v>7.0000000000000007E-2</v>
      </c>
      <c r="M26" s="144">
        <f>'NBT Depletion'!M26</f>
        <v>7.0000000000000007E-2</v>
      </c>
      <c r="N26" t="str">
        <f>'NBT Depletion'!P26</f>
        <v>Triethanolamine</v>
      </c>
      <c r="P26" s="474"/>
      <c r="Q26" s="437"/>
      <c r="R26" s="473"/>
      <c r="S26" s="391">
        <f t="shared" si="21"/>
        <v>0.63975000000000004</v>
      </c>
      <c r="T26" s="153">
        <f t="shared" si="22"/>
        <v>1.8929694486000928E-3</v>
      </c>
      <c r="U26" s="391">
        <f t="shared" si="18"/>
        <v>7.0000000000000007E-2</v>
      </c>
      <c r="V26" s="153">
        <f t="shared" si="19"/>
        <v>0</v>
      </c>
      <c r="W26" s="153">
        <f>(Q24-Q27)-(S26-U26)</f>
        <v>-1.0892857142856815E-3</v>
      </c>
      <c r="X26" s="365">
        <f>SQRT(Q25^2/COUNT(C23:C30,D23:J23)+Q28^2/COUNT(B23:B30)+T26^2/COUNT(G26:J26)+V26^2/COUNT(K26:M26))</f>
        <v>1.7316424261056517E-3</v>
      </c>
      <c r="Y26" s="366">
        <f t="shared" si="23"/>
        <v>-0.62904771670177451</v>
      </c>
      <c r="Z26" s="381">
        <f>((Q25^2)/COUNT(C23:C30,D23:J23)+(Q28^2)/COUNT(B23:B30)+(T26^2)/COUNT(G26:J26)+(V26^2)/COUNT(K26:M26))^2</f>
        <v>8.9915149521675993E-12</v>
      </c>
      <c r="AA26" s="367">
        <f>((Q25^2)/COUNT(C23:C30,D23:J23))^2/(COUNT(C23:C30,D23:J23)-1)+((Q28^2)/COUNT(B23:B30))^2/(COUNT(B23:B30)-1)+((T26^2)/COUNT(G26:J26))^2/(COUNT(G26:J26)-1)+((V26^2)/COUNT(K26:M26))^2/(COUNT(K26:M26)-1)</f>
        <v>5.71223371043707E-13</v>
      </c>
      <c r="AB26" s="368">
        <f t="shared" si="24"/>
        <v>15</v>
      </c>
      <c r="AC26" s="379">
        <f t="shared" si="25"/>
        <v>2.6024802950111221</v>
      </c>
      <c r="AD26" s="373" t="str">
        <f t="shared" si="26"/>
        <v>Negative</v>
      </c>
      <c r="AE26" s="457" t="str">
        <f t="shared" si="20"/>
        <v>Triethanolamine</v>
      </c>
    </row>
    <row r="27" spans="1:36" x14ac:dyDescent="0.35">
      <c r="A27" s="350" t="str">
        <f>'NBT Depletion'!A27</f>
        <v>E</v>
      </c>
      <c r="B27" s="147">
        <f>'NBT Depletion'!B27</f>
        <v>7.0000000000000007E-2</v>
      </c>
      <c r="C27" s="148">
        <f>'NBT Depletion'!C27</f>
        <v>0.63500000000000001</v>
      </c>
      <c r="D27" s="151">
        <f>'NBT Depletion'!D27</f>
        <v>0.33600000000000002</v>
      </c>
      <c r="E27" s="151">
        <f>'NBT Depletion'!E27</f>
        <v>0.36899999999999999</v>
      </c>
      <c r="F27" s="151">
        <f>'NBT Depletion'!F27</f>
        <v>0.35399999999999998</v>
      </c>
      <c r="G27" s="352">
        <f>'NBT Depletion'!G27</f>
        <v>0.61399999999999999</v>
      </c>
      <c r="H27" s="352">
        <f>'NBT Depletion'!H27</f>
        <v>0.61399999999999999</v>
      </c>
      <c r="I27" s="352">
        <f>'NBT Depletion'!I27</f>
        <v>0.61899999999999999</v>
      </c>
      <c r="J27" s="352">
        <f>'NBT Depletion'!J27</f>
        <v>0.61399999999999999</v>
      </c>
      <c r="K27" s="352">
        <f>'NBT Depletion'!K27</f>
        <v>6.9000000000000006E-2</v>
      </c>
      <c r="L27" s="352">
        <f>'NBT Depletion'!L27</f>
        <v>7.0000000000000007E-2</v>
      </c>
      <c r="M27" s="352">
        <f>'NBT Depletion'!M27</f>
        <v>7.0999999999999994E-2</v>
      </c>
      <c r="N27" t="str">
        <f>'NBT Depletion'!P27</f>
        <v>Pentaerythritol triacrylate</v>
      </c>
      <c r="P27" s="472" t="s">
        <v>136</v>
      </c>
      <c r="Q27" s="153">
        <f>AVERAGE(B23:B30)</f>
        <v>7.0125000000000007E-2</v>
      </c>
      <c r="R27" s="473"/>
      <c r="S27" s="391">
        <f t="shared" si="21"/>
        <v>0.61524999999999996</v>
      </c>
      <c r="T27" s="153">
        <f t="shared" si="22"/>
        <v>2.5000000000000022E-3</v>
      </c>
      <c r="U27" s="391">
        <f t="shared" si="18"/>
        <v>7.0000000000000007E-2</v>
      </c>
      <c r="V27" s="153">
        <f t="shared" si="19"/>
        <v>9.9999999999999395E-4</v>
      </c>
      <c r="W27" s="153">
        <f>(Q24-Q27)-(S27-U27)</f>
        <v>2.3410714285714285E-2</v>
      </c>
      <c r="X27" s="365">
        <f>SQRT(Q25^2/COUNT(C23:C30,D23:J23)+Q28^2/COUNT(B23:B30)+T27^2/COUNT(G27:J27)+V27^2/COUNT(K27:M27))</f>
        <v>1.9996463417037186E-3</v>
      </c>
      <c r="Y27" s="366">
        <f t="shared" si="23"/>
        <v>11.707427357263647</v>
      </c>
      <c r="Z27" s="381">
        <f>((Q25^2)/COUNT(C23:C30,D23:J23)+(Q28^2)/COUNT(B23:B30)+(T27^2)/COUNT(G27:J27)+(V27^2)/COUNT(K27:M27))^2</f>
        <v>1.5988685935945714E-11</v>
      </c>
      <c r="AA27" s="367">
        <f>((Q25^2)/COUNT(C23:C30,D23:J23))^2/(COUNT(C23:C30,D23:J23)-1)+((Q28^2)/COUNT(B23:B30))^2/(COUNT(B23:B30)-1)+((T27^2)/COUNT(G27:J27))^2/(COUNT(G27:J27)-1)+((V27^2)/COUNT(K27:M27))^2/(COUNT(K27:M27)-1)</f>
        <v>1.1730752228955596E-12</v>
      </c>
      <c r="AB27" s="368">
        <f t="shared" si="24"/>
        <v>13</v>
      </c>
      <c r="AC27" s="379">
        <f t="shared" si="25"/>
        <v>2.650308837912192</v>
      </c>
      <c r="AD27" s="373" t="str">
        <f t="shared" si="26"/>
        <v>Positive</v>
      </c>
      <c r="AE27" s="457" t="str">
        <f t="shared" si="20"/>
        <v>Pentaerythritol triacrylate</v>
      </c>
    </row>
    <row r="28" spans="1:36" x14ac:dyDescent="0.35">
      <c r="A28" s="350" t="str">
        <f>'NBT Depletion'!A28</f>
        <v>F</v>
      </c>
      <c r="B28" s="147">
        <f>'NBT Depletion'!B28</f>
        <v>7.0999999999999994E-2</v>
      </c>
      <c r="C28" s="148">
        <f>'NBT Depletion'!C28</f>
        <v>0.64</v>
      </c>
      <c r="D28" s="151">
        <f>'NBT Depletion'!D28</f>
        <v>0.45400000000000001</v>
      </c>
      <c r="E28" s="151">
        <f>'NBT Depletion'!E28</f>
        <v>0.48</v>
      </c>
      <c r="F28" s="151">
        <f>'NBT Depletion'!F28</f>
        <v>0.47699999999999998</v>
      </c>
      <c r="G28" s="353">
        <f>'NBT Depletion'!G28</f>
        <v>0.64500000000000002</v>
      </c>
      <c r="H28" s="353">
        <f>'NBT Depletion'!H28</f>
        <v>0.64400000000000002</v>
      </c>
      <c r="I28" s="353">
        <f>'NBT Depletion'!I28</f>
        <v>0.64600000000000002</v>
      </c>
      <c r="J28" s="353">
        <f>'NBT Depletion'!J28</f>
        <v>0.64200000000000002</v>
      </c>
      <c r="K28" s="353">
        <f>'NBT Depletion'!K28</f>
        <v>7.0000000000000007E-2</v>
      </c>
      <c r="L28" s="353">
        <f>'NBT Depletion'!L28</f>
        <v>7.0000000000000007E-2</v>
      </c>
      <c r="M28" s="353">
        <f>'NBT Depletion'!M28</f>
        <v>7.0000000000000007E-2</v>
      </c>
      <c r="N28" t="str">
        <f>'NBT Depletion'!P28</f>
        <v>Clarithromycin</v>
      </c>
      <c r="P28" s="472" t="s">
        <v>137</v>
      </c>
      <c r="Q28" s="153">
        <f>STDEV(B23:B30)</f>
        <v>9.9103120896511026E-4</v>
      </c>
      <c r="R28" s="473"/>
      <c r="S28" s="391">
        <f t="shared" si="21"/>
        <v>0.64424999999999999</v>
      </c>
      <c r="T28" s="153">
        <f t="shared" si="22"/>
        <v>1.7078251276599345E-3</v>
      </c>
      <c r="U28" s="391">
        <f t="shared" si="18"/>
        <v>7.0000000000000007E-2</v>
      </c>
      <c r="V28" s="153">
        <f t="shared" si="19"/>
        <v>0</v>
      </c>
      <c r="W28" s="153">
        <f>(Q24-Q27)-(S28-U28)</f>
        <v>-5.58928571428563E-3</v>
      </c>
      <c r="X28" s="365">
        <f>SQRT(Q25^2/COUNT(C23:C30,D23:J23)+Q28^2/COUNT(B23:B30)+T28^2/COUNT(G28:J28)+V28^2/COUNT(K28:M28))</f>
        <v>1.68283059908667E-3</v>
      </c>
      <c r="Y28" s="366">
        <f t="shared" si="23"/>
        <v>-3.3213596884434637</v>
      </c>
      <c r="Z28" s="381">
        <f>((Q25^2)/COUNT(C23:C30,D23:J23)+(Q28^2)/COUNT(B23:B30)+(T28^2)/COUNT(G28:J28)+(V28^2)/COUNT(K28:M28))^2</f>
        <v>8.0197642326490205E-12</v>
      </c>
      <c r="AA28" s="367">
        <f>((Q25^2)/COUNT(C23:C30,D23:J23))^2/(COUNT(C23:C30,D23:J23)-1)+((Q28^2)/COUNT(B23:B30))^2/(COUNT(B23:B30)-1)+((T28^2)/COUNT(G28:J28))^2/(COUNT(G28:J28)-1)+((V28^2)/COUNT(K28:M28))^2/(COUNT(K28:M28)-1)</f>
        <v>4.8094559326592886E-13</v>
      </c>
      <c r="AB28" s="368">
        <f t="shared" si="24"/>
        <v>16</v>
      </c>
      <c r="AC28" s="379">
        <f t="shared" si="25"/>
        <v>2.5834871852759917</v>
      </c>
      <c r="AD28" s="373" t="str">
        <f t="shared" si="26"/>
        <v>Negative</v>
      </c>
      <c r="AE28" s="457" t="str">
        <f t="shared" si="20"/>
        <v>Clarithromycin</v>
      </c>
    </row>
    <row r="29" spans="1:36" x14ac:dyDescent="0.35">
      <c r="A29" s="350" t="str">
        <f>'NBT Depletion'!A29</f>
        <v>G</v>
      </c>
      <c r="B29" s="147">
        <f>'NBT Depletion'!B29</f>
        <v>7.0000000000000007E-2</v>
      </c>
      <c r="C29" s="148">
        <f>'NBT Depletion'!C29</f>
        <v>0.63900000000000001</v>
      </c>
      <c r="D29" s="151">
        <f>'NBT Depletion'!D29</f>
        <v>0.53800000000000003</v>
      </c>
      <c r="E29" s="151">
        <f>'NBT Depletion'!E29</f>
        <v>0.55800000000000005</v>
      </c>
      <c r="F29" s="151">
        <f>'NBT Depletion'!F29</f>
        <v>0.55000000000000004</v>
      </c>
      <c r="G29" s="354">
        <f>'NBT Depletion'!G29</f>
        <v>0.60699999999999998</v>
      </c>
      <c r="H29" s="354">
        <f>'NBT Depletion'!H29</f>
        <v>0.60299999999999998</v>
      </c>
      <c r="I29" s="354">
        <f>'NBT Depletion'!I29</f>
        <v>0.61199999999999999</v>
      </c>
      <c r="J29" s="354">
        <f>'NBT Depletion'!J29</f>
        <v>0.60899999999999999</v>
      </c>
      <c r="K29" s="354">
        <f>'NBT Depletion'!K29</f>
        <v>7.0999999999999994E-2</v>
      </c>
      <c r="L29" s="354">
        <f>'NBT Depletion'!L29</f>
        <v>7.4999999999999997E-2</v>
      </c>
      <c r="M29" s="354">
        <f>'NBT Depletion'!M29</f>
        <v>7.2999999999999995E-2</v>
      </c>
      <c r="N29" t="str">
        <f>'NBT Depletion'!P29</f>
        <v>o-Benzyl-p-chlorophenol</v>
      </c>
      <c r="P29" s="475"/>
      <c r="Q29" s="438"/>
      <c r="R29" s="473"/>
      <c r="S29" s="391">
        <f t="shared" si="21"/>
        <v>0.60775000000000001</v>
      </c>
      <c r="T29" s="153">
        <f t="shared" si="22"/>
        <v>3.7749172176353785E-3</v>
      </c>
      <c r="U29" s="391">
        <f t="shared" si="18"/>
        <v>7.2999999999999995E-2</v>
      </c>
      <c r="V29" s="153">
        <f t="shared" si="19"/>
        <v>2.0000000000000018E-3</v>
      </c>
      <c r="W29" s="153">
        <f>(Q24-Q27)-(S29-U29)</f>
        <v>3.3910714285714239E-2</v>
      </c>
      <c r="X29" s="365">
        <f>SQRT(Q25^2/COUNT(C23:C30,D23:J23)+Q28^2/COUNT(B23:B30)+T29^2/COUNT(G29:J29)+V29^2/COUNT(K29:M29))</f>
        <v>2.6454839806525146E-3</v>
      </c>
      <c r="Y29" s="366">
        <f t="shared" si="23"/>
        <v>12.818340437408388</v>
      </c>
      <c r="Z29" s="381">
        <f>((Q25^2)/COUNT(C23:C30,D23:J23)+(Q28^2)/COUNT(B23:B30)+(T29^2)/COUNT(G29:J29)+(V29^2)/COUNT(K29:M29))^2</f>
        <v>4.898019888728024E-11</v>
      </c>
      <c r="AA29" s="367">
        <f>((Q25^2)/COUNT(C23:C30,D23:J23))^2/(COUNT(C23:C30,D23:J23)-1)+((Q28^2)/COUNT(B23:B30))^2/(COUNT(B23:B30)-1)+((T29^2)/COUNT(G29:J29))^2/(COUNT(G29:J29)-1)+((V29^2)/COUNT(K29:M29))^2/(COUNT(K29:M29)-1)</f>
        <v>5.4230752228955778E-12</v>
      </c>
      <c r="AB29" s="368">
        <f t="shared" si="24"/>
        <v>9</v>
      </c>
      <c r="AC29" s="379">
        <f t="shared" si="25"/>
        <v>2.8214379250258084</v>
      </c>
      <c r="AD29" s="373" t="str">
        <f t="shared" si="26"/>
        <v>Positive</v>
      </c>
      <c r="AE29" s="457" t="str">
        <f t="shared" si="20"/>
        <v>o-Benzyl-p-chlorophenol</v>
      </c>
    </row>
    <row r="30" spans="1:36" ht="15" thickBot="1" x14ac:dyDescent="0.4">
      <c r="A30" s="350" t="str">
        <f>'NBT Depletion'!A30</f>
        <v>H</v>
      </c>
      <c r="B30" s="147">
        <f>'NBT Depletion'!B30</f>
        <v>7.0000000000000007E-2</v>
      </c>
      <c r="C30" s="148">
        <f>'NBT Depletion'!C30</f>
        <v>0.63600000000000001</v>
      </c>
      <c r="D30" s="151">
        <f>'NBT Depletion'!D30</f>
        <v>0.58599999999999997</v>
      </c>
      <c r="E30" s="151">
        <f>'NBT Depletion'!E30</f>
        <v>0.59799999999999998</v>
      </c>
      <c r="F30" s="151">
        <f>'NBT Depletion'!F30</f>
        <v>0.59599999999999997</v>
      </c>
      <c r="G30" s="355">
        <f>'NBT Depletion'!G30</f>
        <v>0.624</v>
      </c>
      <c r="H30" s="355">
        <f>'NBT Depletion'!H30</f>
        <v>0.61599999999999999</v>
      </c>
      <c r="I30" s="355">
        <f>'NBT Depletion'!I30</f>
        <v>0.61899999999999999</v>
      </c>
      <c r="J30" s="355">
        <f>'NBT Depletion'!J30</f>
        <v>0.621</v>
      </c>
      <c r="K30" s="355">
        <f>'NBT Depletion'!K30</f>
        <v>8.3000000000000004E-2</v>
      </c>
      <c r="L30" s="355">
        <f>'NBT Depletion'!L30</f>
        <v>8.4000000000000005E-2</v>
      </c>
      <c r="M30" s="355">
        <f>'NBT Depletion'!M30</f>
        <v>8.5000000000000006E-2</v>
      </c>
      <c r="N30" t="str">
        <f>'NBT Depletion'!P30</f>
        <v>5-Amino-o-cresol</v>
      </c>
      <c r="P30" s="476"/>
      <c r="Q30" s="477"/>
      <c r="R30" s="478"/>
      <c r="S30" s="479">
        <f t="shared" si="21"/>
        <v>0.62</v>
      </c>
      <c r="T30" s="339">
        <f t="shared" si="22"/>
        <v>3.3665016461206961E-3</v>
      </c>
      <c r="U30" s="479">
        <f t="shared" si="18"/>
        <v>8.4000000000000005E-2</v>
      </c>
      <c r="V30" s="339">
        <f t="shared" si="19"/>
        <v>1.0000000000000009E-3</v>
      </c>
      <c r="W30" s="339">
        <f>(Q24-Q27)-(S30-U30)</f>
        <v>3.2660714285714265E-2</v>
      </c>
      <c r="X30" s="480">
        <f>SQRT(Q25^2/COUNT(C23:C30,D23:J23)+Q28^2/COUNT(B23:B30)+T30^2/COUNT(G30:J30)+V30^2/COUNT(K30:M30))</f>
        <v>2.2955214713050289E-3</v>
      </c>
      <c r="Y30" s="370">
        <f t="shared" si="23"/>
        <v>14.22801515646303</v>
      </c>
      <c r="Z30" s="382">
        <f>((Q25^2)/COUNT(C23:C30,D23:J23)+(Q28^2)/COUNT(B23:B30)+(T30^2)/COUNT(G30:J30)+(V30^2)/COUNT(K30:M30))^2</f>
        <v>2.7766774755608274E-11</v>
      </c>
      <c r="AA30" s="371">
        <f>((Q25^2)/COUNT(C23:C30,D23:J23))^2/(COUNT(C23:C30,D23:J23)-1)+((Q28^2)/COUNT(B23:B30))^2/(COUNT(B23:B30)-1)+((T30^2)/COUNT(G30:J30))^2/(COUNT(G30:J30)-1)+((V30^2)/COUNT(K30:M30))^2/(COUNT(K30:M30)-1)</f>
        <v>3.0351990654881614E-12</v>
      </c>
      <c r="AB30" s="372">
        <f t="shared" si="24"/>
        <v>9</v>
      </c>
      <c r="AC30" s="380">
        <f t="shared" si="25"/>
        <v>2.8214379250258084</v>
      </c>
      <c r="AD30" s="374" t="str">
        <f t="shared" si="26"/>
        <v>Positive</v>
      </c>
      <c r="AE30" s="457" t="str">
        <f t="shared" si="20"/>
        <v>5-Amino-o-cresol</v>
      </c>
    </row>
    <row r="31" spans="1:36" x14ac:dyDescent="0.35">
      <c r="P31" s="482"/>
      <c r="Q31" s="485"/>
      <c r="R31" s="484"/>
      <c r="S31" s="485"/>
      <c r="T31" s="485"/>
      <c r="U31" s="485"/>
      <c r="V31" s="485"/>
      <c r="W31" s="485"/>
      <c r="X31" s="483"/>
      <c r="Y31" s="486"/>
      <c r="Z31" s="487"/>
      <c r="AA31" s="488"/>
      <c r="AB31" s="489"/>
      <c r="AC31" s="490"/>
      <c r="AD31" s="489"/>
      <c r="AE31" s="491"/>
      <c r="AG31" s="369"/>
      <c r="AH31" s="369"/>
      <c r="AI31" s="369"/>
      <c r="AJ31" s="369"/>
    </row>
    <row r="32" spans="1:36" ht="15" thickBot="1" x14ac:dyDescent="0.4">
      <c r="A32" s="350" t="str">
        <f>'NBT Depletion'!A32</f>
        <v>50 min</v>
      </c>
      <c r="B32" s="350">
        <f>'NBT Depletion'!B32</f>
        <v>1</v>
      </c>
      <c r="C32" s="350">
        <f>'NBT Depletion'!C32</f>
        <v>2</v>
      </c>
      <c r="D32" s="350">
        <f>'NBT Depletion'!D32</f>
        <v>3</v>
      </c>
      <c r="E32" s="350">
        <f>'NBT Depletion'!E32</f>
        <v>4</v>
      </c>
      <c r="F32" s="350">
        <f>'NBT Depletion'!F32</f>
        <v>5</v>
      </c>
      <c r="G32" s="350">
        <f>'NBT Depletion'!G32</f>
        <v>6</v>
      </c>
      <c r="H32" s="350">
        <f>'NBT Depletion'!H32</f>
        <v>7</v>
      </c>
      <c r="I32" s="350">
        <f>'NBT Depletion'!I32</f>
        <v>8</v>
      </c>
      <c r="J32" s="350">
        <f>'NBT Depletion'!J32</f>
        <v>9</v>
      </c>
      <c r="K32" s="350">
        <f>'NBT Depletion'!K32</f>
        <v>10</v>
      </c>
      <c r="L32" s="350">
        <f>'NBT Depletion'!L32</f>
        <v>11</v>
      </c>
      <c r="M32" s="350">
        <f>'NBT Depletion'!M32</f>
        <v>12</v>
      </c>
      <c r="P32" s="482"/>
      <c r="Q32" s="485"/>
      <c r="R32" s="484"/>
      <c r="S32" s="485"/>
      <c r="T32" s="485"/>
      <c r="U32" s="485"/>
      <c r="V32" s="485"/>
      <c r="W32" s="485"/>
      <c r="X32" s="483"/>
      <c r="Y32" s="486"/>
      <c r="Z32" s="487"/>
      <c r="AA32" s="488"/>
      <c r="AB32" s="489"/>
      <c r="AC32" s="490"/>
      <c r="AD32" s="489"/>
      <c r="AE32" s="491"/>
    </row>
    <row r="33" spans="1:32" x14ac:dyDescent="0.35">
      <c r="A33" s="350" t="str">
        <f>'NBT Depletion'!A33</f>
        <v>A</v>
      </c>
      <c r="B33" s="147">
        <f>'NBT Depletion'!B33</f>
        <v>7.0000000000000007E-2</v>
      </c>
      <c r="C33" s="148">
        <f>'NBT Depletion'!C33</f>
        <v>0.63200000000000001</v>
      </c>
      <c r="D33" s="148">
        <f>'NBT Depletion'!D33</f>
        <v>0.63700000000000001</v>
      </c>
      <c r="E33" s="148" t="str">
        <f>'NBT Depletion'!E33</f>
        <v/>
      </c>
      <c r="F33" s="148">
        <f>'NBT Depletion'!F33</f>
        <v>0.64300000000000002</v>
      </c>
      <c r="G33" s="148">
        <f>'NBT Depletion'!G33</f>
        <v>0.64300000000000002</v>
      </c>
      <c r="H33" s="148">
        <f>'NBT Depletion'!H33</f>
        <v>0.64300000000000002</v>
      </c>
      <c r="I33" s="148">
        <f>'NBT Depletion'!I33</f>
        <v>0.64600000000000002</v>
      </c>
      <c r="J33" s="148">
        <f>'NBT Depletion'!J33</f>
        <v>0.64300000000000002</v>
      </c>
      <c r="K33" s="348"/>
      <c r="L33" s="348"/>
      <c r="M33" s="348"/>
      <c r="P33" s="630" t="str">
        <f>A32</f>
        <v>50 min</v>
      </c>
      <c r="Q33" s="607"/>
      <c r="R33" s="607"/>
      <c r="S33" s="607"/>
      <c r="T33" s="607"/>
      <c r="U33" s="607"/>
      <c r="V33" s="607"/>
      <c r="W33" s="607"/>
      <c r="X33" s="607"/>
      <c r="Y33" s="607"/>
      <c r="Z33" s="607"/>
      <c r="AA33" s="607"/>
      <c r="AB33" s="607"/>
      <c r="AC33" s="607"/>
      <c r="AD33" s="608"/>
    </row>
    <row r="34" spans="1:32" x14ac:dyDescent="0.35">
      <c r="A34" s="350" t="str">
        <f>'NBT Depletion'!A34</f>
        <v>B</v>
      </c>
      <c r="B34" s="147">
        <f>'NBT Depletion'!B34</f>
        <v>7.2999999999999995E-2</v>
      </c>
      <c r="C34" s="148">
        <f>'NBT Depletion'!C34</f>
        <v>0.63600000000000001</v>
      </c>
      <c r="D34" s="151">
        <f>'NBT Depletion'!D34</f>
        <v>9.1999999999999998E-2</v>
      </c>
      <c r="E34" s="151">
        <f>'NBT Depletion'!E34</f>
        <v>8.6999999999999994E-2</v>
      </c>
      <c r="F34" s="151">
        <f>'NBT Depletion'!F34</f>
        <v>8.4000000000000005E-2</v>
      </c>
      <c r="G34" s="351">
        <f>'NBT Depletion'!G34</f>
        <v>0.629</v>
      </c>
      <c r="H34" s="351">
        <f>'NBT Depletion'!H34</f>
        <v>0.63400000000000001</v>
      </c>
      <c r="I34" s="351">
        <f>'NBT Depletion'!I34</f>
        <v>0.63800000000000001</v>
      </c>
      <c r="J34" s="351">
        <f>'NBT Depletion'!J34</f>
        <v>0.628</v>
      </c>
      <c r="K34" s="351">
        <f>'NBT Depletion'!K34</f>
        <v>7.3999999999999996E-2</v>
      </c>
      <c r="L34" s="351">
        <f>'NBT Depletion'!L34</f>
        <v>7.3999999999999996E-2</v>
      </c>
      <c r="M34" s="351">
        <f>'NBT Depletion'!M34</f>
        <v>7.4999999999999997E-2</v>
      </c>
      <c r="N34" t="str">
        <f>'NBT Depletion'!P34</f>
        <v>Tri-n-octylphospine oxide</v>
      </c>
      <c r="P34" s="472" t="s">
        <v>134</v>
      </c>
      <c r="Q34" s="391">
        <f>AVERAGE(C33:C40,D33:J33)</f>
        <v>0.63857142857142857</v>
      </c>
      <c r="R34" s="473"/>
      <c r="S34" s="391">
        <f>AVERAGE(G34:J34)</f>
        <v>0.63224999999999998</v>
      </c>
      <c r="T34" s="153">
        <f>STDEV(G34:J34)</f>
        <v>4.645786621588789E-3</v>
      </c>
      <c r="U34" s="391">
        <f t="shared" ref="U34:U40" si="27">AVERAGE(K34:M34)</f>
        <v>7.4333333333333321E-2</v>
      </c>
      <c r="V34" s="153">
        <f t="shared" ref="V34:V40" si="28">STDEV(K34:M34)</f>
        <v>5.7735026918962634E-4</v>
      </c>
      <c r="W34" s="153">
        <f>(Q34-Q37)-(S34-U34)</f>
        <v>8.9047619047619708E-3</v>
      </c>
      <c r="X34" s="365">
        <f>SQRT(Q35^2/COUNT(C33:C40,D33:J33)+Q38^2/COUNT(B33:B40)+T34^2/COUNT(G34:J34)+V34^2/COUNT(K34:M34))</f>
        <v>2.7038509983955327E-3</v>
      </c>
      <c r="Y34" s="366">
        <f>W34/X34</f>
        <v>3.2933626557255056</v>
      </c>
      <c r="Z34" s="381">
        <f>((Q35^2)/COUNT(C33:C40,D33:J33)+(Q38^2)/COUNT(B33:B40)+(T34^2)/COUNT(G34:J34)+(V34^2)/COUNT(K34:M34))^2</f>
        <v>5.3447946095147378E-11</v>
      </c>
      <c r="AA34" s="367">
        <f>((Q35^2)/COUNT(C33:C40,D33:J33))^2/(COUNT(C33:C40,D33:J33)-1)+((Q38^2)/COUNT(B33:B40))^2/(COUNT(B33:B40)-1)+((T34^2)/COUNT(G34:J34))^2/(COUNT(G34:J34)-1)+((V34^2)/COUNT(K34:M34))^2/(COUNT(K34:M34)-1)</f>
        <v>9.9207271424890864E-12</v>
      </c>
      <c r="AB34" s="368">
        <f>ROUNDDOWN(Z34/AA34,0)</f>
        <v>5</v>
      </c>
      <c r="AC34" s="379">
        <f>-_xlfn.T.INV(2*$AC$2,AB34)</f>
        <v>3.3649299989072183</v>
      </c>
      <c r="AD34" s="373" t="str">
        <f>IF(W34&lt;0,"Negative",IF(Y34&gt;AC34,"Positive","Negative"))</f>
        <v>Negative</v>
      </c>
      <c r="AE34" s="457" t="str">
        <f t="shared" ref="AE34:AE40" si="29">N34</f>
        <v>Tri-n-octylphospine oxide</v>
      </c>
      <c r="AF34" s="154"/>
    </row>
    <row r="35" spans="1:32" x14ac:dyDescent="0.35">
      <c r="A35" s="350" t="str">
        <f>'NBT Depletion'!A35</f>
        <v>C</v>
      </c>
      <c r="B35" s="147">
        <f>'NBT Depletion'!B35</f>
        <v>7.1999999999999995E-2</v>
      </c>
      <c r="C35" s="148">
        <f>'NBT Depletion'!C35</f>
        <v>0.63700000000000001</v>
      </c>
      <c r="D35" s="151">
        <f>'NBT Depletion'!D35</f>
        <v>8.7999999999999995E-2</v>
      </c>
      <c r="E35" s="151">
        <f>'NBT Depletion'!E35</f>
        <v>0.108</v>
      </c>
      <c r="F35" s="151">
        <f>'NBT Depletion'!F35</f>
        <v>8.7999999999999995E-2</v>
      </c>
      <c r="G35" s="155">
        <f>'NBT Depletion'!G35</f>
        <v>0.60799999999999998</v>
      </c>
      <c r="H35" s="155">
        <f>'NBT Depletion'!H35</f>
        <v>0.60299999999999998</v>
      </c>
      <c r="I35" s="155">
        <f>'NBT Depletion'!I35</f>
        <v>0.60499999999999998</v>
      </c>
      <c r="J35" s="155">
        <f>'NBT Depletion'!J35</f>
        <v>0.60599999999999998</v>
      </c>
      <c r="K35" s="155">
        <f>'NBT Depletion'!K35</f>
        <v>7.0999999999999994E-2</v>
      </c>
      <c r="L35" s="155">
        <f>'NBT Depletion'!L35</f>
        <v>7.1999999999999995E-2</v>
      </c>
      <c r="M35" s="155">
        <f>'NBT Depletion'!M35</f>
        <v>7.2999999999999995E-2</v>
      </c>
      <c r="N35" t="str">
        <f>'NBT Depletion'!P35</f>
        <v>Dicyclohexylcarbodiimide</v>
      </c>
      <c r="P35" s="472" t="s">
        <v>135</v>
      </c>
      <c r="Q35" s="153">
        <f>STDEV(C33:C40,D33:J33)</f>
        <v>4.7832124016314505E-3</v>
      </c>
      <c r="R35" s="473"/>
      <c r="S35" s="391">
        <f t="shared" ref="S35:S40" si="30">AVERAGE(G35:J35)</f>
        <v>0.60549999999999993</v>
      </c>
      <c r="T35" s="153">
        <f t="shared" ref="T35:T40" si="31">STDEV(G35:J35)</f>
        <v>2.0816659994661343E-3</v>
      </c>
      <c r="U35" s="391">
        <f t="shared" si="27"/>
        <v>7.1999999999999995E-2</v>
      </c>
      <c r="V35" s="153">
        <f t="shared" si="28"/>
        <v>1.0000000000000009E-3</v>
      </c>
      <c r="W35" s="153">
        <f>(Q34-Q37)-(S35-U35)</f>
        <v>3.3321428571428613E-2</v>
      </c>
      <c r="X35" s="365">
        <f>SQRT(Q35^2/COUNT(C33:C40,D33:J33)+Q38^2/COUNT(B33:B40)+T35^2/COUNT(G35:J35)+V35^2/COUNT(K35:M35))</f>
        <v>1.7945841980098712E-3</v>
      </c>
      <c r="Y35" s="366">
        <f t="shared" ref="Y35:Y40" si="32">W35/X35</f>
        <v>18.567771079440501</v>
      </c>
      <c r="Z35" s="381">
        <f>((Q35^2)/COUNT(C33:C40,D33:J33)+(Q38^2)/COUNT(B33:B40)+(T35^2)/COUNT(G35:J35)+(V35^2)/COUNT(K35:M35))^2</f>
        <v>1.0371829221225299E-11</v>
      </c>
      <c r="AA35" s="367">
        <f>((Q35^2)/COUNT(C33:C40,D33:J33))^2/(COUNT(C33:C40,D33:J33)-1)+((Q38^2)/COUNT(B33:B40))^2/(COUNT(B33:B40)-1)+((T35^2)/COUNT(G35:J35))^2/(COUNT(G35:J35)-1)+((V35^2)/COUNT(K35:M35))^2/(COUNT(K35:M35)-1)</f>
        <v>6.5630777520509968E-13</v>
      </c>
      <c r="AB35" s="368">
        <f t="shared" ref="AB35:AB40" si="33">ROUNDDOWN(Z35/AA35,0)</f>
        <v>15</v>
      </c>
      <c r="AC35" s="379">
        <f t="shared" ref="AC35:AC40" si="34">-_xlfn.T.INV(2*$AC$2,AB35)</f>
        <v>2.6024802950111221</v>
      </c>
      <c r="AD35" s="373" t="str">
        <f t="shared" ref="AD35:AD40" si="35">IF(W35&lt;0,"Negative",IF(Y35&gt;AC35,"Positive","Negative"))</f>
        <v>Positive</v>
      </c>
      <c r="AE35" s="457" t="str">
        <f t="shared" si="29"/>
        <v>Dicyclohexylcarbodiimide</v>
      </c>
      <c r="AF35" s="154"/>
    </row>
    <row r="36" spans="1:32" x14ac:dyDescent="0.35">
      <c r="A36" s="350" t="str">
        <f>'NBT Depletion'!A36</f>
        <v>D</v>
      </c>
      <c r="B36" s="147">
        <f>'NBT Depletion'!B36</f>
        <v>7.0000000000000007E-2</v>
      </c>
      <c r="C36" s="148">
        <f>'NBT Depletion'!C36</f>
        <v>0.629</v>
      </c>
      <c r="D36" s="151">
        <f>'NBT Depletion'!D36</f>
        <v>0.14199999999999999</v>
      </c>
      <c r="E36" s="151">
        <f>'NBT Depletion'!E36</f>
        <v>0.16200000000000001</v>
      </c>
      <c r="F36" s="151">
        <f>'NBT Depletion'!F36</f>
        <v>0.13500000000000001</v>
      </c>
      <c r="G36" s="144">
        <f>'NBT Depletion'!G36</f>
        <v>0.64</v>
      </c>
      <c r="H36" s="144">
        <f>'NBT Depletion'!H36</f>
        <v>0.64</v>
      </c>
      <c r="I36" s="144">
        <f>'NBT Depletion'!I36</f>
        <v>0.64100000000000001</v>
      </c>
      <c r="J36" s="144">
        <f>'NBT Depletion'!J36</f>
        <v>0.63700000000000001</v>
      </c>
      <c r="K36" s="144">
        <f>'NBT Depletion'!K36</f>
        <v>7.0999999999999994E-2</v>
      </c>
      <c r="L36" s="144">
        <f>'NBT Depletion'!L36</f>
        <v>7.2999999999999995E-2</v>
      </c>
      <c r="M36" s="144">
        <f>'NBT Depletion'!M36</f>
        <v>7.2999999999999995E-2</v>
      </c>
      <c r="N36" t="str">
        <f>'NBT Depletion'!P36</f>
        <v>Triethanolamine</v>
      </c>
      <c r="P36" s="474"/>
      <c r="Q36" s="436"/>
      <c r="R36" s="473"/>
      <c r="S36" s="391">
        <f t="shared" si="30"/>
        <v>0.63949999999999996</v>
      </c>
      <c r="T36" s="153">
        <f t="shared" si="31"/>
        <v>1.7320508075688787E-3</v>
      </c>
      <c r="U36" s="391">
        <f t="shared" si="27"/>
        <v>7.2333333333333319E-2</v>
      </c>
      <c r="V36" s="153">
        <f t="shared" si="28"/>
        <v>1.1547005383792527E-3</v>
      </c>
      <c r="W36" s="153">
        <f>(Q34-Q37)-(S36-U36)</f>
        <v>-3.4523809523800963E-4</v>
      </c>
      <c r="X36" s="365">
        <f>SQRT(Q35^2/COUNT(C33:C40,D33:J33)+Q38^2/COUNT(B33:B40)+T36^2/COUNT(G36:J36)+V36^2/COUNT(K36:M36))</f>
        <v>1.7315629418316013E-3</v>
      </c>
      <c r="Y36" s="366">
        <f t="shared" si="32"/>
        <v>-0.19937946631776834</v>
      </c>
      <c r="Z36" s="381">
        <f>((Q35^2)/COUNT(C33:C40,D33:J33)+(Q38^2)/COUNT(B33:B40)+(T36^2)/COUNT(G36:J36)+(V36^2)/COUNT(K36:M36))^2</f>
        <v>8.9898641844983544E-12</v>
      </c>
      <c r="AA36" s="367">
        <f>((Q35^2)/COUNT(C33:C40,D33:J33))^2/(COUNT(C33:C40,D33:J33)-1)+((Q38^2)/COUNT(B33:B40))^2/(COUNT(B33:B40)-1)+((T36^2)/COUNT(G36:J36))^2/(COUNT(G36:J36)-1)+((V36^2)/COUNT(K36:M36))^2/(COUNT(K36:M36)-1)</f>
        <v>4.9581394804460536E-13</v>
      </c>
      <c r="AB36" s="368">
        <f t="shared" si="33"/>
        <v>18</v>
      </c>
      <c r="AC36" s="379">
        <f t="shared" si="34"/>
        <v>2.552379630182251</v>
      </c>
      <c r="AD36" s="373" t="str">
        <f t="shared" si="35"/>
        <v>Negative</v>
      </c>
      <c r="AE36" s="457" t="str">
        <f t="shared" si="29"/>
        <v>Triethanolamine</v>
      </c>
      <c r="AF36" s="154"/>
    </row>
    <row r="37" spans="1:32" x14ac:dyDescent="0.35">
      <c r="A37" s="350" t="str">
        <f>'NBT Depletion'!A37</f>
        <v>E</v>
      </c>
      <c r="B37" s="147">
        <f>'NBT Depletion'!B37</f>
        <v>7.1999999999999995E-2</v>
      </c>
      <c r="C37" s="148">
        <f>'NBT Depletion'!C37</f>
        <v>0.63500000000000001</v>
      </c>
      <c r="D37" s="151">
        <f>'NBT Depletion'!D37</f>
        <v>0.27500000000000002</v>
      </c>
      <c r="E37" s="151">
        <f>'NBT Depletion'!E37</f>
        <v>0.307</v>
      </c>
      <c r="F37" s="151">
        <f>'NBT Depletion'!F37</f>
        <v>0.29199999999999998</v>
      </c>
      <c r="G37" s="352">
        <f>'NBT Depletion'!G37</f>
        <v>0.60599999999999998</v>
      </c>
      <c r="H37" s="352">
        <f>'NBT Depletion'!H37</f>
        <v>0.60299999999999998</v>
      </c>
      <c r="I37" s="352">
        <f>'NBT Depletion'!I37</f>
        <v>0.60899999999999999</v>
      </c>
      <c r="J37" s="352">
        <f>'NBT Depletion'!J37</f>
        <v>0.60499999999999998</v>
      </c>
      <c r="K37" s="352">
        <f>'NBT Depletion'!K37</f>
        <v>7.0999999999999994E-2</v>
      </c>
      <c r="L37" s="352">
        <f>'NBT Depletion'!L37</f>
        <v>7.1999999999999995E-2</v>
      </c>
      <c r="M37" s="352">
        <f>'NBT Depletion'!M37</f>
        <v>7.3999999999999996E-2</v>
      </c>
      <c r="N37" t="str">
        <f>'NBT Depletion'!P37</f>
        <v>Pentaerythritol triacrylate</v>
      </c>
      <c r="P37" s="472" t="s">
        <v>136</v>
      </c>
      <c r="Q37" s="391">
        <f>AVERAGE(B33:B40)</f>
        <v>7.1749999999999994E-2</v>
      </c>
      <c r="R37" s="473"/>
      <c r="S37" s="391">
        <f t="shared" si="30"/>
        <v>0.60575000000000001</v>
      </c>
      <c r="T37" s="153">
        <f t="shared" si="31"/>
        <v>2.5000000000000022E-3</v>
      </c>
      <c r="U37" s="391">
        <f t="shared" si="27"/>
        <v>7.2333333333333319E-2</v>
      </c>
      <c r="V37" s="153">
        <f t="shared" si="28"/>
        <v>1.5275252316519479E-3</v>
      </c>
      <c r="W37" s="153">
        <f>(Q34-Q37)-(S37-U37)</f>
        <v>3.3404761904761937E-2</v>
      </c>
      <c r="X37" s="365">
        <f>SQRT(Q35^2/COUNT(C33:C40,D33:J33)+Q38^2/COUNT(B33:B40)+T37^2/COUNT(G37:J37)+V37^2/COUNT(K37:M37))</f>
        <v>2.0357169633467825E-3</v>
      </c>
      <c r="Y37" s="366">
        <f t="shared" si="32"/>
        <v>16.409335141484238</v>
      </c>
      <c r="Z37" s="381">
        <f>((Q35^2)/COUNT(C33:C40,D33:J33)+(Q38^2)/COUNT(B33:B40)+(T37^2)/COUNT(G37:J37)+(V37^2)/COUNT(K37:M37))^2</f>
        <v>1.7173925803269821E-11</v>
      </c>
      <c r="AA37" s="367">
        <f>((Q35^2)/COUNT(C33:C40,D33:J33))^2/(COUNT(C33:C40,D33:J33)-1)+((Q38^2)/COUNT(B33:B40))^2/(COUNT(B33:B40)-1)+((T37^2)/COUNT(G37:J37))^2/(COUNT(G37:J37)-1)+((V37^2)/COUNT(K37:M37))^2/(COUNT(K37:M37)-1)</f>
        <v>1.3258197350816451E-12</v>
      </c>
      <c r="AB37" s="368">
        <f t="shared" si="33"/>
        <v>12</v>
      </c>
      <c r="AC37" s="379">
        <f t="shared" si="34"/>
        <v>2.6809979931209149</v>
      </c>
      <c r="AD37" s="373" t="str">
        <f t="shared" si="35"/>
        <v>Positive</v>
      </c>
      <c r="AE37" s="457" t="str">
        <f t="shared" si="29"/>
        <v>Pentaerythritol triacrylate</v>
      </c>
      <c r="AF37" s="154"/>
    </row>
    <row r="38" spans="1:32" x14ac:dyDescent="0.35">
      <c r="A38" s="350" t="str">
        <f>'NBT Depletion'!A38</f>
        <v>F</v>
      </c>
      <c r="B38" s="147">
        <f>'NBT Depletion'!B38</f>
        <v>7.2999999999999995E-2</v>
      </c>
      <c r="C38" s="148">
        <f>'NBT Depletion'!C38</f>
        <v>0.64</v>
      </c>
      <c r="D38" s="151">
        <f>'NBT Depletion'!D38</f>
        <v>0.40899999999999997</v>
      </c>
      <c r="E38" s="151">
        <f>'NBT Depletion'!E38</f>
        <v>0.436</v>
      </c>
      <c r="F38" s="151">
        <f>'NBT Depletion'!F38</f>
        <v>0.433</v>
      </c>
      <c r="G38" s="353">
        <f>'NBT Depletion'!G38</f>
        <v>0.64400000000000002</v>
      </c>
      <c r="H38" s="353">
        <f>'NBT Depletion'!H38</f>
        <v>0.64300000000000002</v>
      </c>
      <c r="I38" s="353">
        <f>'NBT Depletion'!I38</f>
        <v>0.64500000000000002</v>
      </c>
      <c r="J38" s="353">
        <f>'NBT Depletion'!J38</f>
        <v>0.64100000000000001</v>
      </c>
      <c r="K38" s="353">
        <f>'NBT Depletion'!K38</f>
        <v>7.0999999999999994E-2</v>
      </c>
      <c r="L38" s="353">
        <f>'NBT Depletion'!L38</f>
        <v>7.0000000000000007E-2</v>
      </c>
      <c r="M38" s="353">
        <f>'NBT Depletion'!M38</f>
        <v>7.1999999999999995E-2</v>
      </c>
      <c r="N38" t="str">
        <f>'NBT Depletion'!P38</f>
        <v>Clarithromycin</v>
      </c>
      <c r="P38" s="472" t="s">
        <v>137</v>
      </c>
      <c r="Q38" s="153">
        <f>STDEV(B33:B40)</f>
        <v>1.1649647450214301E-3</v>
      </c>
      <c r="R38" s="473"/>
      <c r="S38" s="391">
        <f t="shared" si="30"/>
        <v>0.64324999999999999</v>
      </c>
      <c r="T38" s="153">
        <f t="shared" si="31"/>
        <v>1.7078251276599345E-3</v>
      </c>
      <c r="U38" s="391">
        <f t="shared" si="27"/>
        <v>7.1000000000000008E-2</v>
      </c>
      <c r="V38" s="153">
        <f t="shared" si="28"/>
        <v>9.9999999999999395E-4</v>
      </c>
      <c r="W38" s="153">
        <f>(Q34-Q37)-(S38-U38)</f>
        <v>-5.4285714285713382E-3</v>
      </c>
      <c r="X38" s="365">
        <f>SQRT(Q35^2/COUNT(C33:C40,D33:J33)+Q38^2/COUNT(B33:B40)+T38^2/COUNT(G38:J38)+V38^2/COUNT(K38:M38))</f>
        <v>1.693034487859022E-3</v>
      </c>
      <c r="Y38" s="366">
        <f t="shared" si="32"/>
        <v>-3.2064151483625136</v>
      </c>
      <c r="Z38" s="381">
        <f>((Q35^2)/COUNT(C33:C40,D33:J33)+(Q38^2)/COUNT(B33:B40)+(T38^2)/COUNT(G38:J38)+(V38^2)/COUNT(K38:M38))^2</f>
        <v>8.21605276801578E-12</v>
      </c>
      <c r="AA38" s="367">
        <f>((Q35^2)/COUNT(C33:C40,D33:J33))^2/(COUNT(C33:C40,D33:J33)-1)+((Q38^2)/COUNT(B33:B40))^2/(COUNT(B33:B40)-1)+((T38^2)/COUNT(G38:J38))^2/(COUNT(G38:J38)-1)+((V38^2)/COUNT(K38:M38))^2/(COUNT(K38:M38)-1)</f>
        <v>4.4233208076065298E-13</v>
      </c>
      <c r="AB38" s="368">
        <f t="shared" si="33"/>
        <v>18</v>
      </c>
      <c r="AC38" s="379">
        <f t="shared" si="34"/>
        <v>2.552379630182251</v>
      </c>
      <c r="AD38" s="373" t="str">
        <f t="shared" si="35"/>
        <v>Negative</v>
      </c>
      <c r="AE38" s="457" t="str">
        <f t="shared" si="29"/>
        <v>Clarithromycin</v>
      </c>
      <c r="AF38" s="154"/>
    </row>
    <row r="39" spans="1:32" x14ac:dyDescent="0.35">
      <c r="A39" s="350" t="str">
        <f>'NBT Depletion'!A39</f>
        <v>G</v>
      </c>
      <c r="B39" s="147">
        <f>'NBT Depletion'!B39</f>
        <v>7.1999999999999995E-2</v>
      </c>
      <c r="C39" s="148">
        <f>'NBT Depletion'!C39</f>
        <v>0.63900000000000001</v>
      </c>
      <c r="D39" s="151">
        <f>'NBT Depletion'!D39</f>
        <v>0.51300000000000001</v>
      </c>
      <c r="E39" s="151">
        <f>'NBT Depletion'!E39</f>
        <v>0.53200000000000003</v>
      </c>
      <c r="F39" s="151">
        <f>'NBT Depletion'!F39</f>
        <v>0.52300000000000002</v>
      </c>
      <c r="G39" s="354">
        <f>'NBT Depletion'!G39</f>
        <v>0.59799999999999998</v>
      </c>
      <c r="H39" s="354">
        <f>'NBT Depletion'!H39</f>
        <v>0.59199999999999997</v>
      </c>
      <c r="I39" s="354">
        <f>'NBT Depletion'!I39</f>
        <v>0.60199999999999998</v>
      </c>
      <c r="J39" s="354">
        <f>'NBT Depletion'!J39</f>
        <v>0.60099999999999998</v>
      </c>
      <c r="K39" s="354">
        <f>'NBT Depletion'!K39</f>
        <v>7.2999999999999995E-2</v>
      </c>
      <c r="L39" s="354">
        <f>'NBT Depletion'!L39</f>
        <v>7.6999999999999999E-2</v>
      </c>
      <c r="M39" s="354">
        <f>'NBT Depletion'!M39</f>
        <v>7.4999999999999997E-2</v>
      </c>
      <c r="N39" t="str">
        <f>'NBT Depletion'!P39</f>
        <v>o-Benzyl-p-chlorophenol</v>
      </c>
      <c r="P39" s="475"/>
      <c r="Q39" s="435"/>
      <c r="R39" s="473"/>
      <c r="S39" s="391">
        <f t="shared" si="30"/>
        <v>0.59824999999999995</v>
      </c>
      <c r="T39" s="153">
        <f t="shared" si="31"/>
        <v>4.500000000000004E-3</v>
      </c>
      <c r="U39" s="391">
        <f t="shared" si="27"/>
        <v>7.4999999999999997E-2</v>
      </c>
      <c r="V39" s="153">
        <f t="shared" si="28"/>
        <v>2.0000000000000018E-3</v>
      </c>
      <c r="W39" s="153">
        <f>(Q34-Q37)-(S39-U39)</f>
        <v>4.3571428571428594E-2</v>
      </c>
      <c r="X39" s="365">
        <f>SQRT(Q35^2/COUNT(C33:C40,D33:J33)+Q38^2/COUNT(B33:B40)+T39^2/COUNT(G39:J39)+V39^2/COUNT(K39:M39))</f>
        <v>2.863511674572571E-3</v>
      </c>
      <c r="Y39" s="366">
        <f t="shared" si="32"/>
        <v>15.216082043015378</v>
      </c>
      <c r="Z39" s="381">
        <f>((Q35^2)/COUNT(C33:C40,D33:J33)+(Q38^2)/COUNT(B33:B40)+(T39^2)/COUNT(G39:J39)+(V39^2)/COUNT(K39:M39))^2</f>
        <v>6.7235065501314445E-11</v>
      </c>
      <c r="AA39" s="367">
        <f>((Q35^2)/COUNT(C33:C40,D33:J33))^2/(COUNT(C33:C40,D33:J33)-1)+((Q38^2)/COUNT(B33:B40))^2/(COUNT(B33:B40)-1)+((T39^2)/COUNT(G39:J39))^2/(COUNT(G39:J39)-1)+((V39^2)/COUNT(K39:M39))^2/(COUNT(K39:M39)-1)</f>
        <v>9.64140615483476E-12</v>
      </c>
      <c r="AB39" s="368">
        <f t="shared" si="33"/>
        <v>6</v>
      </c>
      <c r="AC39" s="379">
        <f t="shared" si="34"/>
        <v>3.1426684032909828</v>
      </c>
      <c r="AD39" s="373" t="str">
        <f t="shared" si="35"/>
        <v>Positive</v>
      </c>
      <c r="AE39" s="457" t="str">
        <f t="shared" si="29"/>
        <v>o-Benzyl-p-chlorophenol</v>
      </c>
      <c r="AF39" s="154"/>
    </row>
    <row r="40" spans="1:32" ht="15" thickBot="1" x14ac:dyDescent="0.4">
      <c r="A40" s="350" t="str">
        <f>'NBT Depletion'!A40</f>
        <v>H</v>
      </c>
      <c r="B40" s="147">
        <f>'NBT Depletion'!B40</f>
        <v>7.1999999999999995E-2</v>
      </c>
      <c r="C40" s="148">
        <f>'NBT Depletion'!C40</f>
        <v>0.63700000000000001</v>
      </c>
      <c r="D40" s="151">
        <f>'NBT Depletion'!D40</f>
        <v>0.57299999999999995</v>
      </c>
      <c r="E40" s="151">
        <f>'NBT Depletion'!E40</f>
        <v>0.58399999999999996</v>
      </c>
      <c r="F40" s="151">
        <f>'NBT Depletion'!F40</f>
        <v>0.58099999999999996</v>
      </c>
      <c r="G40" s="355">
        <f>'NBT Depletion'!G40</f>
        <v>0.60799999999999998</v>
      </c>
      <c r="H40" s="355">
        <f>'NBT Depletion'!H40</f>
        <v>0.59899999999999998</v>
      </c>
      <c r="I40" s="355">
        <f>'NBT Depletion'!I40</f>
        <v>0.60299999999999998</v>
      </c>
      <c r="J40" s="355">
        <f>'NBT Depletion'!J40</f>
        <v>0.60499999999999998</v>
      </c>
      <c r="K40" s="355">
        <f>'NBT Depletion'!K40</f>
        <v>8.5000000000000006E-2</v>
      </c>
      <c r="L40" s="355">
        <f>'NBT Depletion'!L40</f>
        <v>8.5999999999999993E-2</v>
      </c>
      <c r="M40" s="355">
        <f>'NBT Depletion'!M40</f>
        <v>8.6999999999999994E-2</v>
      </c>
      <c r="N40" t="str">
        <f>'NBT Depletion'!P40</f>
        <v>5-Amino-o-cresol</v>
      </c>
      <c r="P40" s="476"/>
      <c r="Q40" s="477"/>
      <c r="R40" s="478"/>
      <c r="S40" s="479">
        <f t="shared" si="30"/>
        <v>0.60375000000000001</v>
      </c>
      <c r="T40" s="339">
        <f t="shared" si="31"/>
        <v>3.7749172176353785E-3</v>
      </c>
      <c r="U40" s="479">
        <f t="shared" si="27"/>
        <v>8.6000000000000007E-2</v>
      </c>
      <c r="V40" s="339">
        <f t="shared" si="28"/>
        <v>9.9999999999999395E-4</v>
      </c>
      <c r="W40" s="339">
        <f>(Q34-Q37)-(S40-U40)</f>
        <v>4.9071428571428544E-2</v>
      </c>
      <c r="X40" s="480">
        <f>SQRT(Q35^2/COUNT(C33:C40,D33:J33)+Q38^2/COUNT(B33:B40)+T40^2/COUNT(G40:J40)+V40^2/COUNT(K40:M40))</f>
        <v>2.3874042620413913E-3</v>
      </c>
      <c r="Y40" s="370">
        <f t="shared" si="32"/>
        <v>20.554302156380157</v>
      </c>
      <c r="Z40" s="382">
        <f>((Q35^2)/COUNT(C33:C40,D33:J33)+(Q38^2)/COUNT(B33:B40)+(T40^2)/COUNT(G40:J40)+(V40^2)/COUNT(K40:M40))^2</f>
        <v>3.2486569949247299E-11</v>
      </c>
      <c r="AA40" s="371">
        <f>((Q35^2)/COUNT(C33:C40,D33:J33))^2/(COUNT(C33:C40,D33:J33)-1)+((Q38^2)/COUNT(B33:B40))^2/(COUNT(B33:B40)-1)+((T40^2)/COUNT(G40:J40))^2/(COUNT(G40:J40)-1)+((V40^2)/COUNT(K40:M40))^2/(COUNT(K40:M40)-1)</f>
        <v>4.4955728215014097E-12</v>
      </c>
      <c r="AB40" s="372">
        <f t="shared" si="33"/>
        <v>7</v>
      </c>
      <c r="AC40" s="380">
        <f t="shared" si="34"/>
        <v>2.997951566868529</v>
      </c>
      <c r="AD40" s="374" t="str">
        <f t="shared" si="35"/>
        <v>Positive</v>
      </c>
      <c r="AE40" s="457" t="str">
        <f t="shared" si="29"/>
        <v>5-Amino-o-cresol</v>
      </c>
      <c r="AF40" s="154"/>
    </row>
    <row r="41" spans="1:32" ht="15" thickBot="1" x14ac:dyDescent="0.4"/>
    <row r="42" spans="1:32" ht="21" x14ac:dyDescent="0.5">
      <c r="S42" s="396" t="s">
        <v>146</v>
      </c>
      <c r="T42" s="397"/>
      <c r="U42" s="397"/>
      <c r="V42" s="397"/>
      <c r="W42" s="397"/>
      <c r="X42" s="397"/>
      <c r="Y42" s="397"/>
      <c r="Z42" s="397"/>
      <c r="AA42" s="397"/>
      <c r="AB42" s="397"/>
      <c r="AC42" s="397"/>
      <c r="AD42" s="398"/>
    </row>
    <row r="43" spans="1:32" ht="23.4" customHeight="1" x14ac:dyDescent="0.5">
      <c r="S43" s="399" t="s">
        <v>196</v>
      </c>
      <c r="T43" s="395"/>
      <c r="U43" s="395"/>
      <c r="V43" s="395"/>
      <c r="W43" s="395"/>
      <c r="X43" s="395"/>
      <c r="Y43" s="395"/>
      <c r="Z43" s="395"/>
      <c r="AA43" s="395"/>
      <c r="AB43" s="395"/>
      <c r="AC43" s="395"/>
      <c r="AD43" s="400"/>
    </row>
    <row r="44" spans="1:32" x14ac:dyDescent="0.35">
      <c r="S44" s="623" t="s">
        <v>235</v>
      </c>
      <c r="T44" s="624"/>
      <c r="U44" s="624"/>
      <c r="V44" s="624"/>
      <c r="W44" s="624"/>
      <c r="X44" s="624"/>
      <c r="Y44" s="624"/>
      <c r="Z44" s="624"/>
      <c r="AA44" s="624"/>
      <c r="AB44" s="624"/>
      <c r="AC44" s="624"/>
      <c r="AD44" s="625"/>
    </row>
    <row r="45" spans="1:32" x14ac:dyDescent="0.35">
      <c r="S45" s="626"/>
      <c r="T45" s="624"/>
      <c r="U45" s="624"/>
      <c r="V45" s="624"/>
      <c r="W45" s="624"/>
      <c r="X45" s="624"/>
      <c r="Y45" s="624"/>
      <c r="Z45" s="624"/>
      <c r="AA45" s="624"/>
      <c r="AB45" s="624"/>
      <c r="AC45" s="624"/>
      <c r="AD45" s="625"/>
    </row>
    <row r="46" spans="1:32" x14ac:dyDescent="0.35">
      <c r="S46" s="627"/>
      <c r="T46" s="628"/>
      <c r="U46" s="628"/>
      <c r="V46" s="628"/>
      <c r="W46" s="628"/>
      <c r="X46" s="628"/>
      <c r="Y46" s="628"/>
      <c r="Z46" s="628"/>
      <c r="AA46" s="628"/>
      <c r="AB46" s="628"/>
      <c r="AC46" s="628"/>
      <c r="AD46" s="629"/>
    </row>
    <row r="47" spans="1:32" x14ac:dyDescent="0.35">
      <c r="S47" s="627"/>
      <c r="T47" s="628"/>
      <c r="U47" s="628"/>
      <c r="V47" s="628"/>
      <c r="W47" s="628"/>
      <c r="X47" s="628"/>
      <c r="Y47" s="628"/>
      <c r="Z47" s="628"/>
      <c r="AA47" s="628"/>
      <c r="AB47" s="628"/>
      <c r="AC47" s="628"/>
      <c r="AD47" s="629"/>
    </row>
    <row r="48" spans="1:32" ht="15" thickBot="1" x14ac:dyDescent="0.4">
      <c r="S48" s="592"/>
      <c r="T48" s="593"/>
      <c r="U48" s="593"/>
      <c r="V48" s="593"/>
      <c r="W48" s="593"/>
      <c r="X48" s="593"/>
      <c r="Y48" s="593"/>
      <c r="Z48" s="593"/>
      <c r="AA48" s="593"/>
      <c r="AB48" s="593"/>
      <c r="AC48" s="593"/>
      <c r="AD48" s="594"/>
    </row>
    <row r="50" spans="19:30" x14ac:dyDescent="0.35">
      <c r="S50" s="393" t="s">
        <v>145</v>
      </c>
      <c r="T50" s="394"/>
      <c r="U50" s="394"/>
      <c r="V50" s="394"/>
      <c r="W50" s="394"/>
      <c r="X50" s="394"/>
      <c r="Y50" s="394"/>
      <c r="Z50" s="394"/>
      <c r="AA50" s="394"/>
      <c r="AB50" s="394"/>
      <c r="AC50" s="394"/>
      <c r="AD50" s="394"/>
    </row>
    <row r="51" spans="19:30" x14ac:dyDescent="0.35">
      <c r="S51" s="394"/>
      <c r="T51" s="394"/>
      <c r="U51" s="394"/>
      <c r="V51" s="394"/>
      <c r="W51" s="394"/>
      <c r="X51" s="394"/>
      <c r="Y51" s="394"/>
      <c r="Z51" s="394"/>
      <c r="AA51" s="394"/>
      <c r="AB51" s="394"/>
      <c r="AC51" s="394"/>
      <c r="AD51" s="394"/>
    </row>
    <row r="52" spans="19:30" x14ac:dyDescent="0.35">
      <c r="S52" s="394"/>
      <c r="T52" s="394"/>
      <c r="U52" s="394"/>
      <c r="V52" s="394"/>
      <c r="W52" s="394"/>
      <c r="X52" s="394"/>
      <c r="Y52" s="394"/>
      <c r="Z52" s="394"/>
      <c r="AA52" s="394"/>
      <c r="AB52" s="394"/>
      <c r="AC52" s="394"/>
      <c r="AD52" s="394"/>
    </row>
    <row r="53" spans="19:30" x14ac:dyDescent="0.35">
      <c r="S53" s="392"/>
      <c r="T53" s="392"/>
      <c r="U53" s="392"/>
      <c r="V53" s="392"/>
      <c r="W53" s="392"/>
      <c r="X53" s="392"/>
      <c r="Y53" s="392"/>
      <c r="Z53" s="392"/>
      <c r="AA53" s="392"/>
      <c r="AB53" s="392"/>
      <c r="AC53" s="392"/>
      <c r="AD53" s="392"/>
    </row>
    <row r="54" spans="19:30" x14ac:dyDescent="0.35">
      <c r="S54" s="392"/>
      <c r="T54" s="392"/>
      <c r="U54" s="392"/>
      <c r="V54" s="392"/>
      <c r="W54" s="392"/>
      <c r="X54" s="392"/>
      <c r="Y54" s="392"/>
      <c r="Z54" s="392"/>
      <c r="AA54" s="392"/>
      <c r="AB54" s="392"/>
      <c r="AC54" s="392"/>
      <c r="AD54" s="392"/>
    </row>
  </sheetData>
  <sheetProtection algorithmName="SHA-512" hashValue="mVrzUawFJrsaCVPFlFeP8vmHOzTALHywoGHbrHkDouw7qmRzziOlis/qGJRj6taiH5AtEwlWnTnuvnm8aWex3w==" saltValue="l156d0dJca740Iy5Dx/s8A==" spinCount="100000" sheet="1" objects="1" scenarios="1"/>
  <mergeCells count="5">
    <mergeCell ref="S44:AD48"/>
    <mergeCell ref="P3:AD3"/>
    <mergeCell ref="P13:AD13"/>
    <mergeCell ref="P23:AD23"/>
    <mergeCell ref="P33:AD33"/>
  </mergeCells>
  <conditionalFormatting sqref="B3:M10 B13:M20 B23:M30 B33:M40">
    <cfRule type="containsBlanks" dxfId="185" priority="14">
      <formula>LEN(TRIM(B3))=0</formula>
    </cfRule>
  </conditionalFormatting>
  <conditionalFormatting sqref="W4:W12 W14:W22 W24:W32 W34:W40">
    <cfRule type="cellIs" dxfId="184" priority="11" operator="greaterThan">
      <formula>0</formula>
    </cfRule>
  </conditionalFormatting>
  <conditionalFormatting sqref="AD31:AD32 AD11:AD12 AD21:AD22 AD49 AD55:AD1048576 AD34:AD41">
    <cfRule type="containsText" dxfId="183" priority="9" operator="containsText" text="Negative">
      <formula>NOT(ISERROR(SEARCH("Negative",AD11)))</formula>
    </cfRule>
    <cfRule type="containsText" dxfId="182" priority="10" operator="containsText" text="Positive">
      <formula>NOT(ISERROR(SEARCH("Positive",AD11)))</formula>
    </cfRule>
  </conditionalFormatting>
  <conditionalFormatting sqref="AD24:AD30">
    <cfRule type="containsText" dxfId="181" priority="7" operator="containsText" text="Negative">
      <formula>NOT(ISERROR(SEARCH("Negative",AD24)))</formula>
    </cfRule>
    <cfRule type="containsText" dxfId="180" priority="8" operator="containsText" text="Positive">
      <formula>NOT(ISERROR(SEARCH("Positive",AD24)))</formula>
    </cfRule>
  </conditionalFormatting>
  <conditionalFormatting sqref="AD4:AD10">
    <cfRule type="containsText" dxfId="179" priority="5" operator="containsText" text="Negative">
      <formula>NOT(ISERROR(SEARCH("Negative",AD4)))</formula>
    </cfRule>
    <cfRule type="containsText" dxfId="178" priority="6" operator="containsText" text="Positive">
      <formula>NOT(ISERROR(SEARCH("Positive",AD4)))</formula>
    </cfRule>
  </conditionalFormatting>
  <conditionalFormatting sqref="AD14:AD20">
    <cfRule type="containsText" dxfId="177" priority="3" operator="containsText" text="Negative">
      <formula>NOT(ISERROR(SEARCH("Negative",AD14)))</formula>
    </cfRule>
    <cfRule type="containsText" dxfId="176" priority="4" operator="containsText" text="Positive">
      <formula>NOT(ISERROR(SEARCH("Positive",AD14)))</formula>
    </cfRule>
  </conditionalFormatting>
  <conditionalFormatting sqref="AD2">
    <cfRule type="containsText" dxfId="175" priority="1" operator="containsText" text="Negative">
      <formula>NOT(ISERROR(SEARCH("Negative",AD2)))</formula>
    </cfRule>
    <cfRule type="containsText" dxfId="174" priority="2" operator="containsText" text="Positive">
      <formula>NOT(ISERROR(SEARCH("Positive",AD2)))</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O18"/>
  <sheetViews>
    <sheetView workbookViewId="0">
      <selection activeCell="G10" sqref="G10"/>
    </sheetView>
  </sheetViews>
  <sheetFormatPr defaultRowHeight="14.5" x14ac:dyDescent="0.35"/>
  <cols>
    <col min="1" max="15" width="11.81640625" customWidth="1"/>
  </cols>
  <sheetData>
    <row r="1" spans="1:15" ht="15" thickBot="1" x14ac:dyDescent="0.4"/>
    <row r="2" spans="1:15" ht="15" thickBot="1" x14ac:dyDescent="0.4">
      <c r="A2" s="259" t="s">
        <v>58</v>
      </c>
      <c r="B2" s="260"/>
    </row>
    <row r="3" spans="1:15" x14ac:dyDescent="0.35">
      <c r="A3" s="502">
        <f>'NBT Depletion'!B33</f>
        <v>7.0000000000000007E-2</v>
      </c>
      <c r="B3" s="502">
        <f>'NBT Depletion'!$B34</f>
        <v>7.2999999999999995E-2</v>
      </c>
      <c r="C3" s="153">
        <f>'NBT Depletion'!$B35</f>
        <v>7.1999999999999995E-2</v>
      </c>
      <c r="D3" s="153">
        <f>'NBT Depletion'!$B36</f>
        <v>7.0000000000000007E-2</v>
      </c>
      <c r="E3" s="153">
        <f>'NBT Depletion'!$B37</f>
        <v>7.1999999999999995E-2</v>
      </c>
      <c r="F3" s="153">
        <f>'NBT Depletion'!$B38</f>
        <v>7.2999999999999995E-2</v>
      </c>
      <c r="G3" s="153">
        <f>'NBT Depletion'!$B39</f>
        <v>7.1999999999999995E-2</v>
      </c>
      <c r="H3" s="153">
        <f>'NBT Depletion'!$B40</f>
        <v>7.1999999999999995E-2</v>
      </c>
    </row>
    <row r="4" spans="1:15" ht="15" thickBot="1" x14ac:dyDescent="0.4"/>
    <row r="5" spans="1:15" ht="15" thickBot="1" x14ac:dyDescent="0.4">
      <c r="A5" s="261" t="s">
        <v>59</v>
      </c>
      <c r="B5" s="262"/>
    </row>
    <row r="6" spans="1:15" x14ac:dyDescent="0.35">
      <c r="A6" s="502">
        <f>'NBT Depletion'!U33</f>
        <v>0.56025000000000003</v>
      </c>
      <c r="B6" s="502">
        <f>'NBT Depletion'!V33</f>
        <v>0.56525000000000003</v>
      </c>
      <c r="C6" s="153" t="str">
        <f>'NBT Depletion'!W33</f>
        <v/>
      </c>
      <c r="D6" s="153">
        <f>'NBT Depletion'!X33</f>
        <v>0.57125000000000004</v>
      </c>
      <c r="E6" s="153">
        <f>'NBT Depletion'!Y33</f>
        <v>0.57125000000000004</v>
      </c>
      <c r="F6" s="153">
        <f>'NBT Depletion'!Z33</f>
        <v>0.57125000000000004</v>
      </c>
      <c r="G6" s="153">
        <f>'NBT Depletion'!AA33</f>
        <v>0.57425000000000004</v>
      </c>
      <c r="H6" s="153">
        <f>'NBT Depletion'!AB33</f>
        <v>0.57125000000000004</v>
      </c>
      <c r="I6" s="153">
        <f>'NBT Depletion'!U34</f>
        <v>0.56425000000000003</v>
      </c>
      <c r="J6" s="153">
        <f>'NBT Depletion'!$U35</f>
        <v>0.56525000000000003</v>
      </c>
      <c r="K6" s="153">
        <f>'NBT Depletion'!$U36</f>
        <v>0.55725000000000002</v>
      </c>
      <c r="L6" s="153">
        <f>'NBT Depletion'!$U37</f>
        <v>0.56325000000000003</v>
      </c>
      <c r="M6" s="153">
        <f>'NBT Depletion'!$U38</f>
        <v>0.56825000000000003</v>
      </c>
      <c r="N6" s="153">
        <f>'NBT Depletion'!$U39</f>
        <v>0.56725000000000003</v>
      </c>
      <c r="O6" s="153">
        <f>'NBT Depletion'!$U40</f>
        <v>0.56525000000000003</v>
      </c>
    </row>
    <row r="7" spans="1:15" ht="15" thickBot="1" x14ac:dyDescent="0.4"/>
    <row r="8" spans="1:15" ht="15" thickBot="1" x14ac:dyDescent="0.4">
      <c r="A8" s="261" t="s">
        <v>201</v>
      </c>
      <c r="B8" s="325"/>
    </row>
    <row r="9" spans="1:15" x14ac:dyDescent="0.35">
      <c r="A9" s="265">
        <f>'NBT Depletion'!BV13</f>
        <v>8.4386583860929319E-3</v>
      </c>
    </row>
    <row r="10" spans="1:15" ht="15" thickBot="1" x14ac:dyDescent="0.4"/>
    <row r="11" spans="1:15" ht="15" thickBot="1" x14ac:dyDescent="0.4">
      <c r="A11" s="263" t="s">
        <v>21</v>
      </c>
      <c r="B11" s="264"/>
    </row>
    <row r="12" spans="1:15" x14ac:dyDescent="0.35">
      <c r="A12" s="265">
        <f>'NBT Depletion'!AY34</f>
        <v>0.97191943376808843</v>
      </c>
    </row>
    <row r="13" spans="1:15" x14ac:dyDescent="0.35">
      <c r="A13" s="188">
        <f>'NBT Depletion'!AY35</f>
        <v>0.95956986537290234</v>
      </c>
    </row>
    <row r="14" spans="1:15" x14ac:dyDescent="0.35">
      <c r="A14" s="188">
        <f>'NBT Depletion'!AY36</f>
        <v>0.86841828912271846</v>
      </c>
    </row>
    <row r="15" spans="1:15" x14ac:dyDescent="0.35">
      <c r="A15" s="188">
        <f>'NBT Depletion'!AY37</f>
        <v>0.6126058009367189</v>
      </c>
    </row>
    <row r="16" spans="1:15" x14ac:dyDescent="0.35">
      <c r="A16" s="188">
        <f>'NBT Depletion'!AY38</f>
        <v>0.37502362800075612</v>
      </c>
    </row>
    <row r="17" spans="1:1" x14ac:dyDescent="0.35">
      <c r="A17" s="188">
        <f>'NBT Depletion'!AY39</f>
        <v>0.20448196921008963</v>
      </c>
    </row>
    <row r="18" spans="1:1" x14ac:dyDescent="0.35">
      <c r="A18" s="188">
        <f>'NBT Depletion'!AY40</f>
        <v>0.10450927267763011</v>
      </c>
    </row>
  </sheetData>
  <sheetProtection algorithmName="SHA-512" hashValue="0F9GBD/OCwBuuGUwuG8bq3dc1H4V6JbysJh9istbm8zDgPzu7RhDEYv8vwRKSWtkVtVmoQmmXr1FfLycH+SS9Q==" saltValue="+/ICSoFVzcmogZUG25SXCA==" spinCount="100000" sheet="1" objects="1" scenarios="1"/>
  <conditionalFormatting sqref="A3:H3 A6:O6 A12:A18">
    <cfRule type="containsBlanks" dxfId="173" priority="1">
      <formula>LEN(TRIM(A3))=0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Instructions</vt:lpstr>
      <vt:lpstr>Raw Data</vt:lpstr>
      <vt:lpstr>Study Information</vt:lpstr>
      <vt:lpstr>680 nm (Bubble) Outlier</vt:lpstr>
      <vt:lpstr>Quartiles Outlier Blank-NC</vt:lpstr>
      <vt:lpstr>Interference</vt:lpstr>
      <vt:lpstr>NBT Depletion</vt:lpstr>
      <vt:lpstr>T-test</vt:lpstr>
      <vt:lpstr>QC Chart Data</vt:lpstr>
      <vt:lpstr>NBT Report</vt:lpstr>
    </vt:vector>
  </TitlesOfParts>
  <Company>NIST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Steven Choquette</dc:creator>
  <cp:lastModifiedBy>Gordon, John</cp:lastModifiedBy>
  <cp:lastPrinted>2019-12-09T17:45:28Z</cp:lastPrinted>
  <dcterms:created xsi:type="dcterms:W3CDTF">2018-07-13T15:50:06Z</dcterms:created>
  <dcterms:modified xsi:type="dcterms:W3CDTF">2022-04-25T15:28:14Z</dcterms:modified>
</cp:coreProperties>
</file>