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105" windowWidth="28725" windowHeight="6885"/>
  </bookViews>
  <sheets>
    <sheet name="Patients" sheetId="1" r:id="rId1"/>
  </sheets>
  <calcPr calcId="125725"/>
</workbook>
</file>

<file path=xl/calcChain.xml><?xml version="1.0" encoding="utf-8"?>
<calcChain xmlns="http://schemas.openxmlformats.org/spreadsheetml/2006/main">
  <c r="AK69" i="1"/>
  <c r="AH69"/>
  <c r="AE69"/>
  <c r="AB69"/>
  <c r="BI53"/>
  <c r="BF53"/>
  <c r="BC53"/>
  <c r="AZ53"/>
  <c r="AW53"/>
  <c r="AT53"/>
  <c r="AN53"/>
  <c r="AQ53"/>
  <c r="AP53"/>
  <c r="AJ16"/>
  <c r="AJ29"/>
  <c r="AS29"/>
  <c r="AK53"/>
  <c r="AH53"/>
  <c r="AE60"/>
  <c r="AE53"/>
  <c r="AB64"/>
  <c r="AB60"/>
  <c r="AB53"/>
  <c r="I55"/>
  <c r="I56"/>
  <c r="I54"/>
  <c r="P59"/>
  <c r="P58"/>
  <c r="P57"/>
  <c r="P56"/>
  <c r="P54"/>
  <c r="P55"/>
  <c r="W58"/>
  <c r="W57"/>
  <c r="AS6"/>
  <c r="W73"/>
  <c r="W72"/>
  <c r="DD63"/>
  <c r="DC63"/>
  <c r="DD62"/>
  <c r="DD60"/>
  <c r="DC60"/>
  <c r="DA63"/>
  <c r="CZ63"/>
  <c r="DA62"/>
  <c r="DA60"/>
  <c r="CZ60"/>
  <c r="CX63"/>
  <c r="CW63"/>
  <c r="CX62"/>
  <c r="CX60"/>
  <c r="CW60"/>
  <c r="CU63"/>
  <c r="CT63"/>
  <c r="CU62"/>
  <c r="CU60"/>
  <c r="CT60"/>
  <c r="DC62"/>
  <c r="CZ62"/>
  <c r="CW62"/>
  <c r="CT62"/>
  <c r="AI60"/>
  <c r="CR68"/>
  <c r="CQ68"/>
  <c r="CR65"/>
  <c r="CQ65"/>
  <c r="CR64"/>
  <c r="CQ64"/>
  <c r="CO68"/>
  <c r="CN68"/>
  <c r="CO65"/>
  <c r="CN65"/>
  <c r="CO64"/>
  <c r="CN64"/>
  <c r="CL68"/>
  <c r="CK68"/>
  <c r="CL65"/>
  <c r="CK65"/>
  <c r="CL64"/>
  <c r="CK64"/>
  <c r="CI68"/>
  <c r="CH68"/>
  <c r="CI65"/>
  <c r="CH65"/>
  <c r="CI64"/>
  <c r="CH64"/>
  <c r="CF68"/>
  <c r="CE68"/>
  <c r="CF65"/>
  <c r="CE65"/>
  <c r="CF64"/>
  <c r="CE64"/>
  <c r="CC68"/>
  <c r="CB68"/>
  <c r="CC65"/>
  <c r="CB65"/>
  <c r="CC64"/>
  <c r="CB64"/>
  <c r="BZ68"/>
  <c r="BY68"/>
  <c r="BZ65"/>
  <c r="BY65"/>
  <c r="BZ64"/>
  <c r="BY64"/>
  <c r="BW68"/>
  <c r="BV68"/>
  <c r="BW65"/>
  <c r="BV65"/>
  <c r="BW64"/>
  <c r="BV64"/>
  <c r="BT68"/>
  <c r="BS68"/>
  <c r="BT65"/>
  <c r="BS65"/>
  <c r="BT64"/>
  <c r="BS64"/>
  <c r="BQ68"/>
  <c r="BP68"/>
  <c r="BQ65"/>
  <c r="BP65"/>
  <c r="BQ64"/>
  <c r="BP64"/>
  <c r="BN68"/>
  <c r="BM68"/>
  <c r="BN65"/>
  <c r="BM65"/>
  <c r="BN64"/>
  <c r="BM64"/>
  <c r="BK68"/>
  <c r="BJ68"/>
  <c r="BK65"/>
  <c r="BJ65"/>
  <c r="BK64"/>
  <c r="BJ64"/>
  <c r="CR67"/>
  <c r="CO67"/>
  <c r="CL67"/>
  <c r="CI67"/>
  <c r="CF67"/>
  <c r="CC67"/>
  <c r="BZ67"/>
  <c r="BW67"/>
  <c r="BT67"/>
  <c r="BQ67"/>
  <c r="BN67"/>
  <c r="CQ67"/>
  <c r="CN67"/>
  <c r="CK67"/>
  <c r="CH67"/>
  <c r="CE67"/>
  <c r="CB67"/>
  <c r="BY67"/>
  <c r="BV67"/>
  <c r="BS67"/>
  <c r="BP67"/>
  <c r="BM67"/>
  <c r="AJ31"/>
  <c r="AS31"/>
  <c r="AJ6"/>
  <c r="BB6"/>
  <c r="AJ15"/>
  <c r="AJ14"/>
  <c r="AJ12"/>
  <c r="BG58"/>
  <c r="BG57"/>
  <c r="BH56"/>
  <c r="BG56"/>
  <c r="BH55"/>
  <c r="BG55"/>
  <c r="BH54"/>
  <c r="BG54"/>
  <c r="BH53"/>
  <c r="BG53"/>
  <c r="BD58"/>
  <c r="BD57"/>
  <c r="BE56"/>
  <c r="BD56"/>
  <c r="BE55"/>
  <c r="BD55"/>
  <c r="BE54"/>
  <c r="BD54"/>
  <c r="BE53"/>
  <c r="BD53"/>
  <c r="BA58"/>
  <c r="BA57"/>
  <c r="BB56"/>
  <c r="BA56"/>
  <c r="BB55"/>
  <c r="BA55"/>
  <c r="BB54"/>
  <c r="BA54"/>
  <c r="BB53"/>
  <c r="BA53"/>
  <c r="BK67"/>
  <c r="BJ67"/>
  <c r="AY56"/>
  <c r="AY55"/>
  <c r="AY54"/>
  <c r="AY53"/>
  <c r="AX58"/>
  <c r="AX57"/>
  <c r="AX56"/>
  <c r="AX55"/>
  <c r="AX54"/>
  <c r="AX53"/>
  <c r="AP56"/>
  <c r="AP55"/>
  <c r="AP54"/>
  <c r="AS56"/>
  <c r="AS55"/>
  <c r="AS54"/>
  <c r="AS53"/>
  <c r="AV56"/>
  <c r="AV55"/>
  <c r="AV54"/>
  <c r="AV53"/>
  <c r="AU58"/>
  <c r="AU57"/>
  <c r="AU56"/>
  <c r="AU55"/>
  <c r="AU54"/>
  <c r="AU53"/>
  <c r="AR58"/>
  <c r="AR57"/>
  <c r="AR56"/>
  <c r="AR55"/>
  <c r="AR54"/>
  <c r="AR53"/>
  <c r="AO58"/>
  <c r="AO57"/>
  <c r="AO56"/>
  <c r="AO55"/>
  <c r="AO54"/>
  <c r="AO53"/>
  <c r="AL58"/>
  <c r="AL57"/>
  <c r="AM56"/>
  <c r="AL56"/>
  <c r="AM55"/>
  <c r="AL55"/>
  <c r="AM54"/>
  <c r="AL54"/>
  <c r="AM53"/>
  <c r="AL53"/>
  <c r="AJ69"/>
  <c r="AI69"/>
  <c r="AJ67"/>
  <c r="AI67"/>
  <c r="AJ65"/>
  <c r="AI65"/>
  <c r="AJ64"/>
  <c r="AI64"/>
  <c r="AJ63"/>
  <c r="AI63"/>
  <c r="AJ62"/>
  <c r="AJ60"/>
  <c r="AI58"/>
  <c r="AI57"/>
  <c r="AJ56"/>
  <c r="AI56"/>
  <c r="AJ55"/>
  <c r="AI55"/>
  <c r="AJ54"/>
  <c r="AI54"/>
  <c r="AJ53"/>
  <c r="AI53"/>
  <c r="AG69"/>
  <c r="AF69"/>
  <c r="AG67"/>
  <c r="AF67"/>
  <c r="AG65"/>
  <c r="AF65"/>
  <c r="AG64"/>
  <c r="AF64"/>
  <c r="AG63"/>
  <c r="AF63"/>
  <c r="AG62"/>
  <c r="AG60"/>
  <c r="AF60"/>
  <c r="AF58"/>
  <c r="AF57"/>
  <c r="AG56"/>
  <c r="AF56"/>
  <c r="AG55"/>
  <c r="AF55"/>
  <c r="AG54"/>
  <c r="AF54"/>
  <c r="AG53"/>
  <c r="AF53"/>
  <c r="AD69"/>
  <c r="AC69"/>
  <c r="AD67"/>
  <c r="AC67"/>
  <c r="AD65"/>
  <c r="AC65"/>
  <c r="AD64"/>
  <c r="AC64"/>
  <c r="AD63"/>
  <c r="AC63"/>
  <c r="AD62"/>
  <c r="AD60"/>
  <c r="AC60"/>
  <c r="AC58"/>
  <c r="AC57"/>
  <c r="AD56"/>
  <c r="AC56"/>
  <c r="AD55"/>
  <c r="AC55"/>
  <c r="AD54"/>
  <c r="AC54"/>
  <c r="AD53"/>
  <c r="AC53"/>
  <c r="AI62"/>
  <c r="AF62"/>
  <c r="AC62"/>
  <c r="AA65"/>
  <c r="Z65"/>
  <c r="AA67"/>
  <c r="Z67"/>
  <c r="AA64"/>
  <c r="Z64"/>
  <c r="AA63"/>
  <c r="Z63"/>
  <c r="AA60"/>
  <c r="Z60"/>
  <c r="AA62"/>
  <c r="Z62"/>
  <c r="Z58"/>
  <c r="AY58" s="1"/>
  <c r="Z57"/>
  <c r="BH57" s="1"/>
  <c r="AA56"/>
  <c r="Z56"/>
  <c r="AA55"/>
  <c r="Z55"/>
  <c r="AA54"/>
  <c r="Z54"/>
  <c r="BB30"/>
  <c r="V30"/>
  <c r="W30" s="1"/>
  <c r="K30"/>
  <c r="E30"/>
  <c r="AA69"/>
  <c r="Z69"/>
  <c r="AA53"/>
  <c r="Z53"/>
  <c r="Z70" l="1"/>
  <c r="AA70" s="1"/>
  <c r="AD57"/>
  <c r="AA58"/>
  <c r="Z71"/>
  <c r="AC70"/>
  <c r="AF71"/>
  <c r="AG58"/>
  <c r="AC71"/>
  <c r="AM57"/>
  <c r="AP57"/>
  <c r="AV57"/>
  <c r="AY57"/>
  <c r="BB58"/>
  <c r="BE58"/>
  <c r="BH58"/>
  <c r="AJ58"/>
  <c r="AS57"/>
  <c r="AA57"/>
  <c r="AI70"/>
  <c r="AG57"/>
  <c r="AF70"/>
  <c r="AI71"/>
  <c r="AD58"/>
  <c r="AJ57"/>
  <c r="AM58"/>
  <c r="AP58"/>
  <c r="AS58"/>
  <c r="AV58"/>
  <c r="BB57"/>
  <c r="BE57"/>
  <c r="AD70" l="1"/>
  <c r="AG70"/>
  <c r="AJ70"/>
  <c r="AJ71"/>
  <c r="AD71"/>
  <c r="AA71"/>
  <c r="AG71"/>
  <c r="H48" l="1"/>
  <c r="G48"/>
  <c r="H47"/>
  <c r="G47"/>
  <c r="C47"/>
  <c r="H46"/>
  <c r="G46"/>
  <c r="C46"/>
  <c r="H45"/>
  <c r="G45"/>
  <c r="C45"/>
  <c r="H44"/>
  <c r="G44"/>
  <c r="C44"/>
  <c r="H43"/>
  <c r="G43"/>
  <c r="C43"/>
  <c r="H42"/>
  <c r="G42"/>
  <c r="C42"/>
  <c r="H41"/>
  <c r="G41"/>
  <c r="C41"/>
  <c r="H40"/>
  <c r="G40"/>
  <c r="C40"/>
  <c r="H39"/>
  <c r="G39"/>
  <c r="C39"/>
  <c r="H38"/>
  <c r="G38"/>
  <c r="C38"/>
  <c r="BK24" l="1"/>
  <c r="BK12"/>
  <c r="BB8"/>
  <c r="BB27"/>
  <c r="BB24"/>
  <c r="BB2"/>
  <c r="BB28"/>
  <c r="BB3"/>
  <c r="BB13"/>
  <c r="BB20"/>
  <c r="BB4"/>
  <c r="BB5"/>
  <c r="BB14"/>
  <c r="BB25"/>
  <c r="BB31"/>
  <c r="BB26"/>
  <c r="BB15"/>
  <c r="BB29"/>
  <c r="BB19"/>
  <c r="BB12"/>
  <c r="W53" l="1"/>
  <c r="W54"/>
  <c r="P64"/>
  <c r="P63"/>
  <c r="P62"/>
  <c r="P61"/>
  <c r="P60"/>
  <c r="P53"/>
  <c r="W64"/>
  <c r="W63"/>
  <c r="W62"/>
  <c r="W61"/>
  <c r="W60"/>
  <c r="W59"/>
  <c r="W56"/>
  <c r="W55"/>
  <c r="N67"/>
  <c r="M67"/>
  <c r="L67"/>
  <c r="K67"/>
  <c r="N66"/>
  <c r="M66"/>
  <c r="L66"/>
  <c r="K66"/>
  <c r="N65"/>
  <c r="M65"/>
  <c r="L65"/>
  <c r="K65"/>
  <c r="N64"/>
  <c r="M64"/>
  <c r="L64"/>
  <c r="K64"/>
  <c r="N63"/>
  <c r="M63"/>
  <c r="L63"/>
  <c r="K63"/>
  <c r="N62"/>
  <c r="M62"/>
  <c r="L62"/>
  <c r="K62"/>
  <c r="N61"/>
  <c r="M61"/>
  <c r="L61"/>
  <c r="K61"/>
  <c r="N60"/>
  <c r="M60"/>
  <c r="L60"/>
  <c r="K60"/>
  <c r="N59"/>
  <c r="M59"/>
  <c r="L59"/>
  <c r="K59"/>
  <c r="N58"/>
  <c r="M58"/>
  <c r="L58"/>
  <c r="K58"/>
  <c r="N57"/>
  <c r="M57"/>
  <c r="M70" s="1"/>
  <c r="L57"/>
  <c r="K57"/>
  <c r="N56"/>
  <c r="M56"/>
  <c r="L56"/>
  <c r="K56"/>
  <c r="N55"/>
  <c r="M55"/>
  <c r="L55"/>
  <c r="K55"/>
  <c r="N54"/>
  <c r="M54"/>
  <c r="L54"/>
  <c r="K54"/>
  <c r="N53"/>
  <c r="M53"/>
  <c r="L53"/>
  <c r="K53"/>
  <c r="U67"/>
  <c r="T67"/>
  <c r="S67"/>
  <c r="R67"/>
  <c r="U66"/>
  <c r="T66"/>
  <c r="S66"/>
  <c r="R66"/>
  <c r="U65"/>
  <c r="T65"/>
  <c r="S65"/>
  <c r="R65"/>
  <c r="U64"/>
  <c r="T64"/>
  <c r="S64"/>
  <c r="R64"/>
  <c r="U63"/>
  <c r="T63"/>
  <c r="S63"/>
  <c r="R63"/>
  <c r="U62"/>
  <c r="T62"/>
  <c r="S62"/>
  <c r="R62"/>
  <c r="U61"/>
  <c r="T61"/>
  <c r="S61"/>
  <c r="R61"/>
  <c r="U60"/>
  <c r="T60"/>
  <c r="S60"/>
  <c r="R60"/>
  <c r="U59"/>
  <c r="T59"/>
  <c r="S59"/>
  <c r="R59"/>
  <c r="U58"/>
  <c r="T58"/>
  <c r="S58"/>
  <c r="R58"/>
  <c r="U57"/>
  <c r="T57"/>
  <c r="S57"/>
  <c r="R57"/>
  <c r="U56"/>
  <c r="T56"/>
  <c r="S56"/>
  <c r="R56"/>
  <c r="U55"/>
  <c r="T55"/>
  <c r="S55"/>
  <c r="R55"/>
  <c r="U54"/>
  <c r="T54"/>
  <c r="S54"/>
  <c r="R54"/>
  <c r="U53"/>
  <c r="T53"/>
  <c r="S53"/>
  <c r="R53"/>
  <c r="G67"/>
  <c r="F67"/>
  <c r="E67"/>
  <c r="D67"/>
  <c r="G66"/>
  <c r="F66"/>
  <c r="E66"/>
  <c r="D66"/>
  <c r="G65"/>
  <c r="F65"/>
  <c r="E65"/>
  <c r="D65"/>
  <c r="I64"/>
  <c r="G64"/>
  <c r="F64"/>
  <c r="E64"/>
  <c r="D64"/>
  <c r="I63"/>
  <c r="G63"/>
  <c r="F63"/>
  <c r="E63"/>
  <c r="D63"/>
  <c r="I62"/>
  <c r="G62"/>
  <c r="F62"/>
  <c r="E62"/>
  <c r="D62"/>
  <c r="I61"/>
  <c r="G61"/>
  <c r="F61"/>
  <c r="E61"/>
  <c r="D61"/>
  <c r="I60"/>
  <c r="G60"/>
  <c r="F60"/>
  <c r="E60"/>
  <c r="D60"/>
  <c r="I59"/>
  <c r="G59"/>
  <c r="F59"/>
  <c r="E59"/>
  <c r="D59"/>
  <c r="I58"/>
  <c r="G58"/>
  <c r="F58"/>
  <c r="E58"/>
  <c r="D58"/>
  <c r="I57"/>
  <c r="G57"/>
  <c r="F57"/>
  <c r="E57"/>
  <c r="D57"/>
  <c r="G56"/>
  <c r="F56"/>
  <c r="E56"/>
  <c r="D56"/>
  <c r="G55"/>
  <c r="F55"/>
  <c r="E55"/>
  <c r="D55"/>
  <c r="G54"/>
  <c r="F54"/>
  <c r="E54"/>
  <c r="D54"/>
  <c r="I53"/>
  <c r="G53"/>
  <c r="F53"/>
  <c r="E53"/>
  <c r="D53"/>
  <c r="C57"/>
  <c r="C67"/>
  <c r="C66"/>
  <c r="C65"/>
  <c r="C64"/>
  <c r="C63"/>
  <c r="C62"/>
  <c r="C61"/>
  <c r="C60"/>
  <c r="C59"/>
  <c r="C58"/>
  <c r="C56"/>
  <c r="C55"/>
  <c r="C54"/>
  <c r="C53"/>
  <c r="D69" l="1"/>
  <c r="O54"/>
  <c r="O60"/>
  <c r="Q53"/>
  <c r="O56"/>
  <c r="O53"/>
  <c r="E69"/>
  <c r="V56"/>
  <c r="G69"/>
  <c r="C68"/>
  <c r="X67"/>
  <c r="Q54"/>
  <c r="V54"/>
  <c r="X64"/>
  <c r="V67"/>
  <c r="V53"/>
  <c r="V65"/>
  <c r="U68"/>
  <c r="N68"/>
  <c r="X53"/>
  <c r="G68"/>
  <c r="D68"/>
  <c r="F68"/>
  <c r="T68"/>
  <c r="M68"/>
  <c r="X61"/>
  <c r="X54"/>
  <c r="E68"/>
  <c r="S68"/>
  <c r="L68"/>
  <c r="R68"/>
  <c r="K68"/>
  <c r="Q67"/>
  <c r="O67"/>
  <c r="L69"/>
  <c r="U71"/>
  <c r="V66"/>
  <c r="X66"/>
  <c r="U70"/>
  <c r="X65"/>
  <c r="V64"/>
  <c r="Q64"/>
  <c r="O64"/>
  <c r="T70"/>
  <c r="W70"/>
  <c r="P70"/>
  <c r="W71"/>
  <c r="P71"/>
  <c r="X62"/>
  <c r="V62"/>
  <c r="V61"/>
  <c r="T71"/>
  <c r="S71"/>
  <c r="I69"/>
  <c r="U69"/>
  <c r="N69"/>
  <c r="T69"/>
  <c r="V60"/>
  <c r="M69"/>
  <c r="F69"/>
  <c r="S69"/>
  <c r="X60"/>
  <c r="Q60"/>
  <c r="V59"/>
  <c r="X59"/>
  <c r="X58"/>
  <c r="V58"/>
  <c r="Q59"/>
  <c r="V57"/>
  <c r="X57"/>
  <c r="X56"/>
  <c r="Q56"/>
  <c r="M71"/>
  <c r="O61"/>
  <c r="O62"/>
  <c r="O66"/>
  <c r="Q63"/>
  <c r="N71"/>
  <c r="O59"/>
  <c r="L70"/>
  <c r="O70" s="1"/>
  <c r="Q62"/>
  <c r="O65"/>
  <c r="Q66"/>
  <c r="O63"/>
  <c r="L71"/>
  <c r="O71" s="1"/>
  <c r="Q57"/>
  <c r="Q61"/>
  <c r="Q65"/>
  <c r="Q58"/>
  <c r="N70"/>
  <c r="O57"/>
  <c r="O58"/>
  <c r="X55"/>
  <c r="Q55"/>
  <c r="V55"/>
  <c r="O55"/>
  <c r="W69"/>
  <c r="P69"/>
  <c r="R69"/>
  <c r="K69"/>
  <c r="K70"/>
  <c r="K71"/>
  <c r="C69"/>
  <c r="C70"/>
  <c r="C71"/>
  <c r="Q69" l="1"/>
  <c r="X68"/>
  <c r="V69"/>
  <c r="H69"/>
  <c r="X69"/>
  <c r="Q70"/>
  <c r="V71"/>
  <c r="O69"/>
  <c r="X71"/>
  <c r="J69"/>
  <c r="Q71"/>
  <c r="O68"/>
  <c r="V68"/>
  <c r="Q68"/>
  <c r="H62"/>
  <c r="I71"/>
  <c r="J65"/>
  <c r="H57"/>
  <c r="H65"/>
  <c r="J58"/>
  <c r="J57"/>
  <c r="H63"/>
  <c r="S70"/>
  <c r="V70" s="1"/>
  <c r="X63"/>
  <c r="V63"/>
  <c r="J63"/>
  <c r="I70"/>
  <c r="H58"/>
  <c r="E71"/>
  <c r="F70"/>
  <c r="F71"/>
  <c r="G70"/>
  <c r="E70"/>
  <c r="G71"/>
  <c r="D71"/>
  <c r="R70"/>
  <c r="R71"/>
  <c r="J59"/>
  <c r="H59"/>
  <c r="J66"/>
  <c r="H66"/>
  <c r="H61"/>
  <c r="J64"/>
  <c r="J61"/>
  <c r="J62"/>
  <c r="D70"/>
  <c r="X70" l="1"/>
  <c r="J71"/>
  <c r="J70"/>
  <c r="H70"/>
  <c r="H71"/>
  <c r="J60"/>
  <c r="H68"/>
  <c r="J68"/>
  <c r="H64"/>
  <c r="J53"/>
  <c r="H53"/>
  <c r="H60"/>
  <c r="H67"/>
  <c r="J67"/>
  <c r="H56"/>
  <c r="J56" l="1"/>
  <c r="J55"/>
  <c r="H54"/>
  <c r="H55"/>
  <c r="J54"/>
  <c r="AS15" l="1"/>
  <c r="V23"/>
  <c r="W23" s="1"/>
  <c r="V6"/>
  <c r="W6" s="1"/>
  <c r="V7"/>
  <c r="W7" s="1"/>
  <c r="V12"/>
  <c r="W12" s="1"/>
  <c r="V8"/>
  <c r="W8" s="1"/>
  <c r="V27"/>
  <c r="W27" s="1"/>
  <c r="V24"/>
  <c r="W24" s="1"/>
  <c r="V2"/>
  <c r="W2" s="1"/>
  <c r="V28"/>
  <c r="W28" s="1"/>
  <c r="V3"/>
  <c r="W3" s="1"/>
  <c r="V16"/>
  <c r="W16" s="1"/>
  <c r="V10"/>
  <c r="W10" s="1"/>
  <c r="V21"/>
  <c r="W21" s="1"/>
  <c r="V13"/>
  <c r="W13" s="1"/>
  <c r="V20"/>
  <c r="W20" s="1"/>
  <c r="V4"/>
  <c r="W4" s="1"/>
  <c r="V17"/>
  <c r="W17" s="1"/>
  <c r="V22"/>
  <c r="W22" s="1"/>
  <c r="V5"/>
  <c r="W5" s="1"/>
  <c r="V14"/>
  <c r="W14" s="1"/>
  <c r="V25"/>
  <c r="W25" s="1"/>
  <c r="V31"/>
  <c r="W31" s="1"/>
  <c r="V18"/>
  <c r="W18" s="1"/>
  <c r="V26"/>
  <c r="W26" s="1"/>
  <c r="V15"/>
  <c r="W15" s="1"/>
  <c r="V29"/>
  <c r="W29" s="1"/>
  <c r="V19"/>
  <c r="W19" s="1"/>
  <c r="V9"/>
  <c r="W9" s="1"/>
  <c r="V11"/>
  <c r="W11" s="1"/>
  <c r="AJ21"/>
  <c r="AJ20"/>
  <c r="AJ13"/>
  <c r="BK8"/>
  <c r="AS23"/>
  <c r="AS12"/>
  <c r="AS8"/>
  <c r="AS24"/>
  <c r="AS28"/>
  <c r="AS16"/>
  <c r="AS13"/>
  <c r="AS20"/>
  <c r="AS17"/>
  <c r="AS14"/>
  <c r="AS19"/>
  <c r="AS9"/>
  <c r="AJ23"/>
  <c r="AJ7"/>
  <c r="AJ8"/>
  <c r="AJ27"/>
  <c r="AJ24"/>
  <c r="AJ28"/>
  <c r="AJ3"/>
  <c r="AJ17"/>
  <c r="AJ5"/>
  <c r="AJ19"/>
  <c r="AJ9"/>
  <c r="AJ11"/>
  <c r="K13" l="1"/>
  <c r="K23"/>
  <c r="K6"/>
  <c r="K7"/>
  <c r="K12"/>
  <c r="K8"/>
  <c r="K27"/>
  <c r="K24"/>
  <c r="K2"/>
  <c r="K28"/>
  <c r="K3"/>
  <c r="K16"/>
  <c r="K10"/>
  <c r="K21"/>
  <c r="K20"/>
  <c r="K4"/>
  <c r="K17"/>
  <c r="K22"/>
  <c r="K5"/>
  <c r="K14"/>
  <c r="K25"/>
  <c r="K31"/>
  <c r="K18"/>
  <c r="K26"/>
  <c r="K15"/>
  <c r="K29"/>
  <c r="K19"/>
  <c r="K9"/>
  <c r="K11"/>
  <c r="D47" l="1"/>
  <c r="D46"/>
  <c r="D39"/>
  <c r="D41"/>
  <c r="F48"/>
  <c r="C48"/>
  <c r="D48"/>
  <c r="E48"/>
  <c r="D40"/>
  <c r="D38"/>
  <c r="D44"/>
  <c r="D42"/>
  <c r="D45"/>
  <c r="E3" l="1"/>
  <c r="E23"/>
  <c r="E8"/>
  <c r="E22"/>
  <c r="E14"/>
  <c r="E2"/>
  <c r="E16"/>
  <c r="E10"/>
  <c r="E4"/>
  <c r="E17"/>
  <c r="E11"/>
  <c r="E12"/>
  <c r="E13"/>
  <c r="E5"/>
  <c r="E6"/>
  <c r="E15"/>
  <c r="E9"/>
  <c r="E7"/>
  <c r="E21"/>
  <c r="E20"/>
  <c r="E18"/>
  <c r="E19"/>
  <c r="E27"/>
  <c r="E25"/>
  <c r="E26"/>
  <c r="E29"/>
  <c r="E24"/>
  <c r="E28"/>
  <c r="E31"/>
</calcChain>
</file>

<file path=xl/sharedStrings.xml><?xml version="1.0" encoding="utf-8"?>
<sst xmlns="http://schemas.openxmlformats.org/spreadsheetml/2006/main" count="1341" uniqueCount="198">
  <si>
    <t>Body Part</t>
  </si>
  <si>
    <t>PRP</t>
  </si>
  <si>
    <t>Saline</t>
  </si>
  <si>
    <t>Laser Light</t>
  </si>
  <si>
    <t>Yes</t>
  </si>
  <si>
    <t>No</t>
  </si>
  <si>
    <t>Red/Red</t>
  </si>
  <si>
    <t>IR/Red</t>
  </si>
  <si>
    <t>?</t>
  </si>
  <si>
    <t>IR/Red/Blue</t>
  </si>
  <si>
    <t>Red/Blue</t>
  </si>
  <si>
    <t>knee</t>
  </si>
  <si>
    <t>L</t>
  </si>
  <si>
    <t>Side</t>
  </si>
  <si>
    <t>R</t>
  </si>
  <si>
    <t>hip</t>
  </si>
  <si>
    <t>thumb</t>
  </si>
  <si>
    <t>Med</t>
  </si>
  <si>
    <t>bad</t>
  </si>
  <si>
    <t>good</t>
  </si>
  <si>
    <t>lat</t>
  </si>
  <si>
    <t>no</t>
  </si>
  <si>
    <t>JT Space</t>
  </si>
  <si>
    <t>UK</t>
  </si>
  <si>
    <t>med</t>
  </si>
  <si>
    <t>T2</t>
  </si>
  <si>
    <t>PF</t>
  </si>
  <si>
    <t xml:space="preserve">Yes </t>
  </si>
  <si>
    <t>GH</t>
  </si>
  <si>
    <t>Knees</t>
  </si>
  <si>
    <t>Lat</t>
  </si>
  <si>
    <t>Good</t>
  </si>
  <si>
    <t>Hip</t>
  </si>
  <si>
    <t>T1</t>
  </si>
  <si>
    <t>T3</t>
  </si>
  <si>
    <t>Shoulders</t>
  </si>
  <si>
    <t>Thumb</t>
  </si>
  <si>
    <t>Totals</t>
  </si>
  <si>
    <t>Part</t>
  </si>
  <si>
    <t>Total</t>
  </si>
  <si>
    <t>DOS</t>
  </si>
  <si>
    <t>Last FU</t>
  </si>
  <si>
    <t>mo post inj</t>
  </si>
  <si>
    <t>Comments</t>
  </si>
  <si>
    <t>Y</t>
  </si>
  <si>
    <t>THA 6/12/17</t>
  </si>
  <si>
    <t>TKA 11/9/17</t>
  </si>
  <si>
    <t>N</t>
  </si>
  <si>
    <t>NA</t>
  </si>
  <si>
    <t>THA done 8/22/17</t>
  </si>
  <si>
    <t>TKA 1/9/18</t>
  </si>
  <si>
    <t>THA done 4/2017</t>
  </si>
  <si>
    <t>TKA done 4/2017</t>
  </si>
  <si>
    <t>TKA done 7/2017</t>
  </si>
  <si>
    <t>1/3/18 went alt MD - PT &amp; hylagen feels good now</t>
  </si>
  <si>
    <t>6 Mo Good</t>
  </si>
  <si>
    <t>1 Yr Good</t>
  </si>
  <si>
    <t>6 mo Bad</t>
  </si>
  <si>
    <t>1 Yr Bad</t>
  </si>
  <si>
    <t>% Good</t>
  </si>
  <si>
    <t>UK 1 Yr</t>
  </si>
  <si>
    <t>UK 6 Mo</t>
  </si>
  <si>
    <t>1 prior PRP/3 prior stem cell</t>
  </si>
  <si>
    <t>1 prior stem, 1 prior PRP; TKA 1/24/17</t>
  </si>
  <si>
    <t>also prior surg</t>
  </si>
  <si>
    <t>BOB &amp; 1mm</t>
  </si>
  <si>
    <t>Mo to TJA</t>
  </si>
  <si>
    <t>TJA Done</t>
  </si>
  <si>
    <t>DOB</t>
  </si>
  <si>
    <t>Age</t>
  </si>
  <si>
    <t>BMI</t>
  </si>
  <si>
    <t>Sex</t>
  </si>
  <si>
    <t>Female</t>
  </si>
  <si>
    <t>Male</t>
  </si>
  <si>
    <t>#</t>
  </si>
  <si>
    <t>M</t>
  </si>
  <si>
    <t>F</t>
  </si>
  <si>
    <r>
      <t xml:space="preserve">Biceps - </t>
    </r>
    <r>
      <rPr>
        <b/>
        <sz val="11"/>
        <color theme="1"/>
        <rFont val="Calibri"/>
        <family val="2"/>
        <scheme val="minor"/>
      </rPr>
      <t>Exclude</t>
    </r>
  </si>
  <si>
    <t>y</t>
  </si>
  <si>
    <t>Total No BOB</t>
  </si>
  <si>
    <t>2mm &amp; up</t>
  </si>
  <si>
    <t xml:space="preserve">UK </t>
  </si>
  <si>
    <t>UK Joint Sp</t>
  </si>
  <si>
    <t>6 Mo Totals</t>
  </si>
  <si>
    <t>1 Yr Totals</t>
  </si>
  <si>
    <t>0-1mm</t>
  </si>
  <si>
    <t>&gt;1mm</t>
  </si>
  <si>
    <t>Total BOB</t>
  </si>
  <si>
    <t>TKA 6/5/2018</t>
  </si>
  <si>
    <t>Synv #</t>
  </si>
  <si>
    <t>Synv Mo</t>
  </si>
  <si>
    <t>IA Laser + Saline</t>
  </si>
  <si>
    <t>IA Laser Dry</t>
  </si>
  <si>
    <t>IA Laser/ PRP Inj#</t>
  </si>
  <si>
    <t>IA Laser Total</t>
  </si>
  <si>
    <t>Inj Total (Syn + PRP)</t>
  </si>
  <si>
    <t>Where</t>
  </si>
  <si>
    <t>PRP/ Stem Cell Inj #</t>
  </si>
  <si>
    <t>Out come</t>
  </si>
  <si>
    <t>Good at 6 mo</t>
  </si>
  <si>
    <t>Good at 1 Yr</t>
  </si>
  <si>
    <t>Good at 2 Yr</t>
  </si>
  <si>
    <t>Good &gt; 2 Yr</t>
  </si>
  <si>
    <t>Pre Have Forms?</t>
  </si>
  <si>
    <t>Pre Score 1</t>
  </si>
  <si>
    <t>Pre Score 2</t>
  </si>
  <si>
    <t>Pre Score 3</t>
  </si>
  <si>
    <t>Pre SANE</t>
  </si>
  <si>
    <t>6 Mo Date</t>
  </si>
  <si>
    <t>6 Mo Mos</t>
  </si>
  <si>
    <t>6 Mo Have %?</t>
  </si>
  <si>
    <t>6 Mo Have Score</t>
  </si>
  <si>
    <t>6 Mo Score 1</t>
  </si>
  <si>
    <t>6 Mo Score 2</t>
  </si>
  <si>
    <t>6 Mo Score 3</t>
  </si>
  <si>
    <t>6 Mo Have SANE</t>
  </si>
  <si>
    <t>6 Mo SANE</t>
  </si>
  <si>
    <t>1 YR Date</t>
  </si>
  <si>
    <t>1 YR Mos</t>
  </si>
  <si>
    <t>1 YR Have %?</t>
  </si>
  <si>
    <t>1 YR Have Score</t>
  </si>
  <si>
    <t>1 Yr Score 1</t>
  </si>
  <si>
    <t>1 Yr Score 2</t>
  </si>
  <si>
    <t>1 Yr Score 3</t>
  </si>
  <si>
    <t>1 YR Have SANE</t>
  </si>
  <si>
    <t>1 Yr SANE</t>
  </si>
  <si>
    <t>2 Yr Date</t>
  </si>
  <si>
    <t>2 Yr Have %?</t>
  </si>
  <si>
    <t>2 Yr Have Score</t>
  </si>
  <si>
    <t>2 Yr Score 1</t>
  </si>
  <si>
    <t>2 Yr Score 2</t>
  </si>
  <si>
    <t>2 Yr Score 3</t>
  </si>
  <si>
    <t>2 Yr Have SANE</t>
  </si>
  <si>
    <t>2 Yr SANE</t>
  </si>
  <si>
    <t>&gt;2 Yr Date</t>
  </si>
  <si>
    <t>&gt;2 Yr Mos</t>
  </si>
  <si>
    <t>&gt;2 Yr Have %?</t>
  </si>
  <si>
    <t>&gt;2 Yr Have Score</t>
  </si>
  <si>
    <t>&gt;2 Yr Score 1</t>
  </si>
  <si>
    <t>&gt;2 Yr Score 2</t>
  </si>
  <si>
    <t>&gt;2 Yr Score 3</t>
  </si>
  <si>
    <t>&gt;2 Yr Have SANE</t>
  </si>
  <si>
    <t>&gt;2 Yr SANE</t>
  </si>
  <si>
    <t>NY</t>
  </si>
  <si>
    <t xml:space="preserve">N </t>
  </si>
  <si>
    <t>Synvisc, surg prior to laser, stem cell</t>
  </si>
  <si>
    <t>surg 5/25/18 OATS &amp;  patellar realign</t>
  </si>
  <si>
    <t>surg</t>
  </si>
  <si>
    <t>sh</t>
  </si>
  <si>
    <t>Jt Replac</t>
  </si>
  <si>
    <t>Jt Replacement</t>
  </si>
  <si>
    <t>% Total Jt Repl</t>
  </si>
  <si>
    <t>2 Yr Totals</t>
  </si>
  <si>
    <t>2 Yr Good</t>
  </si>
  <si>
    <t>2 Yr Bad</t>
  </si>
  <si>
    <t>UK 2 Yr</t>
  </si>
  <si>
    <t>Mean Age</t>
  </si>
  <si>
    <t>Oldest</t>
  </si>
  <si>
    <t>Youngest</t>
  </si>
  <si>
    <t>TSA 2/13/19</t>
  </si>
  <si>
    <t>Why No Jt Replace</t>
  </si>
  <si>
    <t>TKA</t>
  </si>
  <si>
    <t>THA</t>
  </si>
  <si>
    <t>PT</t>
  </si>
  <si>
    <t>Surg</t>
  </si>
  <si>
    <t>TSA</t>
  </si>
  <si>
    <t>2 Yr Mos</t>
  </si>
  <si>
    <t>SANE</t>
  </si>
  <si>
    <t>Pre Treat #</t>
  </si>
  <si>
    <t>Pre Treat Mean</t>
  </si>
  <si>
    <t>6 Mo #</t>
  </si>
  <si>
    <t>6 Mo Mean</t>
  </si>
  <si>
    <t>1 Yr #</t>
  </si>
  <si>
    <t>1 Yr Mean</t>
  </si>
  <si>
    <t>2 Yr #</t>
  </si>
  <si>
    <t xml:space="preserve">2 Yr Mean </t>
  </si>
  <si>
    <t>KOOS - PS</t>
  </si>
  <si>
    <t>WOMAC</t>
  </si>
  <si>
    <t>Quick DASH - Total</t>
  </si>
  <si>
    <t>Quick DASH Work</t>
  </si>
  <si>
    <t>NAH</t>
  </si>
  <si>
    <t>Quick DASH Sports</t>
  </si>
  <si>
    <t>TKA 1/23/17</t>
  </si>
  <si>
    <t>5/1/19Too old for surg, fell &amp; did PT which helped a bit</t>
  </si>
  <si>
    <t>Mean to Jt Rep</t>
  </si>
  <si>
    <t>Total Jt Repl</t>
  </si>
  <si>
    <t>ST Dev</t>
  </si>
  <si>
    <t>KOOS</t>
  </si>
  <si>
    <t>Womac</t>
  </si>
  <si>
    <t>P Values - Initial vs ___</t>
  </si>
  <si>
    <t>6 mo</t>
  </si>
  <si>
    <t xml:space="preserve">1 yr </t>
  </si>
  <si>
    <t>2 yr</t>
  </si>
  <si>
    <t>SANE Knee Pt</t>
  </si>
  <si>
    <t>SANE All Pt</t>
  </si>
  <si>
    <t>Pt #</t>
  </si>
  <si>
    <t>TKA 12/4/17</t>
  </si>
  <si>
    <t xml:space="preserve"> TKA 2018</t>
  </si>
</sst>
</file>

<file path=xl/styles.xml><?xml version="1.0" encoding="utf-8"?>
<styleSheet xmlns="http://schemas.openxmlformats.org/spreadsheetml/2006/main">
  <numFmts count="4">
    <numFmt numFmtId="164" formatCode="m/d/yy;@"/>
    <numFmt numFmtId="165" formatCode="0.0"/>
    <numFmt numFmtId="166" formatCode="0.0%"/>
    <numFmt numFmtId="167" formatCode="0.00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7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7"/>
      <name val="Calibri"/>
      <family val="2"/>
      <scheme val="minor"/>
    </font>
    <font>
      <b/>
      <sz val="9"/>
      <name val="Arial"/>
      <family val="2"/>
    </font>
    <font>
      <b/>
      <sz val="8"/>
      <color theme="1"/>
      <name val="Calibri"/>
      <family val="2"/>
      <scheme val="minor"/>
    </font>
    <font>
      <b/>
      <sz val="8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theme="4" tint="0.79998168889431442"/>
      </patternFill>
    </fill>
    <fill>
      <patternFill patternType="solid">
        <fgColor theme="4" tint="0.79998168889431442"/>
        <bgColor theme="4" tint="0.59999389629810485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theme="4" tint="0.59999389629810485"/>
      </patternFill>
    </fill>
    <fill>
      <patternFill patternType="solid">
        <fgColor theme="0" tint="-0.249977111117893"/>
        <bgColor theme="4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EBE600"/>
        <bgColor indexed="64"/>
      </patternFill>
    </fill>
    <fill>
      <patternFill patternType="solid">
        <fgColor theme="1" tint="0.499984740745262"/>
        <bgColor theme="4" tint="0.59999389629810485"/>
      </patternFill>
    </fill>
    <fill>
      <patternFill patternType="solid">
        <fgColor theme="0"/>
        <bgColor theme="4" tint="0.79998168889431442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auto="1"/>
      </bottom>
      <diagonal/>
    </border>
    <border>
      <left style="thin">
        <color indexed="64"/>
      </left>
      <right/>
      <top/>
      <bottom style="thick">
        <color auto="1"/>
      </bottom>
      <diagonal/>
    </border>
    <border>
      <left style="thick">
        <color indexed="64"/>
      </left>
      <right style="thin">
        <color indexed="64"/>
      </right>
      <top/>
      <bottom style="thick">
        <color auto="1"/>
      </bottom>
      <diagonal/>
    </border>
    <border>
      <left style="thick">
        <color indexed="64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3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11" borderId="0" applyNumberFormat="0" applyBorder="0" applyAlignment="0" applyProtection="0"/>
    <xf numFmtId="0" fontId="10" fillId="1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11" borderId="0" applyNumberFormat="0" applyBorder="0" applyAlignment="0" applyProtection="0"/>
  </cellStyleXfs>
  <cellXfs count="540">
    <xf numFmtId="0" fontId="0" fillId="0" borderId="0" xfId="0"/>
    <xf numFmtId="0" fontId="0" fillId="0" borderId="1" xfId="0" applyBorder="1"/>
    <xf numFmtId="0" fontId="0" fillId="0" borderId="3" xfId="0" applyBorder="1"/>
    <xf numFmtId="14" fontId="0" fillId="0" borderId="3" xfId="0" applyNumberFormat="1" applyBorder="1"/>
    <xf numFmtId="0" fontId="2" fillId="0" borderId="2" xfId="0" applyFont="1" applyBorder="1"/>
    <xf numFmtId="0" fontId="2" fillId="0" borderId="2" xfId="0" applyFont="1" applyBorder="1" applyAlignment="1">
      <alignment wrapText="1"/>
    </xf>
    <xf numFmtId="0" fontId="0" fillId="0" borderId="5" xfId="0" applyBorder="1" applyAlignment="1">
      <alignment wrapText="1"/>
    </xf>
    <xf numFmtId="0" fontId="0" fillId="0" borderId="5" xfId="0" applyBorder="1"/>
    <xf numFmtId="0" fontId="0" fillId="0" borderId="7" xfId="0" applyBorder="1" applyAlignment="1">
      <alignment wrapText="1"/>
    </xf>
    <xf numFmtId="9" fontId="0" fillId="0" borderId="0" xfId="1" applyFont="1"/>
    <xf numFmtId="164" fontId="2" fillId="0" borderId="2" xfId="0" applyNumberFormat="1" applyFont="1" applyBorder="1"/>
    <xf numFmtId="164" fontId="0" fillId="0" borderId="3" xfId="0" applyNumberFormat="1" applyBorder="1"/>
    <xf numFmtId="164" fontId="0" fillId="0" borderId="1" xfId="0" applyNumberFormat="1" applyBorder="1"/>
    <xf numFmtId="164" fontId="0" fillId="0" borderId="0" xfId="0" applyNumberFormat="1"/>
    <xf numFmtId="0" fontId="0" fillId="0" borderId="0" xfId="0" applyBorder="1"/>
    <xf numFmtId="0" fontId="0" fillId="0" borderId="7" xfId="0" applyBorder="1"/>
    <xf numFmtId="165" fontId="0" fillId="0" borderId="3" xfId="0" applyNumberFormat="1" applyBorder="1"/>
    <xf numFmtId="165" fontId="0" fillId="0" borderId="1" xfId="0" applyNumberFormat="1" applyBorder="1"/>
    <xf numFmtId="0" fontId="6" fillId="0" borderId="7" xfId="0" applyFont="1" applyBorder="1" applyAlignment="1">
      <alignment wrapText="1"/>
    </xf>
    <xf numFmtId="0" fontId="0" fillId="0" borderId="0" xfId="0" applyAlignment="1">
      <alignment wrapText="1"/>
    </xf>
    <xf numFmtId="0" fontId="6" fillId="0" borderId="5" xfId="0" applyFont="1" applyBorder="1" applyAlignment="1">
      <alignment wrapText="1"/>
    </xf>
    <xf numFmtId="164" fontId="0" fillId="0" borderId="0" xfId="0" applyNumberFormat="1" applyBorder="1"/>
    <xf numFmtId="0" fontId="0" fillId="0" borderId="7" xfId="0" applyFont="1" applyBorder="1" applyAlignment="1">
      <alignment wrapText="1"/>
    </xf>
    <xf numFmtId="0" fontId="0" fillId="0" borderId="0" xfId="0"/>
    <xf numFmtId="164" fontId="0" fillId="5" borderId="1" xfId="0" applyNumberFormat="1" applyFont="1" applyFill="1" applyBorder="1"/>
    <xf numFmtId="0" fontId="0" fillId="10" borderId="1" xfId="0" applyFill="1" applyBorder="1"/>
    <xf numFmtId="164" fontId="0" fillId="4" borderId="3" xfId="0" applyNumberFormat="1" applyFont="1" applyFill="1" applyBorder="1"/>
    <xf numFmtId="0" fontId="0" fillId="6" borderId="3" xfId="0" applyFill="1" applyBorder="1"/>
    <xf numFmtId="0" fontId="2" fillId="7" borderId="14" xfId="0" applyFont="1" applyFill="1" applyBorder="1" applyAlignment="1">
      <alignment wrapText="1"/>
    </xf>
    <xf numFmtId="0" fontId="0" fillId="6" borderId="8" xfId="0" applyFill="1" applyBorder="1"/>
    <xf numFmtId="0" fontId="0" fillId="10" borderId="9" xfId="0" applyFill="1" applyBorder="1"/>
    <xf numFmtId="0" fontId="0" fillId="6" borderId="9" xfId="0" applyFill="1" applyBorder="1"/>
    <xf numFmtId="0" fontId="2" fillId="7" borderId="31" xfId="0" applyFont="1" applyFill="1" applyBorder="1" applyAlignment="1">
      <alignment wrapText="1"/>
    </xf>
    <xf numFmtId="0" fontId="2" fillId="7" borderId="32" xfId="0" applyFont="1" applyFill="1" applyBorder="1" applyAlignment="1">
      <alignment wrapText="1"/>
    </xf>
    <xf numFmtId="166" fontId="0" fillId="6" borderId="12" xfId="0" applyNumberFormat="1" applyFill="1" applyBorder="1"/>
    <xf numFmtId="0" fontId="0" fillId="10" borderId="5" xfId="0" applyFill="1" applyBorder="1"/>
    <xf numFmtId="164" fontId="9" fillId="0" borderId="22" xfId="0" applyNumberFormat="1" applyFont="1" applyBorder="1"/>
    <xf numFmtId="0" fontId="0" fillId="6" borderId="8" xfId="0" applyFont="1" applyFill="1" applyBorder="1" applyAlignment="1">
      <alignment wrapText="1"/>
    </xf>
    <xf numFmtId="164" fontId="0" fillId="9" borderId="1" xfId="0" applyNumberFormat="1" applyFont="1" applyFill="1" applyBorder="1"/>
    <xf numFmtId="1" fontId="0" fillId="6" borderId="8" xfId="0" applyNumberFormat="1" applyFill="1" applyBorder="1"/>
    <xf numFmtId="1" fontId="0" fillId="10" borderId="9" xfId="0" applyNumberFormat="1" applyFill="1" applyBorder="1"/>
    <xf numFmtId="0" fontId="5" fillId="10" borderId="9" xfId="0" applyFont="1" applyFill="1" applyBorder="1"/>
    <xf numFmtId="164" fontId="0" fillId="4" borderId="12" xfId="0" applyNumberFormat="1" applyFont="1" applyFill="1" applyBorder="1"/>
    <xf numFmtId="164" fontId="0" fillId="5" borderId="4" xfId="0" applyNumberFormat="1" applyFont="1" applyFill="1" applyBorder="1"/>
    <xf numFmtId="164" fontId="0" fillId="9" borderId="4" xfId="0" applyNumberFormat="1" applyFont="1" applyFill="1" applyBorder="1"/>
    <xf numFmtId="164" fontId="0" fillId="4" borderId="4" xfId="0" applyNumberFormat="1" applyFont="1" applyFill="1" applyBorder="1"/>
    <xf numFmtId="164" fontId="0" fillId="8" borderId="4" xfId="0" applyNumberFormat="1" applyFont="1" applyFill="1" applyBorder="1"/>
    <xf numFmtId="165" fontId="2" fillId="0" borderId="2" xfId="0" applyNumberFormat="1" applyFont="1" applyBorder="1"/>
    <xf numFmtId="0" fontId="2" fillId="7" borderId="29" xfId="0" applyFont="1" applyFill="1" applyBorder="1" applyAlignment="1">
      <alignment wrapText="1"/>
    </xf>
    <xf numFmtId="0" fontId="2" fillId="7" borderId="37" xfId="0" applyFont="1" applyFill="1" applyBorder="1" applyAlignment="1">
      <alignment wrapText="1"/>
    </xf>
    <xf numFmtId="0" fontId="8" fillId="7" borderId="28" xfId="0" applyFont="1" applyFill="1" applyBorder="1" applyAlignment="1">
      <alignment wrapText="1"/>
    </xf>
    <xf numFmtId="0" fontId="2" fillId="7" borderId="27" xfId="0" applyFont="1" applyFill="1" applyBorder="1" applyAlignment="1">
      <alignment wrapText="1"/>
    </xf>
    <xf numFmtId="165" fontId="0" fillId="4" borderId="13" xfId="0" applyNumberFormat="1" applyFont="1" applyFill="1" applyBorder="1"/>
    <xf numFmtId="165" fontId="0" fillId="5" borderId="1" xfId="0" applyNumberFormat="1" applyFont="1" applyFill="1" applyBorder="1"/>
    <xf numFmtId="165" fontId="0" fillId="9" borderId="1" xfId="0" applyNumberFormat="1" applyFont="1" applyFill="1" applyBorder="1"/>
    <xf numFmtId="165" fontId="0" fillId="4" borderId="9" xfId="0" applyNumberFormat="1" applyFont="1" applyFill="1" applyBorder="1"/>
    <xf numFmtId="165" fontId="0" fillId="4" borderId="1" xfId="0" applyNumberFormat="1" applyFont="1" applyFill="1" applyBorder="1"/>
    <xf numFmtId="165" fontId="0" fillId="4" borderId="26" xfId="0" applyNumberFormat="1" applyFont="1" applyFill="1" applyBorder="1"/>
    <xf numFmtId="165" fontId="0" fillId="4" borderId="4" xfId="0" applyNumberFormat="1" applyFont="1" applyFill="1" applyBorder="1"/>
    <xf numFmtId="165" fontId="0" fillId="8" borderId="1" xfId="0" applyNumberFormat="1" applyFont="1" applyFill="1" applyBorder="1"/>
    <xf numFmtId="1" fontId="0" fillId="5" borderId="4" xfId="0" applyNumberFormat="1" applyFont="1" applyFill="1" applyBorder="1"/>
    <xf numFmtId="0" fontId="0" fillId="0" borderId="0" xfId="0"/>
    <xf numFmtId="165" fontId="0" fillId="0" borderId="0" xfId="0" applyNumberFormat="1" applyBorder="1"/>
    <xf numFmtId="164" fontId="0" fillId="5" borderId="1" xfId="0" applyNumberFormat="1" applyFill="1" applyBorder="1"/>
    <xf numFmtId="0" fontId="0" fillId="4" borderId="9" xfId="0" applyFont="1" applyFill="1" applyBorder="1"/>
    <xf numFmtId="0" fontId="0" fillId="2" borderId="1" xfId="0" applyFill="1" applyBorder="1"/>
    <xf numFmtId="0" fontId="0" fillId="2" borderId="0" xfId="0" applyFill="1"/>
    <xf numFmtId="164" fontId="0" fillId="13" borderId="1" xfId="0" applyNumberFormat="1" applyFill="1" applyBorder="1"/>
    <xf numFmtId="0" fontId="12" fillId="2" borderId="5" xfId="0" applyFont="1" applyFill="1" applyBorder="1" applyAlignment="1">
      <alignment wrapText="1"/>
    </xf>
    <xf numFmtId="0" fontId="5" fillId="2" borderId="9" xfId="0" applyFont="1" applyFill="1" applyBorder="1"/>
    <xf numFmtId="0" fontId="3" fillId="0" borderId="38" xfId="0" applyFont="1" applyFill="1" applyBorder="1" applyAlignment="1">
      <alignment wrapText="1"/>
    </xf>
    <xf numFmtId="164" fontId="3" fillId="0" borderId="38" xfId="0" applyNumberFormat="1" applyFont="1" applyFill="1" applyBorder="1" applyAlignment="1">
      <alignment wrapText="1"/>
    </xf>
    <xf numFmtId="1" fontId="3" fillId="0" borderId="38" xfId="0" applyNumberFormat="1" applyFont="1" applyFill="1" applyBorder="1" applyAlignment="1">
      <alignment wrapText="1"/>
    </xf>
    <xf numFmtId="0" fontId="5" fillId="0" borderId="0" xfId="0" applyFont="1" applyBorder="1"/>
    <xf numFmtId="0" fontId="5" fillId="6" borderId="8" xfId="0" applyFont="1" applyFill="1" applyBorder="1"/>
    <xf numFmtId="1" fontId="5" fillId="10" borderId="9" xfId="0" applyNumberFormat="1" applyFont="1" applyFill="1" applyBorder="1"/>
    <xf numFmtId="0" fontId="5" fillId="6" borderId="9" xfId="0" applyFont="1" applyFill="1" applyBorder="1"/>
    <xf numFmtId="1" fontId="5" fillId="6" borderId="8" xfId="0" applyNumberFormat="1" applyFont="1" applyFill="1" applyBorder="1"/>
    <xf numFmtId="0" fontId="12" fillId="0" borderId="5" xfId="0" applyFont="1" applyFill="1" applyBorder="1" applyAlignment="1">
      <alignment wrapText="1"/>
    </xf>
    <xf numFmtId="0" fontId="12" fillId="0" borderId="5" xfId="0" applyFont="1" applyBorder="1" applyAlignment="1">
      <alignment wrapText="1"/>
    </xf>
    <xf numFmtId="0" fontId="12" fillId="0" borderId="7" xfId="0" applyFont="1" applyFill="1" applyBorder="1" applyAlignment="1">
      <alignment wrapText="1"/>
    </xf>
    <xf numFmtId="1" fontId="5" fillId="0" borderId="7" xfId="0" applyNumberFormat="1" applyFont="1" applyFill="1" applyBorder="1" applyAlignment="1">
      <alignment wrapText="1"/>
    </xf>
    <xf numFmtId="1" fontId="12" fillId="0" borderId="5" xfId="0" applyNumberFormat="1" applyFont="1" applyFill="1" applyBorder="1" applyAlignment="1">
      <alignment wrapText="1"/>
    </xf>
    <xf numFmtId="1" fontId="12" fillId="0" borderId="7" xfId="0" applyNumberFormat="1" applyFont="1" applyFill="1" applyBorder="1" applyAlignment="1">
      <alignment wrapText="1"/>
    </xf>
    <xf numFmtId="1" fontId="5" fillId="0" borderId="5" xfId="0" applyNumberFormat="1" applyFont="1" applyFill="1" applyBorder="1" applyAlignment="1">
      <alignment wrapText="1"/>
    </xf>
    <xf numFmtId="1" fontId="12" fillId="0" borderId="5" xfId="0" applyNumberFormat="1" applyFont="1" applyBorder="1" applyAlignment="1">
      <alignment wrapText="1"/>
    </xf>
    <xf numFmtId="1" fontId="5" fillId="0" borderId="5" xfId="0" applyNumberFormat="1" applyFont="1" applyBorder="1" applyAlignment="1">
      <alignment wrapText="1"/>
    </xf>
    <xf numFmtId="0" fontId="5" fillId="0" borderId="5" xfId="0" applyFont="1" applyFill="1" applyBorder="1" applyAlignment="1"/>
    <xf numFmtId="0" fontId="12" fillId="0" borderId="5" xfId="0" applyFont="1" applyFill="1" applyBorder="1" applyAlignment="1">
      <alignment wrapText="1"/>
    </xf>
    <xf numFmtId="0" fontId="12" fillId="0" borderId="5" xfId="0" applyFont="1" applyBorder="1" applyAlignment="1">
      <alignment wrapText="1"/>
    </xf>
    <xf numFmtId="0" fontId="12" fillId="0" borderId="7" xfId="0" applyFont="1" applyFill="1" applyBorder="1" applyAlignment="1">
      <alignment wrapText="1"/>
    </xf>
    <xf numFmtId="1" fontId="12" fillId="0" borderId="5" xfId="0" applyNumberFormat="1" applyFont="1" applyFill="1" applyBorder="1" applyAlignment="1">
      <alignment wrapText="1"/>
    </xf>
    <xf numFmtId="1" fontId="12" fillId="0" borderId="7" xfId="0" applyNumberFormat="1" applyFont="1" applyFill="1" applyBorder="1" applyAlignment="1">
      <alignment wrapText="1"/>
    </xf>
    <xf numFmtId="1" fontId="12" fillId="0" borderId="5" xfId="0" applyNumberFormat="1" applyFont="1" applyBorder="1" applyAlignment="1">
      <alignment wrapText="1"/>
    </xf>
    <xf numFmtId="1" fontId="5" fillId="0" borderId="5" xfId="0" applyNumberFormat="1" applyFont="1" applyBorder="1" applyAlignment="1">
      <alignment wrapText="1"/>
    </xf>
    <xf numFmtId="1" fontId="12" fillId="0" borderId="39" xfId="0" applyNumberFormat="1" applyFont="1" applyFill="1" applyBorder="1" applyAlignment="1"/>
    <xf numFmtId="0" fontId="3" fillId="0" borderId="38" xfId="0" applyFont="1" applyFill="1" applyBorder="1" applyAlignment="1">
      <alignment wrapText="1"/>
    </xf>
    <xf numFmtId="1" fontId="12" fillId="0" borderId="5" xfId="0" applyNumberFormat="1" applyFont="1" applyFill="1" applyBorder="1" applyAlignment="1">
      <alignment wrapText="1"/>
    </xf>
    <xf numFmtId="164" fontId="5" fillId="0" borderId="1" xfId="0" applyNumberFormat="1" applyFont="1" applyBorder="1"/>
    <xf numFmtId="0" fontId="5" fillId="0" borderId="0" xfId="0" applyFont="1"/>
    <xf numFmtId="164" fontId="7" fillId="0" borderId="2" xfId="0" applyNumberFormat="1" applyFont="1" applyBorder="1"/>
    <xf numFmtId="164" fontId="5" fillId="0" borderId="3" xfId="0" applyNumberFormat="1" applyFont="1" applyBorder="1"/>
    <xf numFmtId="1" fontId="5" fillId="2" borderId="9" xfId="0" applyNumberFormat="1" applyFont="1" applyFill="1" applyBorder="1"/>
    <xf numFmtId="0" fontId="0" fillId="0" borderId="24" xfId="0" applyBorder="1" applyAlignment="1">
      <alignment wrapText="1"/>
    </xf>
    <xf numFmtId="165" fontId="0" fillId="0" borderId="21" xfId="0" applyNumberFormat="1" applyBorder="1"/>
    <xf numFmtId="0" fontId="0" fillId="0" borderId="23" xfId="0" applyBorder="1" applyAlignment="1">
      <alignment wrapText="1"/>
    </xf>
    <xf numFmtId="0" fontId="6" fillId="0" borderId="0" xfId="0" applyFont="1" applyBorder="1"/>
    <xf numFmtId="164" fontId="13" fillId="2" borderId="41" xfId="0" applyNumberFormat="1" applyFont="1" applyFill="1" applyBorder="1" applyAlignment="1">
      <alignment wrapText="1"/>
    </xf>
    <xf numFmtId="164" fontId="5" fillId="0" borderId="9" xfId="0" applyNumberFormat="1" applyFont="1" applyBorder="1" applyAlignment="1">
      <alignment wrapText="1"/>
    </xf>
    <xf numFmtId="165" fontId="13" fillId="2" borderId="42" xfId="0" applyNumberFormat="1" applyFont="1" applyFill="1" applyBorder="1" applyAlignment="1">
      <alignment wrapText="1"/>
    </xf>
    <xf numFmtId="0" fontId="6" fillId="0" borderId="0" xfId="0" applyFont="1"/>
    <xf numFmtId="0" fontId="0" fillId="0" borderId="5" xfId="0" applyBorder="1" applyAlignment="1">
      <alignment wrapText="1"/>
    </xf>
    <xf numFmtId="1" fontId="13" fillId="2" borderId="35" xfId="0" applyNumberFormat="1" applyFont="1" applyFill="1" applyBorder="1" applyAlignment="1">
      <alignment wrapText="1"/>
    </xf>
    <xf numFmtId="0" fontId="15" fillId="0" borderId="35" xfId="0" applyFont="1" applyFill="1" applyBorder="1" applyAlignment="1">
      <alignment wrapText="1"/>
    </xf>
    <xf numFmtId="0" fontId="15" fillId="0" borderId="42" xfId="0" applyFont="1" applyFill="1" applyBorder="1" applyAlignment="1">
      <alignment wrapText="1"/>
    </xf>
    <xf numFmtId="0" fontId="13" fillId="2" borderId="41" xfId="0" applyFont="1" applyFill="1" applyBorder="1" applyAlignment="1">
      <alignment wrapText="1"/>
    </xf>
    <xf numFmtId="0" fontId="13" fillId="2" borderId="42" xfId="0" applyFont="1" applyFill="1" applyBorder="1" applyAlignment="1">
      <alignment wrapText="1"/>
    </xf>
    <xf numFmtId="0" fontId="13" fillId="2" borderId="34" xfId="0" applyFont="1" applyFill="1" applyBorder="1" applyAlignment="1">
      <alignment wrapText="1"/>
    </xf>
    <xf numFmtId="0" fontId="15" fillId="0" borderId="44" xfId="0" applyFont="1" applyFill="1" applyBorder="1" applyAlignment="1">
      <alignment wrapText="1"/>
    </xf>
    <xf numFmtId="0" fontId="13" fillId="2" borderId="36" xfId="0" applyFont="1" applyFill="1" applyBorder="1" applyAlignment="1">
      <alignment wrapText="1"/>
    </xf>
    <xf numFmtId="0" fontId="13" fillId="2" borderId="40" xfId="0" applyFont="1" applyFill="1" applyBorder="1" applyAlignment="1">
      <alignment wrapText="1"/>
    </xf>
    <xf numFmtId="0" fontId="13" fillId="2" borderId="43" xfId="0" applyFont="1" applyFill="1" applyBorder="1" applyAlignment="1">
      <alignment wrapText="1"/>
    </xf>
    <xf numFmtId="0" fontId="13" fillId="2" borderId="42" xfId="0" applyFont="1" applyFill="1" applyBorder="1" applyAlignment="1">
      <alignment wrapText="1"/>
    </xf>
    <xf numFmtId="0" fontId="13" fillId="2" borderId="36" xfId="0" applyFont="1" applyFill="1" applyBorder="1" applyAlignment="1">
      <alignment wrapText="1"/>
    </xf>
    <xf numFmtId="164" fontId="13" fillId="2" borderId="34" xfId="0" applyNumberFormat="1" applyFont="1" applyFill="1" applyBorder="1" applyAlignment="1">
      <alignment wrapText="1"/>
    </xf>
    <xf numFmtId="0" fontId="13" fillId="2" borderId="43" xfId="0" applyFont="1" applyFill="1" applyBorder="1" applyAlignment="1">
      <alignment wrapText="1"/>
    </xf>
    <xf numFmtId="165" fontId="5" fillId="2" borderId="1" xfId="0" applyNumberFormat="1" applyFont="1" applyFill="1" applyBorder="1" applyAlignment="1"/>
    <xf numFmtId="0" fontId="5" fillId="2" borderId="3" xfId="0" applyFont="1" applyFill="1" applyBorder="1" applyAlignment="1"/>
    <xf numFmtId="165" fontId="5" fillId="2" borderId="7" xfId="0" applyNumberFormat="1" applyFont="1" applyFill="1" applyBorder="1" applyAlignment="1"/>
    <xf numFmtId="165" fontId="5" fillId="2" borderId="3" xfId="0" applyNumberFormat="1" applyFont="1" applyFill="1" applyBorder="1" applyAlignment="1"/>
    <xf numFmtId="0" fontId="5" fillId="0" borderId="0" xfId="0" applyFont="1"/>
    <xf numFmtId="0" fontId="5" fillId="0" borderId="1" xfId="0" applyFont="1" applyFill="1" applyBorder="1" applyAlignment="1"/>
    <xf numFmtId="0" fontId="5" fillId="2" borderId="1" xfId="0" applyFont="1" applyFill="1" applyBorder="1" applyAlignment="1"/>
    <xf numFmtId="0" fontId="5" fillId="2" borderId="7" xfId="0" applyFont="1" applyFill="1" applyBorder="1" applyAlignment="1">
      <alignment wrapText="1"/>
    </xf>
    <xf numFmtId="0" fontId="5" fillId="2" borderId="7" xfId="0" applyFont="1" applyFill="1" applyBorder="1" applyAlignment="1"/>
    <xf numFmtId="1" fontId="5" fillId="2" borderId="17" xfId="0" applyNumberFormat="1" applyFont="1" applyFill="1" applyBorder="1" applyAlignment="1">
      <alignment wrapText="1"/>
    </xf>
    <xf numFmtId="0" fontId="5" fillId="2" borderId="12" xfId="0" applyFont="1" applyFill="1" applyBorder="1" applyAlignment="1"/>
    <xf numFmtId="0" fontId="5" fillId="2" borderId="20" xfId="0" applyFont="1" applyFill="1" applyBorder="1" applyAlignment="1"/>
    <xf numFmtId="0" fontId="5" fillId="0" borderId="12" xfId="0" applyFont="1" applyFill="1" applyBorder="1" applyAlignment="1"/>
    <xf numFmtId="164" fontId="13" fillId="2" borderId="34" xfId="0" applyNumberFormat="1" applyFont="1" applyFill="1" applyBorder="1" applyAlignment="1">
      <alignment wrapText="1"/>
    </xf>
    <xf numFmtId="0" fontId="13" fillId="2" borderId="40" xfId="0" applyFont="1" applyFill="1" applyBorder="1" applyAlignment="1">
      <alignment wrapText="1"/>
    </xf>
    <xf numFmtId="164" fontId="5" fillId="2" borderId="23" xfId="0" applyNumberFormat="1" applyFont="1" applyFill="1" applyBorder="1" applyAlignment="1"/>
    <xf numFmtId="0" fontId="5" fillId="0" borderId="3" xfId="0" applyFont="1" applyFill="1" applyBorder="1" applyAlignment="1"/>
    <xf numFmtId="0" fontId="5" fillId="0" borderId="4" xfId="0" applyFont="1" applyFill="1" applyBorder="1" applyAlignment="1"/>
    <xf numFmtId="164" fontId="5" fillId="2" borderId="20" xfId="0" applyNumberFormat="1" applyFont="1" applyFill="1" applyBorder="1" applyAlignment="1"/>
    <xf numFmtId="0" fontId="5" fillId="2" borderId="11" xfId="0" applyFont="1" applyFill="1" applyBorder="1" applyAlignment="1"/>
    <xf numFmtId="0" fontId="5" fillId="2" borderId="8" xfId="0" applyFont="1" applyFill="1" applyBorder="1" applyAlignment="1"/>
    <xf numFmtId="165" fontId="13" fillId="2" borderId="43" xfId="0" applyNumberFormat="1" applyFont="1" applyFill="1" applyBorder="1" applyAlignment="1">
      <alignment wrapText="1"/>
    </xf>
    <xf numFmtId="165" fontId="0" fillId="0" borderId="0" xfId="0" applyNumberFormat="1"/>
    <xf numFmtId="165" fontId="0" fillId="2" borderId="0" xfId="0" applyNumberFormat="1" applyFill="1"/>
    <xf numFmtId="0" fontId="16" fillId="0" borderId="2" xfId="0" applyFont="1" applyBorder="1" applyAlignment="1">
      <alignment wrapText="1"/>
    </xf>
    <xf numFmtId="0" fontId="11" fillId="0" borderId="5" xfId="0" applyFont="1" applyBorder="1" applyAlignment="1">
      <alignment wrapText="1"/>
    </xf>
    <xf numFmtId="0" fontId="0" fillId="12" borderId="5" xfId="0" applyFill="1" applyBorder="1" applyAlignment="1">
      <alignment wrapText="1"/>
    </xf>
    <xf numFmtId="165" fontId="5" fillId="2" borderId="7" xfId="0" applyNumberFormat="1" applyFont="1" applyFill="1" applyBorder="1" applyAlignment="1"/>
    <xf numFmtId="0" fontId="5" fillId="0" borderId="1" xfId="0" applyFont="1" applyFill="1" applyBorder="1" applyAlignment="1"/>
    <xf numFmtId="0" fontId="5" fillId="2" borderId="7" xfId="0" applyFont="1" applyFill="1" applyBorder="1" applyAlignment="1"/>
    <xf numFmtId="0" fontId="5" fillId="2" borderId="12" xfId="0" applyFont="1" applyFill="1" applyBorder="1" applyAlignment="1"/>
    <xf numFmtId="0" fontId="5" fillId="2" borderId="11" xfId="0" applyFont="1" applyFill="1" applyBorder="1" applyAlignment="1"/>
    <xf numFmtId="165" fontId="5" fillId="2" borderId="7" xfId="0" applyNumberFormat="1" applyFont="1" applyFill="1" applyBorder="1" applyAlignment="1"/>
    <xf numFmtId="0" fontId="5" fillId="0" borderId="1" xfId="0" applyFont="1" applyFill="1" applyBorder="1" applyAlignment="1"/>
    <xf numFmtId="0" fontId="5" fillId="2" borderId="7" xfId="0" applyFont="1" applyFill="1" applyBorder="1" applyAlignment="1"/>
    <xf numFmtId="1" fontId="5" fillId="2" borderId="17" xfId="0" applyNumberFormat="1" applyFont="1" applyFill="1" applyBorder="1" applyAlignment="1">
      <alignment wrapText="1"/>
    </xf>
    <xf numFmtId="0" fontId="5" fillId="2" borderId="12" xfId="0" applyFont="1" applyFill="1" applyBorder="1" applyAlignment="1"/>
    <xf numFmtId="0" fontId="5" fillId="2" borderId="11" xfId="0" applyFont="1" applyFill="1" applyBorder="1" applyAlignment="1"/>
    <xf numFmtId="0" fontId="5" fillId="0" borderId="1" xfId="0" applyFont="1" applyFill="1" applyBorder="1" applyAlignment="1"/>
    <xf numFmtId="0" fontId="5" fillId="2" borderId="7" xfId="0" applyFont="1" applyFill="1" applyBorder="1" applyAlignment="1"/>
    <xf numFmtId="1" fontId="5" fillId="2" borderId="17" xfId="0" applyNumberFormat="1" applyFont="1" applyFill="1" applyBorder="1" applyAlignment="1">
      <alignment wrapText="1"/>
    </xf>
    <xf numFmtId="0" fontId="5" fillId="2" borderId="11" xfId="0" applyFont="1" applyFill="1" applyBorder="1" applyAlignment="1"/>
    <xf numFmtId="165" fontId="5" fillId="2" borderId="7" xfId="0" applyNumberFormat="1" applyFont="1" applyFill="1" applyBorder="1" applyAlignment="1"/>
    <xf numFmtId="0" fontId="5" fillId="0" borderId="1" xfId="0" applyFont="1" applyFill="1" applyBorder="1" applyAlignment="1"/>
    <xf numFmtId="0" fontId="5" fillId="2" borderId="7" xfId="0" applyFont="1" applyFill="1" applyBorder="1" applyAlignment="1"/>
    <xf numFmtId="1" fontId="5" fillId="2" borderId="17" xfId="0" applyNumberFormat="1" applyFont="1" applyFill="1" applyBorder="1" applyAlignment="1">
      <alignment wrapText="1"/>
    </xf>
    <xf numFmtId="0" fontId="5" fillId="2" borderId="12" xfId="0" applyFont="1" applyFill="1" applyBorder="1" applyAlignment="1"/>
    <xf numFmtId="0" fontId="14" fillId="0" borderId="5" xfId="0" applyFont="1" applyFill="1" applyBorder="1" applyAlignment="1">
      <alignment wrapText="1"/>
    </xf>
    <xf numFmtId="0" fontId="5" fillId="2" borderId="11" xfId="0" applyFont="1" applyFill="1" applyBorder="1" applyAlignment="1"/>
    <xf numFmtId="0" fontId="0" fillId="0" borderId="5" xfId="0" applyBorder="1" applyAlignment="1">
      <alignment wrapText="1"/>
    </xf>
    <xf numFmtId="165" fontId="5" fillId="2" borderId="1" xfId="0" applyNumberFormat="1" applyFont="1" applyFill="1" applyBorder="1" applyAlignment="1"/>
    <xf numFmtId="165" fontId="5" fillId="2" borderId="7" xfId="0" applyNumberFormat="1" applyFont="1" applyFill="1" applyBorder="1" applyAlignment="1"/>
    <xf numFmtId="0" fontId="5" fillId="0" borderId="1" xfId="0" applyFont="1" applyFill="1" applyBorder="1" applyAlignment="1"/>
    <xf numFmtId="0" fontId="5" fillId="2" borderId="1" xfId="0" applyFont="1" applyFill="1" applyBorder="1" applyAlignment="1"/>
    <xf numFmtId="0" fontId="5" fillId="2" borderId="7" xfId="0" applyFont="1" applyFill="1" applyBorder="1" applyAlignment="1"/>
    <xf numFmtId="1" fontId="5" fillId="2" borderId="17" xfId="0" applyNumberFormat="1" applyFont="1" applyFill="1" applyBorder="1" applyAlignment="1">
      <alignment wrapText="1"/>
    </xf>
    <xf numFmtId="0" fontId="5" fillId="2" borderId="12" xfId="0" applyFont="1" applyFill="1" applyBorder="1" applyAlignment="1"/>
    <xf numFmtId="0" fontId="5" fillId="2" borderId="11" xfId="0" applyFont="1" applyFill="1" applyBorder="1" applyAlignment="1"/>
    <xf numFmtId="0" fontId="5" fillId="2" borderId="8" xfId="0" applyFont="1" applyFill="1" applyBorder="1" applyAlignment="1"/>
    <xf numFmtId="0" fontId="0" fillId="0" borderId="5" xfId="0" applyBorder="1" applyAlignment="1">
      <alignment wrapText="1"/>
    </xf>
    <xf numFmtId="0" fontId="0" fillId="0" borderId="24" xfId="0" applyBorder="1" applyAlignment="1">
      <alignment wrapText="1"/>
    </xf>
    <xf numFmtId="165" fontId="5" fillId="2" borderId="7" xfId="0" applyNumberFormat="1" applyFont="1" applyFill="1" applyBorder="1" applyAlignment="1"/>
    <xf numFmtId="1" fontId="5" fillId="0" borderId="7" xfId="0" applyNumberFormat="1" applyFont="1" applyFill="1" applyBorder="1" applyAlignment="1">
      <alignment wrapText="1"/>
    </xf>
    <xf numFmtId="0" fontId="5" fillId="2" borderId="1" xfId="0" applyFont="1" applyFill="1" applyBorder="1" applyAlignment="1"/>
    <xf numFmtId="0" fontId="5" fillId="2" borderId="7" xfId="0" applyFont="1" applyFill="1" applyBorder="1" applyAlignment="1"/>
    <xf numFmtId="0" fontId="5" fillId="2" borderId="12" xfId="0" applyFont="1" applyFill="1" applyBorder="1" applyAlignment="1"/>
    <xf numFmtId="0" fontId="5" fillId="2" borderId="11" xfId="0" applyFont="1" applyFill="1" applyBorder="1" applyAlignment="1"/>
    <xf numFmtId="0" fontId="5" fillId="2" borderId="8" xfId="0" applyFont="1" applyFill="1" applyBorder="1" applyAlignment="1"/>
    <xf numFmtId="0" fontId="0" fillId="0" borderId="5" xfId="0" applyBorder="1" applyAlignment="1">
      <alignment wrapText="1"/>
    </xf>
    <xf numFmtId="0" fontId="0" fillId="0" borderId="24" xfId="0" applyBorder="1" applyAlignment="1">
      <alignment wrapText="1"/>
    </xf>
    <xf numFmtId="164" fontId="7" fillId="7" borderId="14" xfId="0" applyNumberFormat="1" applyFont="1" applyFill="1" applyBorder="1" applyAlignment="1">
      <alignment wrapText="1"/>
    </xf>
    <xf numFmtId="1" fontId="0" fillId="2" borderId="0" xfId="0" applyNumberFormat="1" applyFill="1" applyBorder="1"/>
    <xf numFmtId="166" fontId="0" fillId="6" borderId="3" xfId="0" applyNumberFormat="1" applyFill="1" applyBorder="1"/>
    <xf numFmtId="0" fontId="0" fillId="12" borderId="24" xfId="0" applyFill="1" applyBorder="1" applyAlignment="1">
      <alignment wrapText="1"/>
    </xf>
    <xf numFmtId="164" fontId="5" fillId="0" borderId="9" xfId="0" applyNumberFormat="1" applyFont="1" applyBorder="1" applyAlignment="1">
      <alignment wrapText="1"/>
    </xf>
    <xf numFmtId="0" fontId="0" fillId="0" borderId="24" xfId="0" applyBorder="1" applyAlignment="1">
      <alignment wrapText="1"/>
    </xf>
    <xf numFmtId="1" fontId="5" fillId="2" borderId="1" xfId="0" applyNumberFormat="1" applyFont="1" applyFill="1" applyBorder="1" applyAlignment="1"/>
    <xf numFmtId="165" fontId="5" fillId="2" borderId="7" xfId="0" applyNumberFormat="1" applyFont="1" applyFill="1" applyBorder="1" applyAlignment="1"/>
    <xf numFmtId="0" fontId="5" fillId="2" borderId="7" xfId="0" applyFont="1" applyFill="1" applyBorder="1" applyAlignment="1"/>
    <xf numFmtId="1" fontId="5" fillId="2" borderId="17" xfId="0" applyNumberFormat="1" applyFont="1" applyFill="1" applyBorder="1" applyAlignment="1">
      <alignment wrapText="1"/>
    </xf>
    <xf numFmtId="0" fontId="5" fillId="2" borderId="12" xfId="0" applyFont="1" applyFill="1" applyBorder="1" applyAlignment="1"/>
    <xf numFmtId="164" fontId="5" fillId="2" borderId="23" xfId="0" applyNumberFormat="1" applyFont="1" applyFill="1" applyBorder="1" applyAlignment="1"/>
    <xf numFmtId="0" fontId="0" fillId="0" borderId="5" xfId="0" applyBorder="1" applyAlignment="1">
      <alignment wrapText="1"/>
    </xf>
    <xf numFmtId="0" fontId="6" fillId="0" borderId="5" xfId="0" applyFont="1" applyBorder="1" applyAlignment="1">
      <alignment wrapText="1"/>
    </xf>
    <xf numFmtId="0" fontId="0" fillId="2" borderId="9" xfId="0" applyFill="1" applyBorder="1"/>
    <xf numFmtId="164" fontId="5" fillId="0" borderId="1" xfId="0" applyNumberFormat="1" applyFont="1" applyBorder="1"/>
    <xf numFmtId="164" fontId="5" fillId="0" borderId="0" xfId="0" applyNumberFormat="1" applyFont="1" applyBorder="1"/>
    <xf numFmtId="164" fontId="5" fillId="0" borderId="0" xfId="0" applyNumberFormat="1" applyFont="1"/>
    <xf numFmtId="1" fontId="5" fillId="0" borderId="7" xfId="0" applyNumberFormat="1" applyFont="1" applyFill="1" applyBorder="1" applyAlignment="1">
      <alignment wrapText="1"/>
    </xf>
    <xf numFmtId="0" fontId="12" fillId="0" borderId="5" xfId="0" applyFont="1" applyFill="1" applyBorder="1" applyAlignment="1">
      <alignment wrapText="1"/>
    </xf>
    <xf numFmtId="0" fontId="0" fillId="0" borderId="1" xfId="0" applyBorder="1"/>
    <xf numFmtId="0" fontId="0" fillId="10" borderId="17" xfId="0" applyFill="1" applyBorder="1"/>
    <xf numFmtId="0" fontId="2" fillId="7" borderId="46" xfId="0" applyFont="1" applyFill="1" applyBorder="1" applyAlignment="1">
      <alignment wrapText="1"/>
    </xf>
    <xf numFmtId="0" fontId="2" fillId="7" borderId="15" xfId="0" applyFont="1" applyFill="1" applyBorder="1" applyAlignment="1">
      <alignment wrapText="1"/>
    </xf>
    <xf numFmtId="165" fontId="5" fillId="2" borderId="7" xfId="0" applyNumberFormat="1" applyFont="1" applyFill="1" applyBorder="1" applyAlignment="1"/>
    <xf numFmtId="164" fontId="5" fillId="2" borderId="20" xfId="0" applyNumberFormat="1" applyFont="1" applyFill="1" applyBorder="1" applyAlignment="1"/>
    <xf numFmtId="0" fontId="0" fillId="2" borderId="17" xfId="0" applyFill="1" applyBorder="1"/>
    <xf numFmtId="164" fontId="5" fillId="2" borderId="23" xfId="0" applyNumberFormat="1" applyFont="1" applyFill="1" applyBorder="1" applyAlignment="1"/>
    <xf numFmtId="0" fontId="5" fillId="2" borderId="7" xfId="0" applyFont="1" applyFill="1" applyBorder="1" applyAlignment="1"/>
    <xf numFmtId="1" fontId="5" fillId="2" borderId="17" xfId="0" applyNumberFormat="1" applyFont="1" applyFill="1" applyBorder="1" applyAlignment="1">
      <alignment wrapText="1"/>
    </xf>
    <xf numFmtId="0" fontId="0" fillId="6" borderId="17" xfId="0" applyFill="1" applyBorder="1"/>
    <xf numFmtId="0" fontId="5" fillId="0" borderId="1" xfId="0" applyFont="1" applyFill="1" applyBorder="1" applyAlignment="1"/>
    <xf numFmtId="164" fontId="7" fillId="7" borderId="15" xfId="0" applyNumberFormat="1" applyFont="1" applyFill="1" applyBorder="1" applyAlignment="1">
      <alignment wrapText="1"/>
    </xf>
    <xf numFmtId="165" fontId="5" fillId="2" borderId="1" xfId="0" applyNumberFormat="1" applyFont="1" applyFill="1" applyBorder="1" applyAlignment="1"/>
    <xf numFmtId="0" fontId="5" fillId="2" borderId="1" xfId="0" applyFont="1" applyFill="1" applyBorder="1" applyAlignment="1"/>
    <xf numFmtId="0" fontId="5" fillId="2" borderId="17" xfId="0" applyFont="1" applyFill="1" applyBorder="1" applyAlignment="1"/>
    <xf numFmtId="0" fontId="5" fillId="2" borderId="11" xfId="0" applyFont="1" applyFill="1" applyBorder="1" applyAlignment="1"/>
    <xf numFmtId="0" fontId="5" fillId="2" borderId="8" xfId="0" applyFont="1" applyFill="1" applyBorder="1" applyAlignment="1"/>
    <xf numFmtId="0" fontId="0" fillId="0" borderId="0" xfId="0"/>
    <xf numFmtId="1" fontId="5" fillId="2" borderId="1" xfId="0" applyNumberFormat="1" applyFont="1" applyFill="1" applyBorder="1"/>
    <xf numFmtId="0" fontId="5" fillId="12" borderId="1" xfId="0" applyFont="1" applyFill="1" applyBorder="1" applyAlignment="1"/>
    <xf numFmtId="0" fontId="2" fillId="0" borderId="0" xfId="0" applyFont="1"/>
    <xf numFmtId="1" fontId="5" fillId="6" borderId="3" xfId="0" applyNumberFormat="1" applyFont="1" applyFill="1" applyBorder="1"/>
    <xf numFmtId="1" fontId="0" fillId="6" borderId="7" xfId="0" applyNumberFormat="1" applyFill="1" applyBorder="1"/>
    <xf numFmtId="1" fontId="0" fillId="10" borderId="5" xfId="0" applyNumberFormat="1" applyFill="1" applyBorder="1"/>
    <xf numFmtId="1" fontId="0" fillId="10" borderId="1" xfId="0" applyNumberFormat="1" applyFill="1" applyBorder="1"/>
    <xf numFmtId="1" fontId="9" fillId="6" borderId="3" xfId="0" applyNumberFormat="1" applyFont="1" applyFill="1" applyBorder="1" applyAlignment="1">
      <alignment wrapText="1"/>
    </xf>
    <xf numFmtId="1" fontId="5" fillId="10" borderId="3" xfId="0" applyNumberFormat="1" applyFont="1" applyFill="1" applyBorder="1"/>
    <xf numFmtId="1" fontId="5" fillId="2" borderId="3" xfId="0" applyNumberFormat="1" applyFont="1" applyFill="1" applyBorder="1"/>
    <xf numFmtId="1" fontId="5" fillId="10" borderId="1" xfId="0" applyNumberFormat="1" applyFont="1" applyFill="1" applyBorder="1"/>
    <xf numFmtId="0" fontId="0" fillId="4" borderId="8" xfId="0" applyFont="1" applyFill="1" applyBorder="1"/>
    <xf numFmtId="0" fontId="0" fillId="10" borderId="8" xfId="0" applyFill="1" applyBorder="1"/>
    <xf numFmtId="0" fontId="0" fillId="10" borderId="3" xfId="0" applyFill="1" applyBorder="1"/>
    <xf numFmtId="1" fontId="0" fillId="10" borderId="7" xfId="0" applyNumberFormat="1" applyFill="1" applyBorder="1"/>
    <xf numFmtId="1" fontId="0" fillId="10" borderId="3" xfId="0" applyNumberFormat="1" applyFill="1" applyBorder="1"/>
    <xf numFmtId="1" fontId="0" fillId="10" borderId="8" xfId="0" applyNumberFormat="1" applyFill="1" applyBorder="1"/>
    <xf numFmtId="164" fontId="0" fillId="5" borderId="2" xfId="0" applyNumberFormat="1" applyFont="1" applyFill="1" applyBorder="1"/>
    <xf numFmtId="0" fontId="0" fillId="4" borderId="16" xfId="0" applyFont="1" applyFill="1" applyBorder="1"/>
    <xf numFmtId="0" fontId="0" fillId="10" borderId="16" xfId="0" applyFill="1" applyBorder="1"/>
    <xf numFmtId="0" fontId="0" fillId="10" borderId="2" xfId="0" applyFill="1" applyBorder="1"/>
    <xf numFmtId="166" fontId="0" fillId="6" borderId="2" xfId="0" applyNumberFormat="1" applyFill="1" applyBorder="1"/>
    <xf numFmtId="0" fontId="0" fillId="10" borderId="47" xfId="0" applyFill="1" applyBorder="1"/>
    <xf numFmtId="166" fontId="0" fillId="6" borderId="19" xfId="0" applyNumberFormat="1" applyFill="1" applyBorder="1"/>
    <xf numFmtId="1" fontId="5" fillId="10" borderId="2" xfId="0" applyNumberFormat="1" applyFont="1" applyFill="1" applyBorder="1"/>
    <xf numFmtId="0" fontId="0" fillId="6" borderId="16" xfId="0" applyFill="1" applyBorder="1"/>
    <xf numFmtId="1" fontId="0" fillId="10" borderId="10" xfId="0" applyNumberFormat="1" applyFill="1" applyBorder="1"/>
    <xf numFmtId="1" fontId="0" fillId="10" borderId="2" xfId="0" applyNumberFormat="1" applyFill="1" applyBorder="1"/>
    <xf numFmtId="1" fontId="0" fillId="10" borderId="16" xfId="0" applyNumberFormat="1" applyFill="1" applyBorder="1"/>
    <xf numFmtId="164" fontId="0" fillId="5" borderId="14" xfId="0" applyNumberFormat="1" applyFill="1" applyBorder="1"/>
    <xf numFmtId="0" fontId="0" fillId="4" borderId="31" xfId="0" applyFont="1" applyFill="1" applyBorder="1"/>
    <xf numFmtId="0" fontId="0" fillId="10" borderId="31" xfId="0" applyFill="1" applyBorder="1"/>
    <xf numFmtId="0" fontId="0" fillId="10" borderId="14" xfId="0" applyFill="1" applyBorder="1"/>
    <xf numFmtId="166" fontId="0" fillId="6" borderId="14" xfId="0" applyNumberFormat="1" applyFill="1" applyBorder="1"/>
    <xf numFmtId="0" fontId="0" fillId="10" borderId="46" xfId="0" applyFill="1" applyBorder="1"/>
    <xf numFmtId="166" fontId="0" fillId="6" borderId="32" xfId="0" applyNumberFormat="1" applyFill="1" applyBorder="1"/>
    <xf numFmtId="1" fontId="5" fillId="10" borderId="14" xfId="0" applyNumberFormat="1" applyFont="1" applyFill="1" applyBorder="1"/>
    <xf numFmtId="0" fontId="0" fillId="6" borderId="31" xfId="0" applyFill="1" applyBorder="1"/>
    <xf numFmtId="164" fontId="0" fillId="5" borderId="14" xfId="0" applyNumberFormat="1" applyFont="1" applyFill="1" applyBorder="1"/>
    <xf numFmtId="164" fontId="0" fillId="8" borderId="3" xfId="0" applyNumberFormat="1" applyFont="1" applyFill="1" applyBorder="1"/>
    <xf numFmtId="0" fontId="5" fillId="10" borderId="8" xfId="0" applyFont="1" applyFill="1" applyBorder="1"/>
    <xf numFmtId="164" fontId="0" fillId="13" borderId="14" xfId="0" applyNumberFormat="1" applyFill="1" applyBorder="1"/>
    <xf numFmtId="0" fontId="0" fillId="2" borderId="31" xfId="0" applyFill="1" applyBorder="1"/>
    <xf numFmtId="0" fontId="0" fillId="2" borderId="14" xfId="0" applyFill="1" applyBorder="1"/>
    <xf numFmtId="0" fontId="0" fillId="2" borderId="46" xfId="0" applyFill="1" applyBorder="1"/>
    <xf numFmtId="1" fontId="5" fillId="2" borderId="14" xfId="0" applyNumberFormat="1" applyFont="1" applyFill="1" applyBorder="1"/>
    <xf numFmtId="164" fontId="0" fillId="4" borderId="14" xfId="0" applyNumberFormat="1" applyFill="1" applyBorder="1"/>
    <xf numFmtId="0" fontId="0" fillId="6" borderId="14" xfId="0" applyFill="1" applyBorder="1"/>
    <xf numFmtId="0" fontId="0" fillId="6" borderId="46" xfId="0" applyFill="1" applyBorder="1"/>
    <xf numFmtId="1" fontId="5" fillId="6" borderId="14" xfId="0" applyNumberFormat="1" applyFont="1" applyFill="1" applyBorder="1"/>
    <xf numFmtId="0" fontId="9" fillId="10" borderId="23" xfId="0" applyFont="1" applyFill="1" applyBorder="1" applyAlignment="1">
      <alignment wrapText="1"/>
    </xf>
    <xf numFmtId="164" fontId="0" fillId="14" borderId="3" xfId="0" applyNumberFormat="1" applyFont="1" applyFill="1" applyBorder="1"/>
    <xf numFmtId="0" fontId="0" fillId="15" borderId="7" xfId="0" applyFill="1" applyBorder="1"/>
    <xf numFmtId="0" fontId="0" fillId="15" borderId="3" xfId="0" applyFill="1" applyBorder="1"/>
    <xf numFmtId="1" fontId="0" fillId="15" borderId="3" xfId="0" applyNumberFormat="1" applyFill="1" applyBorder="1"/>
    <xf numFmtId="164" fontId="0" fillId="14" borderId="5" xfId="0" applyNumberFormat="1" applyFill="1" applyBorder="1"/>
    <xf numFmtId="0" fontId="0" fillId="15" borderId="1" xfId="0" applyFill="1" applyBorder="1"/>
    <xf numFmtId="1" fontId="0" fillId="15" borderId="1" xfId="0" applyNumberFormat="1" applyFill="1" applyBorder="1"/>
    <xf numFmtId="164" fontId="0" fillId="14" borderId="1" xfId="0" applyNumberFormat="1" applyFill="1" applyBorder="1"/>
    <xf numFmtId="0" fontId="0" fillId="15" borderId="6" xfId="0" applyFill="1" applyBorder="1"/>
    <xf numFmtId="165" fontId="0" fillId="4" borderId="24" xfId="0" applyNumberFormat="1" applyFont="1" applyFill="1" applyBorder="1"/>
    <xf numFmtId="0" fontId="2" fillId="7" borderId="48" xfId="0" applyFont="1" applyFill="1" applyBorder="1" applyAlignment="1">
      <alignment wrapText="1"/>
    </xf>
    <xf numFmtId="1" fontId="0" fillId="4" borderId="30" xfId="0" applyNumberFormat="1" applyFont="1" applyFill="1" applyBorder="1"/>
    <xf numFmtId="1" fontId="0" fillId="9" borderId="4" xfId="0" applyNumberFormat="1" applyFont="1" applyFill="1" applyBorder="1"/>
    <xf numFmtId="1" fontId="0" fillId="4" borderId="4" xfId="0" applyNumberFormat="1" applyFont="1" applyFill="1" applyBorder="1"/>
    <xf numFmtId="1" fontId="0" fillId="8" borderId="4" xfId="0" applyNumberFormat="1" applyFont="1" applyFill="1" applyBorder="1"/>
    <xf numFmtId="0" fontId="0" fillId="16" borderId="24" xfId="0" applyFill="1" applyBorder="1" applyAlignment="1">
      <alignment wrapText="1"/>
    </xf>
    <xf numFmtId="164" fontId="5" fillId="2" borderId="11" xfId="0" applyNumberFormat="1" applyFont="1" applyFill="1" applyBorder="1" applyAlignment="1"/>
    <xf numFmtId="1" fontId="13" fillId="2" borderId="43" xfId="0" applyNumberFormat="1" applyFont="1" applyFill="1" applyBorder="1" applyAlignment="1">
      <alignment wrapText="1"/>
    </xf>
    <xf numFmtId="1" fontId="0" fillId="0" borderId="0" xfId="0" applyNumberFormat="1"/>
    <xf numFmtId="164" fontId="17" fillId="2" borderId="34" xfId="0" applyNumberFormat="1" applyFont="1" applyFill="1" applyBorder="1" applyAlignment="1">
      <alignment wrapText="1"/>
    </xf>
    <xf numFmtId="164" fontId="6" fillId="2" borderId="20" xfId="0" applyNumberFormat="1" applyFont="1" applyFill="1" applyBorder="1" applyAlignment="1"/>
    <xf numFmtId="0" fontId="5" fillId="2" borderId="7" xfId="0" applyFont="1" applyFill="1" applyBorder="1" applyAlignment="1"/>
    <xf numFmtId="0" fontId="5" fillId="0" borderId="4" xfId="0" applyFont="1" applyFill="1" applyBorder="1" applyAlignment="1"/>
    <xf numFmtId="0" fontId="5" fillId="2" borderId="7" xfId="0" applyFont="1" applyFill="1" applyBorder="1" applyAlignment="1">
      <alignment wrapText="1"/>
    </xf>
    <xf numFmtId="0" fontId="5" fillId="2" borderId="7" xfId="0" applyFont="1" applyFill="1" applyBorder="1" applyAlignment="1"/>
    <xf numFmtId="0" fontId="5" fillId="2" borderId="12" xfId="0" applyFont="1" applyFill="1" applyBorder="1" applyAlignment="1"/>
    <xf numFmtId="1" fontId="5" fillId="5" borderId="24" xfId="0" applyNumberFormat="1" applyFont="1" applyFill="1" applyBorder="1"/>
    <xf numFmtId="165" fontId="0" fillId="4" borderId="49" xfId="0" applyNumberFormat="1" applyFont="1" applyFill="1" applyBorder="1"/>
    <xf numFmtId="165" fontId="0" fillId="5" borderId="5" xfId="0" applyNumberFormat="1" applyFont="1" applyFill="1" applyBorder="1"/>
    <xf numFmtId="165" fontId="0" fillId="9" borderId="5" xfId="0" applyNumberFormat="1" applyFont="1" applyFill="1" applyBorder="1"/>
    <xf numFmtId="165" fontId="0" fillId="4" borderId="5" xfId="0" applyNumberFormat="1" applyFont="1" applyFill="1" applyBorder="1"/>
    <xf numFmtId="165" fontId="0" fillId="8" borderId="5" xfId="0" applyNumberFormat="1" applyFont="1" applyFill="1" applyBorder="1"/>
    <xf numFmtId="165" fontId="0" fillId="4" borderId="51" xfId="0" applyNumberFormat="1" applyFont="1" applyFill="1" applyBorder="1"/>
    <xf numFmtId="1" fontId="0" fillId="5" borderId="51" xfId="0" applyNumberFormat="1" applyFont="1" applyFill="1" applyBorder="1"/>
    <xf numFmtId="1" fontId="0" fillId="4" borderId="50" xfId="0" applyNumberFormat="1" applyFont="1" applyFill="1" applyBorder="1"/>
    <xf numFmtId="1" fontId="0" fillId="9" borderId="51" xfId="0" applyNumberFormat="1" applyFont="1" applyFill="1" applyBorder="1"/>
    <xf numFmtId="1" fontId="0" fillId="4" borderId="51" xfId="0" applyNumberFormat="1" applyFont="1" applyFill="1" applyBorder="1"/>
    <xf numFmtId="1" fontId="0" fillId="8" borderId="51" xfId="0" applyNumberFormat="1" applyFont="1" applyFill="1" applyBorder="1"/>
    <xf numFmtId="165" fontId="0" fillId="5" borderId="1" xfId="0" applyNumberFormat="1" applyFill="1" applyBorder="1"/>
    <xf numFmtId="0" fontId="0" fillId="0" borderId="23" xfId="0" applyFont="1" applyBorder="1" applyAlignment="1">
      <alignment wrapText="1"/>
    </xf>
    <xf numFmtId="164" fontId="5" fillId="0" borderId="8" xfId="0" applyNumberFormat="1" applyFont="1" applyBorder="1" applyAlignment="1">
      <alignment wrapText="1"/>
    </xf>
    <xf numFmtId="1" fontId="5" fillId="2" borderId="3" xfId="0" applyNumberFormat="1" applyFont="1" applyFill="1" applyBorder="1" applyAlignment="1"/>
    <xf numFmtId="0" fontId="0" fillId="0" borderId="17" xfId="0" applyBorder="1"/>
    <xf numFmtId="164" fontId="0" fillId="0" borderId="14" xfId="0" applyNumberFormat="1" applyBorder="1"/>
    <xf numFmtId="0" fontId="0" fillId="0" borderId="14" xfId="0" applyBorder="1"/>
    <xf numFmtId="164" fontId="5" fillId="0" borderId="14" xfId="0" applyNumberFormat="1" applyFont="1" applyBorder="1"/>
    <xf numFmtId="165" fontId="0" fillId="0" borderId="14" xfId="0" applyNumberFormat="1" applyBorder="1"/>
    <xf numFmtId="0" fontId="0" fillId="0" borderId="15" xfId="0" applyBorder="1"/>
    <xf numFmtId="1" fontId="12" fillId="0" borderId="15" xfId="0" applyNumberFormat="1" applyFont="1" applyFill="1" applyBorder="1" applyAlignment="1">
      <alignment wrapText="1"/>
    </xf>
    <xf numFmtId="0" fontId="12" fillId="0" borderId="15" xfId="0" applyFont="1" applyFill="1" applyBorder="1" applyAlignment="1">
      <alignment wrapText="1"/>
    </xf>
    <xf numFmtId="0" fontId="0" fillId="0" borderId="53" xfId="0" applyBorder="1" applyAlignment="1">
      <alignment wrapText="1"/>
    </xf>
    <xf numFmtId="0" fontId="0" fillId="0" borderId="15" xfId="0" applyBorder="1" applyAlignment="1">
      <alignment wrapText="1"/>
    </xf>
    <xf numFmtId="0" fontId="5" fillId="0" borderId="14" xfId="0" applyFont="1" applyFill="1" applyBorder="1" applyAlignment="1"/>
    <xf numFmtId="0" fontId="5" fillId="0" borderId="32" xfId="0" applyFont="1" applyFill="1" applyBorder="1" applyAlignment="1"/>
    <xf numFmtId="0" fontId="5" fillId="2" borderId="54" xfId="0" applyFont="1" applyFill="1" applyBorder="1" applyAlignment="1"/>
    <xf numFmtId="0" fontId="5" fillId="2" borderId="14" xfId="0" applyFont="1" applyFill="1" applyBorder="1" applyAlignment="1"/>
    <xf numFmtId="165" fontId="5" fillId="2" borderId="14" xfId="0" applyNumberFormat="1" applyFont="1" applyFill="1" applyBorder="1" applyAlignment="1"/>
    <xf numFmtId="164" fontId="5" fillId="0" borderId="31" xfId="0" applyNumberFormat="1" applyFont="1" applyBorder="1" applyAlignment="1">
      <alignment wrapText="1"/>
    </xf>
    <xf numFmtId="1" fontId="5" fillId="2" borderId="14" xfId="0" applyNumberFormat="1" applyFont="1" applyFill="1" applyBorder="1" applyAlignment="1"/>
    <xf numFmtId="0" fontId="0" fillId="15" borderId="5" xfId="0" applyFill="1" applyBorder="1"/>
    <xf numFmtId="0" fontId="0" fillId="15" borderId="9" xfId="0" applyFill="1" applyBorder="1"/>
    <xf numFmtId="0" fontId="0" fillId="4" borderId="49" xfId="0" applyFont="1" applyFill="1" applyBorder="1"/>
    <xf numFmtId="0" fontId="0" fillId="10" borderId="10" xfId="0" applyFill="1" applyBorder="1"/>
    <xf numFmtId="0" fontId="0" fillId="10" borderId="7" xfId="0" applyFill="1" applyBorder="1"/>
    <xf numFmtId="0" fontId="0" fillId="10" borderId="15" xfId="0" applyFill="1" applyBorder="1"/>
    <xf numFmtId="0" fontId="0" fillId="6" borderId="7" xfId="0" applyFill="1" applyBorder="1"/>
    <xf numFmtId="0" fontId="0" fillId="2" borderId="5" xfId="0" applyFill="1" applyBorder="1"/>
    <xf numFmtId="0" fontId="0" fillId="2" borderId="15" xfId="0" applyFill="1" applyBorder="1"/>
    <xf numFmtId="0" fontId="0" fillId="6" borderId="15" xfId="0" applyFill="1" applyBorder="1"/>
    <xf numFmtId="0" fontId="2" fillId="7" borderId="55" xfId="0" applyFont="1" applyFill="1" applyBorder="1" applyAlignment="1">
      <alignment wrapText="1"/>
    </xf>
    <xf numFmtId="0" fontId="0" fillId="4" borderId="56" xfId="0" applyFont="1" applyFill="1" applyBorder="1"/>
    <xf numFmtId="0" fontId="0" fillId="15" borderId="56" xfId="0" applyFill="1" applyBorder="1"/>
    <xf numFmtId="0" fontId="0" fillId="15" borderId="51" xfId="0" applyFill="1" applyBorder="1"/>
    <xf numFmtId="0" fontId="2" fillId="7" borderId="53" xfId="0" applyFont="1" applyFill="1" applyBorder="1" applyAlignment="1">
      <alignment wrapText="1"/>
    </xf>
    <xf numFmtId="0" fontId="0" fillId="4" borderId="24" xfId="0" applyFont="1" applyFill="1" applyBorder="1"/>
    <xf numFmtId="0" fontId="0" fillId="4" borderId="18" xfId="0" applyFont="1" applyFill="1" applyBorder="1"/>
    <xf numFmtId="0" fontId="0" fillId="4" borderId="23" xfId="0" applyFont="1" applyFill="1" applyBorder="1"/>
    <xf numFmtId="0" fontId="0" fillId="4" borderId="53" xfId="0" applyFont="1" applyFill="1" applyBorder="1"/>
    <xf numFmtId="0" fontId="0" fillId="15" borderId="20" xfId="0" applyFill="1" applyBorder="1"/>
    <xf numFmtId="0" fontId="0" fillId="15" borderId="24" xfId="0" applyFill="1" applyBorder="1"/>
    <xf numFmtId="0" fontId="0" fillId="3" borderId="0" xfId="0" applyFill="1" applyBorder="1"/>
    <xf numFmtId="0" fontId="0" fillId="15" borderId="23" xfId="0" applyFill="1" applyBorder="1"/>
    <xf numFmtId="0" fontId="0" fillId="4" borderId="5" xfId="0" applyFont="1" applyFill="1" applyBorder="1"/>
    <xf numFmtId="0" fontId="0" fillId="4" borderId="7" xfId="0" applyFont="1" applyFill="1" applyBorder="1"/>
    <xf numFmtId="0" fontId="0" fillId="4" borderId="15" xfId="0" applyFont="1" applyFill="1" applyBorder="1"/>
    <xf numFmtId="0" fontId="0" fillId="15" borderId="8" xfId="0" applyFill="1" applyBorder="1"/>
    <xf numFmtId="0" fontId="2" fillId="7" borderId="33" xfId="0" applyFont="1" applyFill="1" applyBorder="1" applyAlignment="1">
      <alignment wrapText="1"/>
    </xf>
    <xf numFmtId="0" fontId="0" fillId="4" borderId="51" xfId="0" applyFont="1" applyFill="1" applyBorder="1"/>
    <xf numFmtId="0" fontId="0" fillId="4" borderId="57" xfId="0" applyFont="1" applyFill="1" applyBorder="1"/>
    <xf numFmtId="0" fontId="0" fillId="4" borderId="55" xfId="0" applyFont="1" applyFill="1" applyBorder="1"/>
    <xf numFmtId="165" fontId="0" fillId="4" borderId="10" xfId="0" applyNumberFormat="1" applyFont="1" applyFill="1" applyBorder="1"/>
    <xf numFmtId="165" fontId="0" fillId="4" borderId="7" xfId="0" applyNumberFormat="1" applyFont="1" applyFill="1" applyBorder="1"/>
    <xf numFmtId="165" fontId="0" fillId="4" borderId="15" xfId="0" applyNumberFormat="1" applyFont="1" applyFill="1" applyBorder="1"/>
    <xf numFmtId="165" fontId="0" fillId="15" borderId="7" xfId="0" applyNumberFormat="1" applyFill="1" applyBorder="1"/>
    <xf numFmtId="165" fontId="0" fillId="15" borderId="5" xfId="0" applyNumberFormat="1" applyFill="1" applyBorder="1"/>
    <xf numFmtId="1" fontId="5" fillId="0" borderId="15" xfId="0" applyNumberFormat="1" applyFont="1" applyFill="1" applyBorder="1" applyAlignment="1">
      <alignment wrapText="1"/>
    </xf>
    <xf numFmtId="0" fontId="14" fillId="2" borderId="15" xfId="0" applyFont="1" applyFill="1" applyBorder="1" applyAlignment="1">
      <alignment wrapText="1"/>
    </xf>
    <xf numFmtId="0" fontId="5" fillId="2" borderId="31" xfId="0" applyFont="1" applyFill="1" applyBorder="1" applyAlignment="1"/>
    <xf numFmtId="0" fontId="5" fillId="2" borderId="32" xfId="0" applyFont="1" applyFill="1" applyBorder="1" applyAlignment="1"/>
    <xf numFmtId="0" fontId="5" fillId="2" borderId="15" xfId="0" applyFont="1" applyFill="1" applyBorder="1" applyAlignment="1"/>
    <xf numFmtId="165" fontId="5" fillId="2" borderId="15" xfId="0" applyNumberFormat="1" applyFont="1" applyFill="1" applyBorder="1" applyAlignment="1"/>
    <xf numFmtId="164" fontId="5" fillId="2" borderId="53" xfId="0" applyNumberFormat="1" applyFont="1" applyFill="1" applyBorder="1" applyAlignment="1"/>
    <xf numFmtId="164" fontId="5" fillId="2" borderId="54" xfId="0" applyNumberFormat="1" applyFont="1" applyFill="1" applyBorder="1" applyAlignment="1"/>
    <xf numFmtId="0" fontId="5" fillId="2" borderId="46" xfId="0" applyFont="1" applyFill="1" applyBorder="1" applyAlignment="1"/>
    <xf numFmtId="164" fontId="6" fillId="2" borderId="54" xfId="0" applyNumberFormat="1" applyFont="1" applyFill="1" applyBorder="1" applyAlignment="1"/>
    <xf numFmtId="0" fontId="5" fillId="2" borderId="15" xfId="0" applyFont="1" applyFill="1" applyBorder="1" applyAlignment="1">
      <alignment wrapText="1"/>
    </xf>
    <xf numFmtId="0" fontId="0" fillId="2" borderId="15" xfId="0" applyFill="1" applyBorder="1" applyAlignment="1">
      <alignment wrapText="1"/>
    </xf>
    <xf numFmtId="0" fontId="0" fillId="0" borderId="46" xfId="0" applyBorder="1"/>
    <xf numFmtId="165" fontId="0" fillId="4" borderId="33" xfId="0" applyNumberFormat="1" applyFont="1" applyFill="1" applyBorder="1"/>
    <xf numFmtId="165" fontId="0" fillId="4" borderId="32" xfId="0" applyNumberFormat="1" applyFont="1" applyFill="1" applyBorder="1"/>
    <xf numFmtId="165" fontId="0" fillId="4" borderId="23" xfId="0" applyNumberFormat="1" applyFont="1" applyFill="1" applyBorder="1"/>
    <xf numFmtId="0" fontId="0" fillId="17" borderId="23" xfId="0" applyFont="1" applyFill="1" applyBorder="1"/>
    <xf numFmtId="165" fontId="0" fillId="17" borderId="7" xfId="0" applyNumberFormat="1" applyFont="1" applyFill="1" applyBorder="1"/>
    <xf numFmtId="0" fontId="0" fillId="17" borderId="24" xfId="0" applyFont="1" applyFill="1" applyBorder="1"/>
    <xf numFmtId="0" fontId="0" fillId="17" borderId="5" xfId="0" applyFont="1" applyFill="1" applyBorder="1"/>
    <xf numFmtId="165" fontId="0" fillId="17" borderId="5" xfId="0" applyNumberFormat="1" applyFont="1" applyFill="1" applyBorder="1"/>
    <xf numFmtId="0" fontId="0" fillId="17" borderId="53" xfId="0" applyFont="1" applyFill="1" applyBorder="1"/>
    <xf numFmtId="165" fontId="0" fillId="17" borderId="15" xfId="0" applyNumberFormat="1" applyFont="1" applyFill="1" applyBorder="1"/>
    <xf numFmtId="0" fontId="0" fillId="17" borderId="15" xfId="0" applyFont="1" applyFill="1" applyBorder="1"/>
    <xf numFmtId="0" fontId="0" fillId="3" borderId="23" xfId="0" applyFill="1" applyBorder="1"/>
    <xf numFmtId="165" fontId="0" fillId="3" borderId="7" xfId="0" applyNumberFormat="1" applyFill="1" applyBorder="1"/>
    <xf numFmtId="0" fontId="0" fillId="3" borderId="24" xfId="0" applyFill="1" applyBorder="1"/>
    <xf numFmtId="0" fontId="0" fillId="3" borderId="5" xfId="0" applyFill="1" applyBorder="1"/>
    <xf numFmtId="165" fontId="0" fillId="4" borderId="58" xfId="0" applyNumberFormat="1" applyFont="1" applyFill="1" applyBorder="1"/>
    <xf numFmtId="165" fontId="0" fillId="4" borderId="19" xfId="0" applyNumberFormat="1" applyFont="1" applyFill="1" applyBorder="1"/>
    <xf numFmtId="165" fontId="0" fillId="4" borderId="56" xfId="0" applyNumberFormat="1" applyFont="1" applyFill="1" applyBorder="1"/>
    <xf numFmtId="165" fontId="0" fillId="4" borderId="8" xfId="0" applyNumberFormat="1" applyFont="1" applyFill="1" applyBorder="1"/>
    <xf numFmtId="165" fontId="0" fillId="4" borderId="12" xfId="0" applyNumberFormat="1" applyFont="1" applyFill="1" applyBorder="1"/>
    <xf numFmtId="165" fontId="0" fillId="4" borderId="25" xfId="0" applyNumberFormat="1" applyFont="1" applyFill="1" applyBorder="1"/>
    <xf numFmtId="0" fontId="0" fillId="17" borderId="56" xfId="0" applyFont="1" applyFill="1" applyBorder="1"/>
    <xf numFmtId="0" fontId="0" fillId="17" borderId="25" xfId="0" applyFont="1" applyFill="1" applyBorder="1"/>
    <xf numFmtId="0" fontId="0" fillId="17" borderId="8" xfId="0" applyFont="1" applyFill="1" applyBorder="1"/>
    <xf numFmtId="0" fontId="0" fillId="17" borderId="7" xfId="0" applyFont="1" applyFill="1" applyBorder="1"/>
    <xf numFmtId="0" fontId="0" fillId="17" borderId="12" xfId="0" applyFont="1" applyFill="1" applyBorder="1"/>
    <xf numFmtId="0" fontId="0" fillId="17" borderId="51" xfId="0" applyFont="1" applyFill="1" applyBorder="1"/>
    <xf numFmtId="0" fontId="0" fillId="17" borderId="26" xfId="0" applyFont="1" applyFill="1" applyBorder="1"/>
    <xf numFmtId="0" fontId="0" fillId="17" borderId="9" xfId="0" applyFont="1" applyFill="1" applyBorder="1"/>
    <xf numFmtId="0" fontId="0" fillId="17" borderId="4" xfId="0" applyFont="1" applyFill="1" applyBorder="1"/>
    <xf numFmtId="0" fontId="0" fillId="17" borderId="55" xfId="0" applyFont="1" applyFill="1" applyBorder="1"/>
    <xf numFmtId="0" fontId="0" fillId="17" borderId="33" xfId="0" applyFont="1" applyFill="1" applyBorder="1"/>
    <xf numFmtId="0" fontId="0" fillId="17" borderId="31" xfId="0" applyFont="1" applyFill="1" applyBorder="1"/>
    <xf numFmtId="0" fontId="0" fillId="17" borderId="32" xfId="0" applyFont="1" applyFill="1" applyBorder="1"/>
    <xf numFmtId="0" fontId="0" fillId="3" borderId="56" xfId="0" applyFill="1" applyBorder="1"/>
    <xf numFmtId="0" fontId="0" fillId="3" borderId="25" xfId="0" applyFill="1" applyBorder="1"/>
    <xf numFmtId="0" fontId="0" fillId="3" borderId="8" xfId="0" applyFill="1" applyBorder="1"/>
    <xf numFmtId="0" fontId="0" fillId="3" borderId="7" xfId="0" applyFill="1" applyBorder="1"/>
    <xf numFmtId="0" fontId="0" fillId="3" borderId="12" xfId="0" applyFill="1" applyBorder="1"/>
    <xf numFmtId="0" fontId="0" fillId="3" borderId="51" xfId="0" applyFill="1" applyBorder="1"/>
    <xf numFmtId="0" fontId="0" fillId="3" borderId="26" xfId="0" applyFill="1" applyBorder="1"/>
    <xf numFmtId="0" fontId="0" fillId="3" borderId="9" xfId="0" applyFill="1" applyBorder="1"/>
    <xf numFmtId="0" fontId="0" fillId="3" borderId="4" xfId="0" applyFill="1" applyBorder="1"/>
    <xf numFmtId="0" fontId="0" fillId="17" borderId="18" xfId="0" applyFont="1" applyFill="1" applyBorder="1"/>
    <xf numFmtId="0" fontId="0" fillId="17" borderId="10" xfId="0" applyFont="1" applyFill="1" applyBorder="1"/>
    <xf numFmtId="0" fontId="0" fillId="17" borderId="57" xfId="0" applyFont="1" applyFill="1" applyBorder="1"/>
    <xf numFmtId="0" fontId="0" fillId="17" borderId="58" xfId="0" applyFont="1" applyFill="1" applyBorder="1"/>
    <xf numFmtId="0" fontId="0" fillId="17" borderId="16" xfId="0" applyFont="1" applyFill="1" applyBorder="1"/>
    <xf numFmtId="0" fontId="0" fillId="17" borderId="19" xfId="0" applyFont="1" applyFill="1" applyBorder="1"/>
    <xf numFmtId="166" fontId="5" fillId="6" borderId="3" xfId="0" applyNumberFormat="1" applyFont="1" applyFill="1" applyBorder="1"/>
    <xf numFmtId="166" fontId="5" fillId="6" borderId="12" xfId="0" applyNumberFormat="1" applyFont="1" applyFill="1" applyBorder="1"/>
    <xf numFmtId="166" fontId="5" fillId="6" borderId="14" xfId="0" applyNumberFormat="1" applyFont="1" applyFill="1" applyBorder="1"/>
    <xf numFmtId="166" fontId="5" fillId="6" borderId="32" xfId="0" applyNumberFormat="1" applyFont="1" applyFill="1" applyBorder="1"/>
    <xf numFmtId="0" fontId="5" fillId="6" borderId="31" xfId="0" applyFont="1" applyFill="1" applyBorder="1"/>
    <xf numFmtId="1" fontId="5" fillId="10" borderId="15" xfId="0" applyNumberFormat="1" applyFont="1" applyFill="1" applyBorder="1"/>
    <xf numFmtId="1" fontId="5" fillId="10" borderId="31" xfId="0" applyNumberFormat="1" applyFont="1" applyFill="1" applyBorder="1"/>
    <xf numFmtId="0" fontId="5" fillId="10" borderId="31" xfId="0" applyFont="1" applyFill="1" applyBorder="1"/>
    <xf numFmtId="1" fontId="5" fillId="6" borderId="7" xfId="0" applyNumberFormat="1" applyFont="1" applyFill="1" applyBorder="1"/>
    <xf numFmtId="1" fontId="5" fillId="10" borderId="5" xfId="0" applyNumberFormat="1" applyFont="1" applyFill="1" applyBorder="1"/>
    <xf numFmtId="1" fontId="5" fillId="2" borderId="5" xfId="0" applyNumberFormat="1" applyFont="1" applyFill="1" applyBorder="1"/>
    <xf numFmtId="1" fontId="5" fillId="2" borderId="15" xfId="0" applyNumberFormat="1" applyFont="1" applyFill="1" applyBorder="1"/>
    <xf numFmtId="1" fontId="5" fillId="2" borderId="31" xfId="0" applyNumberFormat="1" applyFont="1" applyFill="1" applyBorder="1"/>
    <xf numFmtId="0" fontId="5" fillId="2" borderId="31" xfId="0" applyFont="1" applyFill="1" applyBorder="1"/>
    <xf numFmtId="1" fontId="5" fillId="10" borderId="7" xfId="0" applyNumberFormat="1" applyFont="1" applyFill="1" applyBorder="1"/>
    <xf numFmtId="1" fontId="5" fillId="10" borderId="8" xfId="0" applyNumberFormat="1" applyFont="1" applyFill="1" applyBorder="1"/>
    <xf numFmtId="1" fontId="5" fillId="6" borderId="15" xfId="0" applyNumberFormat="1" applyFont="1" applyFill="1" applyBorder="1"/>
    <xf numFmtId="1" fontId="5" fillId="6" borderId="31" xfId="0" applyNumberFormat="1" applyFont="1" applyFill="1" applyBorder="1"/>
    <xf numFmtId="1" fontId="5" fillId="15" borderId="3" xfId="0" applyNumberFormat="1" applyFont="1" applyFill="1" applyBorder="1"/>
    <xf numFmtId="0" fontId="5" fillId="15" borderId="7" xfId="0" applyFont="1" applyFill="1" applyBorder="1"/>
    <xf numFmtId="0" fontId="5" fillId="15" borderId="3" xfId="0" applyFont="1" applyFill="1" applyBorder="1"/>
    <xf numFmtId="0" fontId="5" fillId="15" borderId="1" xfId="0" applyFont="1" applyFill="1" applyBorder="1"/>
    <xf numFmtId="1" fontId="5" fillId="15" borderId="1" xfId="0" applyNumberFormat="1" applyFont="1" applyFill="1" applyBorder="1"/>
    <xf numFmtId="0" fontId="5" fillId="15" borderId="6" xfId="0" applyFont="1" applyFill="1" applyBorder="1"/>
    <xf numFmtId="166" fontId="0" fillId="15" borderId="1" xfId="0" applyNumberFormat="1" applyFill="1" applyBorder="1"/>
    <xf numFmtId="166" fontId="0" fillId="15" borderId="3" xfId="0" applyNumberFormat="1" applyFill="1" applyBorder="1"/>
    <xf numFmtId="166" fontId="0" fillId="15" borderId="12" xfId="0" applyNumberFormat="1" applyFill="1" applyBorder="1"/>
    <xf numFmtId="0" fontId="12" fillId="10" borderId="5" xfId="0" applyFont="1" applyFill="1" applyBorder="1" applyAlignment="1">
      <alignment wrapText="1"/>
    </xf>
    <xf numFmtId="0" fontId="12" fillId="10" borderId="7" xfId="0" applyFont="1" applyFill="1" applyBorder="1" applyAlignment="1">
      <alignment wrapText="1"/>
    </xf>
    <xf numFmtId="0" fontId="5" fillId="10" borderId="5" xfId="0" applyFont="1" applyFill="1" applyBorder="1" applyAlignment="1"/>
    <xf numFmtId="1" fontId="12" fillId="10" borderId="39" xfId="0" applyNumberFormat="1" applyFont="1" applyFill="1" applyBorder="1" applyAlignment="1"/>
    <xf numFmtId="0" fontId="12" fillId="10" borderId="15" xfId="0" applyFont="1" applyFill="1" applyBorder="1" applyAlignment="1">
      <alignment wrapText="1"/>
    </xf>
    <xf numFmtId="165" fontId="5" fillId="4" borderId="5" xfId="0" applyNumberFormat="1" applyFont="1" applyFill="1" applyBorder="1"/>
    <xf numFmtId="165" fontId="5" fillId="4" borderId="51" xfId="0" applyNumberFormat="1" applyFont="1" applyFill="1" applyBorder="1"/>
    <xf numFmtId="165" fontId="5" fillId="4" borderId="10" xfId="0" applyNumberFormat="1" applyFont="1" applyFill="1" applyBorder="1"/>
    <xf numFmtId="165" fontId="5" fillId="4" borderId="57" xfId="0" applyNumberFormat="1" applyFont="1" applyFill="1" applyBorder="1"/>
    <xf numFmtId="165" fontId="0" fillId="15" borderId="25" xfId="0" applyNumberFormat="1" applyFill="1" applyBorder="1"/>
    <xf numFmtId="165" fontId="0" fillId="15" borderId="26" xfId="0" applyNumberFormat="1" applyFill="1" applyBorder="1"/>
    <xf numFmtId="165" fontId="0" fillId="15" borderId="12" xfId="0" applyNumberFormat="1" applyFill="1" applyBorder="1"/>
    <xf numFmtId="165" fontId="0" fillId="15" borderId="4" xfId="0" applyNumberFormat="1" applyFill="1" applyBorder="1"/>
    <xf numFmtId="165" fontId="0" fillId="17" borderId="17" xfId="0" applyNumberFormat="1" applyFont="1" applyFill="1" applyBorder="1"/>
    <xf numFmtId="0" fontId="0" fillId="17" borderId="6" xfId="0" applyFont="1" applyFill="1" applyBorder="1"/>
    <xf numFmtId="165" fontId="0" fillId="17" borderId="6" xfId="0" applyNumberFormat="1" applyFont="1" applyFill="1" applyBorder="1"/>
    <xf numFmtId="165" fontId="0" fillId="17" borderId="46" xfId="0" applyNumberFormat="1" applyFont="1" applyFill="1" applyBorder="1"/>
    <xf numFmtId="0" fontId="0" fillId="17" borderId="46" xfId="0" applyFont="1" applyFill="1" applyBorder="1"/>
    <xf numFmtId="165" fontId="0" fillId="3" borderId="17" xfId="0" applyNumberFormat="1" applyFill="1" applyBorder="1"/>
    <xf numFmtId="0" fontId="0" fillId="3" borderId="6" xfId="0" applyFill="1" applyBorder="1"/>
    <xf numFmtId="0" fontId="0" fillId="17" borderId="17" xfId="0" applyFont="1" applyFill="1" applyBorder="1"/>
    <xf numFmtId="0" fontId="0" fillId="3" borderId="17" xfId="0" applyFill="1" applyBorder="1"/>
    <xf numFmtId="0" fontId="0" fillId="17" borderId="47" xfId="0" applyFont="1" applyFill="1" applyBorder="1"/>
    <xf numFmtId="0" fontId="7" fillId="0" borderId="2" xfId="0" applyFont="1" applyBorder="1"/>
    <xf numFmtId="0" fontId="0" fillId="0" borderId="2" xfId="0" applyBorder="1"/>
    <xf numFmtId="164" fontId="0" fillId="0" borderId="2" xfId="0" applyNumberFormat="1" applyBorder="1"/>
    <xf numFmtId="0" fontId="5" fillId="0" borderId="59" xfId="0" applyFont="1" applyBorder="1"/>
    <xf numFmtId="0" fontId="5" fillId="0" borderId="26" xfId="0" applyFont="1" applyBorder="1"/>
    <xf numFmtId="167" fontId="6" fillId="0" borderId="8" xfId="0" applyNumberFormat="1" applyFont="1" applyBorder="1"/>
    <xf numFmtId="167" fontId="6" fillId="0" borderId="3" xfId="0" applyNumberFormat="1" applyFont="1" applyBorder="1"/>
    <xf numFmtId="167" fontId="6" fillId="0" borderId="9" xfId="0" applyNumberFormat="1" applyFont="1" applyBorder="1"/>
    <xf numFmtId="167" fontId="6" fillId="0" borderId="1" xfId="0" applyNumberFormat="1" applyFont="1" applyBorder="1"/>
    <xf numFmtId="0" fontId="2" fillId="7" borderId="20" xfId="0" applyFont="1" applyFill="1" applyBorder="1" applyAlignment="1">
      <alignment horizontal="center" wrapText="1"/>
    </xf>
    <xf numFmtId="0" fontId="0" fillId="0" borderId="17" xfId="0" applyBorder="1" applyAlignment="1">
      <alignment horizontal="center"/>
    </xf>
    <xf numFmtId="0" fontId="0" fillId="0" borderId="17" xfId="0" applyBorder="1" applyAlignment="1"/>
    <xf numFmtId="0" fontId="0" fillId="0" borderId="52" xfId="0" applyBorder="1" applyAlignment="1"/>
    <xf numFmtId="0" fontId="2" fillId="7" borderId="17" xfId="0" applyFont="1" applyFill="1" applyBorder="1" applyAlignment="1">
      <alignment horizontal="center" wrapText="1"/>
    </xf>
    <xf numFmtId="1" fontId="5" fillId="4" borderId="45" xfId="0" applyNumberFormat="1" applyFont="1" applyFill="1" applyBorder="1"/>
    <xf numFmtId="1" fontId="5" fillId="9" borderId="24" xfId="0" applyNumberFormat="1" applyFont="1" applyFill="1" applyBorder="1"/>
    <xf numFmtId="1" fontId="5" fillId="4" borderId="24" xfId="0" applyNumberFormat="1" applyFont="1" applyFill="1" applyBorder="1"/>
    <xf numFmtId="1" fontId="5" fillId="8" borderId="24" xfId="0" applyNumberFormat="1" applyFont="1" applyFill="1" applyBorder="1"/>
    <xf numFmtId="0" fontId="6" fillId="4" borderId="7" xfId="0" applyFont="1" applyFill="1" applyBorder="1"/>
    <xf numFmtId="0" fontId="6" fillId="4" borderId="5" xfId="0" applyFont="1" applyFill="1" applyBorder="1"/>
    <xf numFmtId="165" fontId="6" fillId="4" borderId="15" xfId="0" applyNumberFormat="1" applyFont="1" applyFill="1" applyBorder="1"/>
    <xf numFmtId="0" fontId="0" fillId="0" borderId="0" xfId="0" applyFill="1" applyBorder="1"/>
    <xf numFmtId="0" fontId="12" fillId="2" borderId="7" xfId="0" applyFont="1" applyFill="1" applyBorder="1" applyAlignment="1">
      <alignment wrapText="1"/>
    </xf>
    <xf numFmtId="1" fontId="5" fillId="2" borderId="5" xfId="0" applyNumberFormat="1" applyFont="1" applyFill="1" applyBorder="1" applyAlignment="1">
      <alignment wrapText="1"/>
    </xf>
    <xf numFmtId="1" fontId="12" fillId="2" borderId="7" xfId="0" applyNumberFormat="1" applyFont="1" applyFill="1" applyBorder="1" applyAlignment="1">
      <alignment wrapText="1"/>
    </xf>
    <xf numFmtId="1" fontId="5" fillId="2" borderId="7" xfId="0" applyNumberFormat="1" applyFont="1" applyFill="1" applyBorder="1" applyAlignment="1">
      <alignment wrapText="1"/>
    </xf>
    <xf numFmtId="0" fontId="5" fillId="2" borderId="5" xfId="0" applyFont="1" applyFill="1" applyBorder="1" applyAlignment="1"/>
    <xf numFmtId="1" fontId="12" fillId="2" borderId="5" xfId="0" applyNumberFormat="1" applyFont="1" applyFill="1" applyBorder="1" applyAlignment="1">
      <alignment wrapText="1"/>
    </xf>
    <xf numFmtId="0" fontId="12" fillId="2" borderId="1" xfId="0" applyFont="1" applyFill="1" applyBorder="1" applyAlignment="1">
      <alignment wrapText="1"/>
    </xf>
    <xf numFmtId="0" fontId="2" fillId="0" borderId="19" xfId="0" applyFont="1" applyBorder="1" applyAlignment="1">
      <alignment wrapText="1"/>
    </xf>
    <xf numFmtId="0" fontId="0" fillId="0" borderId="4" xfId="0" applyBorder="1" applyAlignment="1">
      <alignment wrapText="1"/>
    </xf>
    <xf numFmtId="0" fontId="0" fillId="0" borderId="12" xfId="0" applyFont="1" applyBorder="1" applyAlignment="1">
      <alignment wrapText="1"/>
    </xf>
    <xf numFmtId="0" fontId="0" fillId="0" borderId="12" xfId="0" applyBorder="1" applyAlignment="1">
      <alignment wrapText="1"/>
    </xf>
    <xf numFmtId="0" fontId="0" fillId="2" borderId="32" xfId="0" applyFill="1" applyBorder="1" applyAlignment="1">
      <alignment wrapText="1"/>
    </xf>
    <xf numFmtId="164" fontId="0" fillId="18" borderId="0" xfId="0" applyNumberFormat="1" applyFill="1" applyBorder="1"/>
    <xf numFmtId="0" fontId="0" fillId="2" borderId="0" xfId="0" applyFill="1" applyBorder="1"/>
    <xf numFmtId="166" fontId="0" fillId="2" borderId="0" xfId="0" applyNumberFormat="1" applyFill="1" applyBorder="1"/>
    <xf numFmtId="0" fontId="0" fillId="13" borderId="0" xfId="0" applyFont="1" applyFill="1" applyBorder="1"/>
    <xf numFmtId="164" fontId="5" fillId="2" borderId="0" xfId="0" applyNumberFormat="1" applyFont="1" applyFill="1" applyBorder="1"/>
    <xf numFmtId="165" fontId="0" fillId="2" borderId="0" xfId="0" applyNumberFormat="1" applyFill="1" applyBorder="1"/>
    <xf numFmtId="0" fontId="6" fillId="2" borderId="0" xfId="0" applyFont="1" applyFill="1" applyBorder="1"/>
    <xf numFmtId="1" fontId="5" fillId="2" borderId="0" xfId="0" applyNumberFormat="1" applyFont="1" applyFill="1" applyBorder="1"/>
    <xf numFmtId="0" fontId="5" fillId="2" borderId="0" xfId="0" applyFont="1" applyFill="1"/>
    <xf numFmtId="1" fontId="0" fillId="2" borderId="0" xfId="0" applyNumberFormat="1" applyFill="1"/>
    <xf numFmtId="0" fontId="6" fillId="2" borderId="0" xfId="0" applyFont="1" applyFill="1"/>
    <xf numFmtId="165" fontId="6" fillId="4" borderId="7" xfId="0" applyNumberFormat="1" applyFont="1" applyFill="1" applyBorder="1"/>
    <xf numFmtId="165" fontId="6" fillId="4" borderId="5" xfId="0" applyNumberFormat="1" applyFont="1" applyFill="1" applyBorder="1"/>
  </cellXfs>
  <cellStyles count="33">
    <cellStyle name="Good 2" xfId="8"/>
    <cellStyle name="Good 3" xfId="7"/>
    <cellStyle name="Good 4" xfId="32"/>
    <cellStyle name="Normal" xfId="0" builtinId="0"/>
    <cellStyle name="Normal 2" xfId="2"/>
    <cellStyle name="Normal 3" xfId="4"/>
    <cellStyle name="Normal 4" xfId="3"/>
    <cellStyle name="Normal 5" xfId="5"/>
    <cellStyle name="Normal 5 10" xfId="16"/>
    <cellStyle name="Normal 5 11" xfId="17"/>
    <cellStyle name="Normal 5 12" xfId="18"/>
    <cellStyle name="Normal 5 13" xfId="19"/>
    <cellStyle name="Normal 5 14" xfId="20"/>
    <cellStyle name="Normal 5 15" xfId="21"/>
    <cellStyle name="Normal 5 16" xfId="22"/>
    <cellStyle name="Normal 5 17" xfId="23"/>
    <cellStyle name="Normal 5 18" xfId="24"/>
    <cellStyle name="Normal 5 19" xfId="25"/>
    <cellStyle name="Normal 5 2" xfId="6"/>
    <cellStyle name="Normal 5 20" xfId="26"/>
    <cellStyle name="Normal 5 21" xfId="27"/>
    <cellStyle name="Normal 5 22" xfId="28"/>
    <cellStyle name="Normal 5 23" xfId="29"/>
    <cellStyle name="Normal 5 24" xfId="30"/>
    <cellStyle name="Normal 5 25" xfId="31"/>
    <cellStyle name="Normal 5 3" xfId="11"/>
    <cellStyle name="Normal 5 4" xfId="10"/>
    <cellStyle name="Normal 5 5" xfId="12"/>
    <cellStyle name="Normal 5 6" xfId="9"/>
    <cellStyle name="Normal 5 7" xfId="13"/>
    <cellStyle name="Normal 5 8" xfId="14"/>
    <cellStyle name="Normal 5 9" xfId="15"/>
    <cellStyle name="Percent" xfId="1" builtinId="5"/>
  </cellStyles>
  <dxfs count="0"/>
  <tableStyles count="0" defaultTableStyle="TableStyleMedium9" defaultPivotStyle="PivotStyleLight16"/>
  <colors>
    <mruColors>
      <color rgb="FFEBE600"/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R124"/>
  <sheetViews>
    <sheetView tabSelected="1" zoomScale="90" zoomScaleNormal="90" workbookViewId="0">
      <pane xSplit="7" ySplit="1" topLeftCell="U47" activePane="bottomRight" state="frozen"/>
      <selection pane="topRight" activeCell="I1" sqref="I1"/>
      <selection pane="bottomLeft" activeCell="A2" sqref="A2"/>
      <selection pane="bottomRight" activeCell="AX1" sqref="AX1"/>
    </sheetView>
  </sheetViews>
  <sheetFormatPr defaultRowHeight="15"/>
  <cols>
    <col min="1" max="1" width="5.85546875" style="234" customWidth="1"/>
    <col min="2" max="2" width="11.140625" customWidth="1"/>
    <col min="3" max="3" width="6.7109375" customWidth="1"/>
    <col min="4" max="4" width="7.5703125" customWidth="1"/>
    <col min="5" max="5" width="4.85546875" customWidth="1"/>
    <col min="6" max="6" width="7.42578125" customWidth="1"/>
    <col min="7" max="7" width="8" customWidth="1"/>
    <col min="8" max="8" width="7.85546875" customWidth="1"/>
    <col min="9" max="9" width="6.42578125" style="13" customWidth="1"/>
    <col min="10" max="10" width="8" style="213" customWidth="1"/>
    <col min="11" max="11" width="5.5703125" style="13" customWidth="1"/>
    <col min="12" max="12" width="5.28515625" customWidth="1"/>
    <col min="13" max="13" width="6.28515625" style="19" customWidth="1"/>
    <col min="14" max="14" width="12.5703125" customWidth="1"/>
    <col min="15" max="15" width="7" customWidth="1"/>
    <col min="16" max="16" width="5.85546875" customWidth="1"/>
    <col min="17" max="17" width="7.5703125" style="61" customWidth="1"/>
    <col min="18" max="18" width="5.140625" style="61" customWidth="1"/>
    <col min="19" max="19" width="6" style="61" customWidth="1"/>
    <col min="20" max="20" width="7" style="61" customWidth="1"/>
    <col min="21" max="22" width="7.140625" style="61" customWidth="1"/>
    <col min="23" max="23" width="6.7109375" style="61" customWidth="1"/>
    <col min="24" max="24" width="9.140625" style="110" customWidth="1"/>
    <col min="25" max="25" width="19.7109375" style="73" customWidth="1"/>
    <col min="26" max="26" width="5.5703125" style="14" customWidth="1"/>
    <col min="27" max="27" width="6.140625" style="21" customWidth="1"/>
    <col min="28" max="28" width="6.140625" style="14" customWidth="1"/>
    <col min="29" max="29" width="5.5703125" style="14" customWidth="1"/>
    <col min="30" max="30" width="5.42578125" style="36" customWidth="1"/>
    <col min="31" max="31" width="6.140625" style="104" customWidth="1"/>
    <col min="32" max="32" width="5.42578125" style="99" customWidth="1"/>
    <col min="33" max="33" width="5.85546875" customWidth="1"/>
    <col min="34" max="34" width="8.42578125" customWidth="1"/>
    <col min="35" max="35" width="8.28515625" customWidth="1"/>
    <col min="36" max="36" width="4.85546875" style="99" customWidth="1"/>
    <col min="37" max="37" width="5.140625" customWidth="1"/>
    <col min="38" max="38" width="5.28515625" customWidth="1"/>
    <col min="39" max="39" width="5.7109375" style="148" customWidth="1"/>
    <col min="40" max="40" width="5.5703125" style="99" customWidth="1"/>
    <col min="41" max="41" width="5.28515625" style="99" customWidth="1"/>
    <col min="42" max="42" width="5.5703125" customWidth="1"/>
    <col min="43" max="43" width="9.28515625" style="130" customWidth="1"/>
    <col min="44" max="44" width="7.85546875" customWidth="1"/>
    <col min="45" max="45" width="4.5703125" customWidth="1"/>
    <col min="46" max="46" width="4.85546875" customWidth="1"/>
    <col min="47" max="47" width="5.42578125" customWidth="1"/>
    <col min="48" max="48" width="5.7109375" style="148" customWidth="1"/>
    <col min="49" max="51" width="5.7109375" customWidth="1"/>
    <col min="52" max="52" width="8" customWidth="1"/>
    <col min="53" max="53" width="8.28515625" customWidth="1"/>
    <col min="54" max="54" width="5.7109375" style="304" customWidth="1"/>
    <col min="55" max="56" width="5.7109375" customWidth="1"/>
    <col min="57" max="57" width="5.7109375" style="148" customWidth="1"/>
    <col min="58" max="60" width="5.7109375" customWidth="1"/>
    <col min="61" max="61" width="6.85546875" customWidth="1"/>
    <col min="62" max="62" width="7.28515625" style="110" customWidth="1"/>
    <col min="63" max="68" width="5.7109375" customWidth="1"/>
    <col min="69" max="70" width="8.7109375" customWidth="1"/>
    <col min="71" max="71" width="8" customWidth="1"/>
    <col min="72" max="78" width="5.85546875" customWidth="1"/>
    <col min="79" max="80" width="6.140625" customWidth="1"/>
    <col min="81" max="81" width="5.42578125" customWidth="1"/>
    <col min="82" max="82" width="5.85546875" customWidth="1"/>
    <col min="83" max="83" width="6.42578125" customWidth="1"/>
    <col min="84" max="84" width="6" customWidth="1"/>
    <col min="85" max="85" width="5.85546875" customWidth="1"/>
    <col min="86" max="86" width="6" customWidth="1"/>
    <col min="87" max="87" width="6.140625" customWidth="1"/>
    <col min="88" max="88" width="6" customWidth="1"/>
    <col min="89" max="89" width="5.28515625" customWidth="1"/>
    <col min="90" max="90" width="5.42578125" customWidth="1"/>
    <col min="91" max="91" width="6.28515625" customWidth="1"/>
    <col min="92" max="92" width="5.85546875" customWidth="1"/>
    <col min="93" max="93" width="5.7109375" customWidth="1"/>
    <col min="94" max="94" width="5.140625" customWidth="1"/>
    <col min="95" max="96" width="5.42578125" customWidth="1"/>
    <col min="97" max="98" width="5.28515625" customWidth="1"/>
    <col min="99" max="99" width="7.140625" customWidth="1"/>
    <col min="100" max="100" width="5.42578125" customWidth="1"/>
    <col min="101" max="101" width="5.7109375" customWidth="1"/>
    <col min="102" max="103" width="5.28515625" customWidth="1"/>
    <col min="104" max="104" width="5.85546875" customWidth="1"/>
    <col min="105" max="105" width="5.42578125" customWidth="1"/>
    <col min="106" max="106" width="5.85546875" customWidth="1"/>
    <col min="107" max="107" width="5.42578125" customWidth="1"/>
    <col min="108" max="108" width="4.85546875" customWidth="1"/>
    <col min="109" max="109" width="5.140625" customWidth="1"/>
    <col min="110" max="110" width="5.7109375" customWidth="1"/>
    <col min="111" max="111" width="5.28515625" customWidth="1"/>
    <col min="112" max="113" width="5.140625" customWidth="1"/>
    <col min="114" max="114" width="5" customWidth="1"/>
    <col min="115" max="115" width="5.140625" customWidth="1"/>
    <col min="116" max="116" width="4.85546875" customWidth="1"/>
    <col min="117" max="117" width="4.5703125" customWidth="1"/>
    <col min="118" max="118" width="4.85546875" customWidth="1"/>
    <col min="119" max="119" width="5.140625" customWidth="1"/>
    <col min="120" max="120" width="5.28515625" customWidth="1"/>
    <col min="121" max="121" width="5.42578125" customWidth="1"/>
  </cols>
  <sheetData>
    <row r="1" spans="1:122" ht="78" thickBot="1">
      <c r="A1" s="10" t="s">
        <v>195</v>
      </c>
      <c r="B1" s="10" t="s">
        <v>40</v>
      </c>
      <c r="C1" s="5" t="s">
        <v>13</v>
      </c>
      <c r="D1" s="5" t="s">
        <v>0</v>
      </c>
      <c r="E1" s="5" t="s">
        <v>42</v>
      </c>
      <c r="F1" s="5" t="s">
        <v>96</v>
      </c>
      <c r="G1" s="5" t="s">
        <v>22</v>
      </c>
      <c r="H1" s="4" t="s">
        <v>1</v>
      </c>
      <c r="I1" s="4" t="s">
        <v>2</v>
      </c>
      <c r="J1" s="100" t="s">
        <v>68</v>
      </c>
      <c r="K1" s="4" t="s">
        <v>69</v>
      </c>
      <c r="L1" s="47" t="s">
        <v>70</v>
      </c>
      <c r="M1" s="47" t="s">
        <v>71</v>
      </c>
      <c r="N1" s="4" t="s">
        <v>3</v>
      </c>
      <c r="O1" s="5" t="s">
        <v>98</v>
      </c>
      <c r="P1" s="72" t="s">
        <v>89</v>
      </c>
      <c r="Q1" s="70" t="s">
        <v>90</v>
      </c>
      <c r="R1" s="96" t="s">
        <v>97</v>
      </c>
      <c r="S1" s="70" t="s">
        <v>91</v>
      </c>
      <c r="T1" s="70" t="s">
        <v>92</v>
      </c>
      <c r="U1" s="72" t="s">
        <v>93</v>
      </c>
      <c r="V1" s="71" t="s">
        <v>94</v>
      </c>
      <c r="W1" s="70" t="s">
        <v>95</v>
      </c>
      <c r="X1" s="96" t="s">
        <v>160</v>
      </c>
      <c r="Y1" s="150" t="s">
        <v>43</v>
      </c>
      <c r="Z1" s="118" t="s">
        <v>99</v>
      </c>
      <c r="AA1" s="114" t="s">
        <v>100</v>
      </c>
      <c r="AB1" s="114" t="s">
        <v>101</v>
      </c>
      <c r="AC1" s="113" t="s">
        <v>102</v>
      </c>
      <c r="AD1" s="117" t="s">
        <v>103</v>
      </c>
      <c r="AE1" s="116" t="s">
        <v>104</v>
      </c>
      <c r="AF1" s="109" t="s">
        <v>105</v>
      </c>
      <c r="AG1" s="115" t="s">
        <v>106</v>
      </c>
      <c r="AH1" s="140" t="s">
        <v>107</v>
      </c>
      <c r="AI1" s="107" t="s">
        <v>108</v>
      </c>
      <c r="AJ1" s="112" t="s">
        <v>109</v>
      </c>
      <c r="AK1" s="121" t="s">
        <v>110</v>
      </c>
      <c r="AL1" s="121" t="s">
        <v>111</v>
      </c>
      <c r="AM1" s="121" t="s">
        <v>112</v>
      </c>
      <c r="AN1" s="147" t="s">
        <v>113</v>
      </c>
      <c r="AO1" s="121" t="s">
        <v>114</v>
      </c>
      <c r="AP1" s="121" t="s">
        <v>115</v>
      </c>
      <c r="AQ1" s="120" t="s">
        <v>116</v>
      </c>
      <c r="AR1" s="139" t="s">
        <v>117</v>
      </c>
      <c r="AS1" s="121" t="s">
        <v>118</v>
      </c>
      <c r="AT1" s="121" t="s">
        <v>119</v>
      </c>
      <c r="AU1" s="121" t="s">
        <v>120</v>
      </c>
      <c r="AV1" s="121" t="s">
        <v>121</v>
      </c>
      <c r="AW1" s="147" t="s">
        <v>122</v>
      </c>
      <c r="AX1" s="121" t="s">
        <v>123</v>
      </c>
      <c r="AY1" s="116" t="s">
        <v>124</v>
      </c>
      <c r="AZ1" s="119" t="s">
        <v>125</v>
      </c>
      <c r="BA1" s="124" t="s">
        <v>126</v>
      </c>
      <c r="BB1" s="303" t="s">
        <v>166</v>
      </c>
      <c r="BC1" s="125" t="s">
        <v>127</v>
      </c>
      <c r="BD1" s="125" t="s">
        <v>128</v>
      </c>
      <c r="BE1" s="125" t="s">
        <v>129</v>
      </c>
      <c r="BF1" s="147" t="s">
        <v>130</v>
      </c>
      <c r="BG1" s="125" t="s">
        <v>131</v>
      </c>
      <c r="BH1" s="122" t="s">
        <v>132</v>
      </c>
      <c r="BI1" s="123" t="s">
        <v>133</v>
      </c>
      <c r="BJ1" s="305" t="s">
        <v>134</v>
      </c>
      <c r="BK1" s="125" t="s">
        <v>135</v>
      </c>
      <c r="BL1" s="125" t="s">
        <v>136</v>
      </c>
      <c r="BM1" s="125" t="s">
        <v>137</v>
      </c>
      <c r="BN1" s="125" t="s">
        <v>138</v>
      </c>
      <c r="BO1" s="125" t="s">
        <v>139</v>
      </c>
      <c r="BP1" s="125" t="s">
        <v>140</v>
      </c>
      <c r="BQ1" s="122" t="s">
        <v>141</v>
      </c>
      <c r="BR1" s="123" t="s">
        <v>142</v>
      </c>
      <c r="BS1" s="100" t="s">
        <v>41</v>
      </c>
      <c r="BT1" s="5" t="s">
        <v>67</v>
      </c>
      <c r="BU1" s="522" t="s">
        <v>66</v>
      </c>
    </row>
    <row r="2" spans="1:122">
      <c r="A2" s="234">
        <v>1</v>
      </c>
      <c r="B2" s="12">
        <v>42627</v>
      </c>
      <c r="C2" s="1" t="s">
        <v>14</v>
      </c>
      <c r="D2" s="1" t="s">
        <v>11</v>
      </c>
      <c r="E2" s="2">
        <f ca="1">DATEDIF(B2,TODAY(),"M")</f>
        <v>32</v>
      </c>
      <c r="F2" s="2" t="s">
        <v>24</v>
      </c>
      <c r="G2" s="1">
        <v>0</v>
      </c>
      <c r="H2" s="1" t="s">
        <v>4</v>
      </c>
      <c r="I2" s="1" t="s">
        <v>5</v>
      </c>
      <c r="J2" s="211">
        <v>15245</v>
      </c>
      <c r="K2" s="1">
        <f>DATEDIF(J2,B2,"Y")</f>
        <v>74</v>
      </c>
      <c r="L2" s="17">
        <v>32.200000000000003</v>
      </c>
      <c r="M2" s="17" t="s">
        <v>76</v>
      </c>
      <c r="N2" s="1" t="s">
        <v>9</v>
      </c>
      <c r="O2" s="7" t="s">
        <v>18</v>
      </c>
      <c r="P2" s="82">
        <v>0</v>
      </c>
      <c r="Q2" s="78"/>
      <c r="R2" s="470">
        <v>1</v>
      </c>
      <c r="S2" s="78">
        <v>0</v>
      </c>
      <c r="T2" s="80">
        <v>0</v>
      </c>
      <c r="U2" s="82">
        <v>1</v>
      </c>
      <c r="V2" s="188">
        <f>S2+T2+U2</f>
        <v>1</v>
      </c>
      <c r="W2" s="188">
        <f>V2+R2+P2</f>
        <v>2</v>
      </c>
      <c r="X2" s="214" t="s">
        <v>161</v>
      </c>
      <c r="Y2" s="209" t="s">
        <v>182</v>
      </c>
      <c r="Z2" s="103" t="s">
        <v>47</v>
      </c>
      <c r="AA2" s="111" t="s">
        <v>47</v>
      </c>
      <c r="AB2" s="154" t="s">
        <v>47</v>
      </c>
      <c r="AC2" s="143" t="s">
        <v>143</v>
      </c>
      <c r="AD2" s="157" t="s">
        <v>44</v>
      </c>
      <c r="AE2" s="132">
        <v>98</v>
      </c>
      <c r="AF2" s="126">
        <v>38</v>
      </c>
      <c r="AG2" s="146">
        <v>66</v>
      </c>
      <c r="AH2" s="136">
        <v>90</v>
      </c>
      <c r="AI2" s="108"/>
      <c r="AJ2" s="135"/>
      <c r="AK2" s="155" t="s">
        <v>44</v>
      </c>
      <c r="AL2" s="155" t="s">
        <v>47</v>
      </c>
      <c r="AM2" s="155" t="s">
        <v>23</v>
      </c>
      <c r="AN2" s="153" t="s">
        <v>23</v>
      </c>
      <c r="AO2" s="155" t="s">
        <v>23</v>
      </c>
      <c r="AP2" s="155" t="s">
        <v>47</v>
      </c>
      <c r="AQ2" s="156" t="s">
        <v>23</v>
      </c>
      <c r="AR2" s="141"/>
      <c r="AS2" s="135"/>
      <c r="AT2" s="155" t="s">
        <v>44</v>
      </c>
      <c r="AU2" s="155" t="s">
        <v>47</v>
      </c>
      <c r="AV2" s="155" t="s">
        <v>23</v>
      </c>
      <c r="AW2" s="153" t="s">
        <v>23</v>
      </c>
      <c r="AX2" s="155" t="s">
        <v>23</v>
      </c>
      <c r="AY2" s="155" t="s">
        <v>47</v>
      </c>
      <c r="AZ2" s="156" t="s">
        <v>23</v>
      </c>
      <c r="BA2" s="221"/>
      <c r="BB2" s="202" t="e">
        <f>DATEDIF(B2,BA2,"M")</f>
        <v>#NUM!</v>
      </c>
      <c r="BC2" s="231" t="s">
        <v>44</v>
      </c>
      <c r="BD2" s="155" t="s">
        <v>47</v>
      </c>
      <c r="BE2" s="155" t="s">
        <v>23</v>
      </c>
      <c r="BF2" s="153" t="s">
        <v>23</v>
      </c>
      <c r="BG2" s="155" t="s">
        <v>23</v>
      </c>
      <c r="BH2" s="155" t="s">
        <v>47</v>
      </c>
      <c r="BI2" s="156" t="s">
        <v>23</v>
      </c>
      <c r="BJ2" s="306"/>
      <c r="BK2" s="133"/>
      <c r="BL2" s="134" t="s">
        <v>143</v>
      </c>
      <c r="BM2" s="134" t="s">
        <v>143</v>
      </c>
      <c r="BN2" s="134"/>
      <c r="BO2" s="134"/>
      <c r="BP2" s="134"/>
      <c r="BQ2" s="134" t="s">
        <v>143</v>
      </c>
      <c r="BR2" s="136"/>
      <c r="BS2" s="98">
        <v>42798</v>
      </c>
      <c r="BT2" s="6" t="s">
        <v>44</v>
      </c>
      <c r="BU2" s="523">
        <v>6</v>
      </c>
    </row>
    <row r="3" spans="1:122">
      <c r="A3" s="234">
        <v>2</v>
      </c>
      <c r="B3" s="12">
        <v>42655</v>
      </c>
      <c r="C3" s="1" t="s">
        <v>14</v>
      </c>
      <c r="D3" s="1" t="s">
        <v>11</v>
      </c>
      <c r="E3" s="2">
        <f ca="1">DATEDIF(B3,TODAY(),"M")</f>
        <v>31</v>
      </c>
      <c r="F3" s="2" t="s">
        <v>24</v>
      </c>
      <c r="G3" s="1">
        <v>0</v>
      </c>
      <c r="H3" s="1" t="s">
        <v>4</v>
      </c>
      <c r="I3" s="1" t="s">
        <v>21</v>
      </c>
      <c r="J3" s="211">
        <v>10524</v>
      </c>
      <c r="K3" s="1">
        <f>DATEDIF(J3,B3,"Y")</f>
        <v>87</v>
      </c>
      <c r="L3" s="17">
        <v>23.8</v>
      </c>
      <c r="M3" s="17" t="s">
        <v>76</v>
      </c>
      <c r="N3" s="1" t="s">
        <v>9</v>
      </c>
      <c r="O3" s="7" t="s">
        <v>18</v>
      </c>
      <c r="P3" s="85">
        <v>0</v>
      </c>
      <c r="Q3" s="79"/>
      <c r="R3" s="470">
        <v>1</v>
      </c>
      <c r="S3" s="79">
        <v>0</v>
      </c>
      <c r="T3" s="80">
        <v>0</v>
      </c>
      <c r="U3" s="86">
        <v>1</v>
      </c>
      <c r="V3" s="188">
        <f>S3+T3+U3</f>
        <v>1</v>
      </c>
      <c r="W3" s="188">
        <f>V3+R3+P3</f>
        <v>2</v>
      </c>
      <c r="X3" s="214" t="s">
        <v>161</v>
      </c>
      <c r="Y3" s="20" t="s">
        <v>53</v>
      </c>
      <c r="Z3" s="103" t="s">
        <v>47</v>
      </c>
      <c r="AA3" s="111" t="s">
        <v>47</v>
      </c>
      <c r="AB3" s="131" t="s">
        <v>47</v>
      </c>
      <c r="AC3" s="143" t="s">
        <v>143</v>
      </c>
      <c r="AD3" s="145" t="s">
        <v>44</v>
      </c>
      <c r="AE3" s="132">
        <v>233</v>
      </c>
      <c r="AF3" s="126">
        <v>53.9</v>
      </c>
      <c r="AG3" s="146">
        <v>39</v>
      </c>
      <c r="AH3" s="136">
        <v>75</v>
      </c>
      <c r="AI3" s="108">
        <v>42772</v>
      </c>
      <c r="AJ3" s="135">
        <f>DATEDIF(B3,AI3,"M")</f>
        <v>3</v>
      </c>
      <c r="AK3" s="134" t="s">
        <v>44</v>
      </c>
      <c r="AL3" s="134" t="s">
        <v>23</v>
      </c>
      <c r="AM3" s="134" t="s">
        <v>23</v>
      </c>
      <c r="AN3" s="128" t="s">
        <v>23</v>
      </c>
      <c r="AO3" s="134" t="s">
        <v>23</v>
      </c>
      <c r="AP3" s="134" t="s">
        <v>44</v>
      </c>
      <c r="AQ3" s="136">
        <v>65</v>
      </c>
      <c r="AR3" s="141"/>
      <c r="AS3" s="135"/>
      <c r="AT3" s="134" t="s">
        <v>44</v>
      </c>
      <c r="AU3" s="134" t="s">
        <v>47</v>
      </c>
      <c r="AV3" s="134" t="s">
        <v>23</v>
      </c>
      <c r="AW3" s="128" t="s">
        <v>23</v>
      </c>
      <c r="AX3" s="134" t="s">
        <v>23</v>
      </c>
      <c r="AY3" s="134" t="s">
        <v>47</v>
      </c>
      <c r="AZ3" s="136" t="s">
        <v>23</v>
      </c>
      <c r="BA3" s="221"/>
      <c r="BB3" s="202" t="e">
        <f>DATEDIF(B3,BA3,"M")</f>
        <v>#NUM!</v>
      </c>
      <c r="BC3" s="231" t="s">
        <v>44</v>
      </c>
      <c r="BD3" s="134" t="s">
        <v>47</v>
      </c>
      <c r="BE3" s="134" t="s">
        <v>23</v>
      </c>
      <c r="BF3" s="128" t="s">
        <v>23</v>
      </c>
      <c r="BG3" s="134" t="s">
        <v>23</v>
      </c>
      <c r="BH3" s="134" t="s">
        <v>47</v>
      </c>
      <c r="BI3" s="136" t="s">
        <v>23</v>
      </c>
      <c r="BJ3" s="306"/>
      <c r="BK3" s="133"/>
      <c r="BL3" s="134" t="s">
        <v>143</v>
      </c>
      <c r="BM3" s="134" t="s">
        <v>143</v>
      </c>
      <c r="BN3" s="134"/>
      <c r="BO3" s="134"/>
      <c r="BP3" s="134"/>
      <c r="BQ3" s="134" t="s">
        <v>143</v>
      </c>
      <c r="BR3" s="136"/>
      <c r="BS3" s="98">
        <v>42772</v>
      </c>
      <c r="BT3" s="6" t="s">
        <v>44</v>
      </c>
      <c r="BU3" s="523">
        <v>9</v>
      </c>
    </row>
    <row r="4" spans="1:122">
      <c r="A4" s="234">
        <v>3</v>
      </c>
      <c r="B4" s="12">
        <v>42716</v>
      </c>
      <c r="C4" s="1" t="s">
        <v>12</v>
      </c>
      <c r="D4" s="1" t="s">
        <v>11</v>
      </c>
      <c r="E4" s="2">
        <f ca="1">DATEDIF(B4,TODAY(),"M")</f>
        <v>29</v>
      </c>
      <c r="F4" s="2" t="s">
        <v>24</v>
      </c>
      <c r="G4" s="1">
        <v>0</v>
      </c>
      <c r="H4" s="1" t="s">
        <v>4</v>
      </c>
      <c r="I4" s="1" t="s">
        <v>5</v>
      </c>
      <c r="J4" s="211">
        <v>16017</v>
      </c>
      <c r="K4" s="1">
        <f>DATEDIF(J4,B4,"Y")</f>
        <v>73</v>
      </c>
      <c r="L4" s="17">
        <v>28.8</v>
      </c>
      <c r="M4" s="17" t="s">
        <v>75</v>
      </c>
      <c r="N4" s="1" t="s">
        <v>9</v>
      </c>
      <c r="O4" s="7" t="s">
        <v>18</v>
      </c>
      <c r="P4" s="93">
        <v>0</v>
      </c>
      <c r="Q4" s="89"/>
      <c r="R4" s="470">
        <v>1</v>
      </c>
      <c r="S4" s="89">
        <v>0</v>
      </c>
      <c r="T4" s="90">
        <v>0</v>
      </c>
      <c r="U4" s="94">
        <v>1</v>
      </c>
      <c r="V4" s="188">
        <f>S4+T4+U4</f>
        <v>1</v>
      </c>
      <c r="W4" s="188">
        <f>V4+R4+P4</f>
        <v>2</v>
      </c>
      <c r="X4" s="214" t="s">
        <v>161</v>
      </c>
      <c r="Y4" s="20" t="s">
        <v>46</v>
      </c>
      <c r="Z4" s="103" t="s">
        <v>47</v>
      </c>
      <c r="AA4" s="111" t="s">
        <v>47</v>
      </c>
      <c r="AB4" s="178" t="s">
        <v>47</v>
      </c>
      <c r="AC4" s="143" t="s">
        <v>143</v>
      </c>
      <c r="AD4" s="183" t="s">
        <v>44</v>
      </c>
      <c r="AE4" s="132">
        <v>264</v>
      </c>
      <c r="AF4" s="126">
        <v>70.3</v>
      </c>
      <c r="AG4" s="146">
        <v>22</v>
      </c>
      <c r="AH4" s="136">
        <v>70</v>
      </c>
      <c r="AI4" s="108"/>
      <c r="AJ4" s="161"/>
      <c r="AK4" s="160" t="s">
        <v>44</v>
      </c>
      <c r="AL4" s="160" t="s">
        <v>47</v>
      </c>
      <c r="AM4" s="160" t="s">
        <v>23</v>
      </c>
      <c r="AN4" s="158" t="s">
        <v>23</v>
      </c>
      <c r="AO4" s="160" t="s">
        <v>23</v>
      </c>
      <c r="AP4" s="160" t="s">
        <v>47</v>
      </c>
      <c r="AQ4" s="162" t="s">
        <v>23</v>
      </c>
      <c r="AR4" s="141"/>
      <c r="AS4" s="135"/>
      <c r="AT4" s="180" t="s">
        <v>44</v>
      </c>
      <c r="AU4" s="180" t="s">
        <v>47</v>
      </c>
      <c r="AV4" s="180" t="s">
        <v>23</v>
      </c>
      <c r="AW4" s="177" t="s">
        <v>23</v>
      </c>
      <c r="AX4" s="180" t="s">
        <v>23</v>
      </c>
      <c r="AY4" s="180" t="s">
        <v>47</v>
      </c>
      <c r="AZ4" s="182" t="s">
        <v>23</v>
      </c>
      <c r="BA4" s="221"/>
      <c r="BB4" s="202" t="e">
        <f>DATEDIF(B4,BA4,"M")</f>
        <v>#NUM!</v>
      </c>
      <c r="BC4" s="231" t="s">
        <v>44</v>
      </c>
      <c r="BD4" s="180" t="s">
        <v>47</v>
      </c>
      <c r="BE4" s="180" t="s">
        <v>23</v>
      </c>
      <c r="BF4" s="177" t="s">
        <v>23</v>
      </c>
      <c r="BG4" s="180" t="s">
        <v>23</v>
      </c>
      <c r="BH4" s="180" t="s">
        <v>47</v>
      </c>
      <c r="BI4" s="182" t="s">
        <v>23</v>
      </c>
      <c r="BJ4" s="306"/>
      <c r="BK4" s="133"/>
      <c r="BL4" s="134" t="s">
        <v>143</v>
      </c>
      <c r="BM4" s="134" t="s">
        <v>143</v>
      </c>
      <c r="BN4" s="134"/>
      <c r="BO4" s="134"/>
      <c r="BP4" s="134"/>
      <c r="BQ4" s="134" t="s">
        <v>143</v>
      </c>
      <c r="BR4" s="136"/>
      <c r="BS4" s="98">
        <v>42796</v>
      </c>
      <c r="BT4" s="6" t="s">
        <v>44</v>
      </c>
      <c r="BU4" s="523">
        <v>11</v>
      </c>
    </row>
    <row r="5" spans="1:122">
      <c r="A5" s="234">
        <v>4</v>
      </c>
      <c r="B5" s="12">
        <v>42779</v>
      </c>
      <c r="C5" s="1" t="s">
        <v>14</v>
      </c>
      <c r="D5" s="1" t="s">
        <v>11</v>
      </c>
      <c r="E5" s="2">
        <f ca="1">DATEDIF(B5,TODAY(),"M")</f>
        <v>27</v>
      </c>
      <c r="F5" s="2" t="s">
        <v>24</v>
      </c>
      <c r="G5" s="1">
        <v>0</v>
      </c>
      <c r="H5" s="1" t="s">
        <v>4</v>
      </c>
      <c r="I5" s="1" t="s">
        <v>5</v>
      </c>
      <c r="J5" s="211">
        <v>19210</v>
      </c>
      <c r="K5" s="1">
        <f>DATEDIF(J5,B5,"Y")</f>
        <v>64</v>
      </c>
      <c r="L5" s="17">
        <v>31.3</v>
      </c>
      <c r="M5" s="17" t="s">
        <v>75</v>
      </c>
      <c r="N5" s="1" t="s">
        <v>9</v>
      </c>
      <c r="O5" s="7" t="s">
        <v>19</v>
      </c>
      <c r="P5" s="93">
        <v>0</v>
      </c>
      <c r="Q5" s="89"/>
      <c r="R5" s="470">
        <v>1</v>
      </c>
      <c r="S5" s="89">
        <v>0</v>
      </c>
      <c r="T5" s="90">
        <v>0</v>
      </c>
      <c r="U5" s="94">
        <v>1</v>
      </c>
      <c r="V5" s="188">
        <f>S5+T5+U5</f>
        <v>1</v>
      </c>
      <c r="W5" s="188">
        <f>V5+R5+P5</f>
        <v>2</v>
      </c>
      <c r="X5" s="214"/>
      <c r="Y5" s="20"/>
      <c r="Z5" s="103" t="s">
        <v>44</v>
      </c>
      <c r="AA5" s="111" t="s">
        <v>47</v>
      </c>
      <c r="AB5" s="227" t="s">
        <v>47</v>
      </c>
      <c r="AC5" s="143" t="s">
        <v>143</v>
      </c>
      <c r="AD5" s="183" t="s">
        <v>44</v>
      </c>
      <c r="AE5" s="179" t="s">
        <v>23</v>
      </c>
      <c r="AF5" s="126">
        <v>59.7</v>
      </c>
      <c r="AG5" s="184">
        <v>53</v>
      </c>
      <c r="AH5" s="136">
        <v>40</v>
      </c>
      <c r="AI5" s="108">
        <v>43074</v>
      </c>
      <c r="AJ5" s="135">
        <f>DATEDIF(B5,AI5,"M")</f>
        <v>9</v>
      </c>
      <c r="AK5" s="180" t="s">
        <v>44</v>
      </c>
      <c r="AL5" s="180" t="s">
        <v>47</v>
      </c>
      <c r="AM5" s="180" t="s">
        <v>23</v>
      </c>
      <c r="AN5" s="177" t="s">
        <v>23</v>
      </c>
      <c r="AO5" s="180" t="s">
        <v>23</v>
      </c>
      <c r="AP5" s="134" t="s">
        <v>44</v>
      </c>
      <c r="AQ5" s="136">
        <v>45</v>
      </c>
      <c r="AR5" s="141"/>
      <c r="AS5" s="205"/>
      <c r="AT5" s="204" t="s">
        <v>44</v>
      </c>
      <c r="AU5" s="204" t="s">
        <v>47</v>
      </c>
      <c r="AV5" s="204" t="s">
        <v>23</v>
      </c>
      <c r="AW5" s="203" t="s">
        <v>23</v>
      </c>
      <c r="AX5" s="204" t="s">
        <v>23</v>
      </c>
      <c r="AY5" s="204" t="s">
        <v>47</v>
      </c>
      <c r="AZ5" s="206" t="s">
        <v>23</v>
      </c>
      <c r="BA5" s="221"/>
      <c r="BB5" s="202" t="e">
        <f>DATEDIF(B5,BA5,"M")</f>
        <v>#NUM!</v>
      </c>
      <c r="BC5" s="231" t="s">
        <v>47</v>
      </c>
      <c r="BD5" s="180" t="s">
        <v>47</v>
      </c>
      <c r="BE5" s="180" t="s">
        <v>23</v>
      </c>
      <c r="BF5" s="177" t="s">
        <v>23</v>
      </c>
      <c r="BG5" s="180" t="s">
        <v>23</v>
      </c>
      <c r="BH5" s="180" t="s">
        <v>47</v>
      </c>
      <c r="BI5" s="182" t="s">
        <v>23</v>
      </c>
      <c r="BJ5" s="306"/>
      <c r="BK5" s="133"/>
      <c r="BL5" s="134" t="s">
        <v>143</v>
      </c>
      <c r="BM5" s="134" t="s">
        <v>143</v>
      </c>
      <c r="BN5" s="134"/>
      <c r="BO5" s="134"/>
      <c r="BP5" s="134"/>
      <c r="BQ5" s="134" t="s">
        <v>143</v>
      </c>
      <c r="BR5" s="136"/>
      <c r="BS5" s="98">
        <v>43082</v>
      </c>
      <c r="BT5" s="6" t="s">
        <v>47</v>
      </c>
      <c r="BU5" s="523"/>
    </row>
    <row r="6" spans="1:122" ht="23.25">
      <c r="A6" s="514">
        <v>5</v>
      </c>
      <c r="B6" s="12">
        <v>42604</v>
      </c>
      <c r="C6" s="1" t="s">
        <v>14</v>
      </c>
      <c r="D6" s="1" t="s">
        <v>11</v>
      </c>
      <c r="E6" s="2">
        <f t="shared" ref="E6:E8" ca="1" si="0">DATEDIF(B6,TODAY(),"M")</f>
        <v>33</v>
      </c>
      <c r="F6" s="2" t="s">
        <v>24</v>
      </c>
      <c r="G6" s="1">
        <v>0</v>
      </c>
      <c r="H6" s="1" t="s">
        <v>4</v>
      </c>
      <c r="I6" s="1" t="s">
        <v>5</v>
      </c>
      <c r="J6" s="211">
        <v>10358</v>
      </c>
      <c r="K6" s="1">
        <f>DATEDIF(J6,B6,"Y")</f>
        <v>88</v>
      </c>
      <c r="L6" s="17">
        <v>34.200000000000003</v>
      </c>
      <c r="M6" s="17" t="s">
        <v>76</v>
      </c>
      <c r="N6" s="1" t="s">
        <v>9</v>
      </c>
      <c r="O6" s="7" t="s">
        <v>18</v>
      </c>
      <c r="P6" s="82">
        <v>0</v>
      </c>
      <c r="Q6" s="78"/>
      <c r="R6" s="470">
        <v>2</v>
      </c>
      <c r="S6" s="78"/>
      <c r="T6" s="80">
        <v>0</v>
      </c>
      <c r="U6" s="84">
        <v>1</v>
      </c>
      <c r="V6" s="188">
        <f t="shared" ref="V6:V8" si="1">S6+T6+U6</f>
        <v>1</v>
      </c>
      <c r="W6" s="188">
        <f t="shared" ref="W6:W8" si="2">V6+R6+P6</f>
        <v>3</v>
      </c>
      <c r="X6" s="214"/>
      <c r="Y6" s="209" t="s">
        <v>183</v>
      </c>
      <c r="Z6" s="103" t="s">
        <v>47</v>
      </c>
      <c r="AA6" s="111" t="s">
        <v>47</v>
      </c>
      <c r="AB6" s="131" t="s">
        <v>47</v>
      </c>
      <c r="AC6" s="143" t="s">
        <v>144</v>
      </c>
      <c r="AD6" s="145" t="s">
        <v>44</v>
      </c>
      <c r="AE6" s="132">
        <v>261</v>
      </c>
      <c r="AF6" s="126">
        <v>59.7</v>
      </c>
      <c r="AG6" s="146">
        <v>36</v>
      </c>
      <c r="AH6" s="136">
        <v>50</v>
      </c>
      <c r="AI6" s="221">
        <v>43586</v>
      </c>
      <c r="AJ6" s="225">
        <f>DATEDIF(B6,AI6,"M")</f>
        <v>32</v>
      </c>
      <c r="AK6" s="231" t="s">
        <v>44</v>
      </c>
      <c r="AL6" s="310" t="s">
        <v>44</v>
      </c>
      <c r="AM6" s="310" t="s">
        <v>23</v>
      </c>
      <c r="AN6" s="220">
        <v>48.8</v>
      </c>
      <c r="AO6" s="310">
        <v>39</v>
      </c>
      <c r="AP6" s="310" t="s">
        <v>44</v>
      </c>
      <c r="AQ6" s="311">
        <v>80</v>
      </c>
      <c r="AR6" s="221">
        <v>43586</v>
      </c>
      <c r="AS6" s="225">
        <f>DATEDIF(B6,AR6,"M")</f>
        <v>32</v>
      </c>
      <c r="AT6" s="231" t="s">
        <v>44</v>
      </c>
      <c r="AU6" s="310" t="s">
        <v>44</v>
      </c>
      <c r="AV6" s="310" t="s">
        <v>23</v>
      </c>
      <c r="AW6" s="220">
        <v>48.8</v>
      </c>
      <c r="AX6" s="310">
        <v>39</v>
      </c>
      <c r="AY6" s="310" t="s">
        <v>44</v>
      </c>
      <c r="AZ6" s="311">
        <v>80</v>
      </c>
      <c r="BA6" s="144">
        <v>43586</v>
      </c>
      <c r="BB6" s="202">
        <f>DATEDIF(B6,BA6,"M")</f>
        <v>32</v>
      </c>
      <c r="BC6" s="231" t="s">
        <v>44</v>
      </c>
      <c r="BD6" s="310" t="s">
        <v>44</v>
      </c>
      <c r="BE6" s="134" t="s">
        <v>23</v>
      </c>
      <c r="BF6" s="128">
        <v>48.8</v>
      </c>
      <c r="BG6" s="134">
        <v>39</v>
      </c>
      <c r="BH6" s="310" t="s">
        <v>44</v>
      </c>
      <c r="BI6" s="136">
        <v>80</v>
      </c>
      <c r="BJ6" s="306"/>
      <c r="BK6" s="133"/>
      <c r="BL6" s="134" t="s">
        <v>44</v>
      </c>
      <c r="BM6" s="134" t="s">
        <v>144</v>
      </c>
      <c r="BN6" s="134" t="s">
        <v>23</v>
      </c>
      <c r="BO6" s="134" t="s">
        <v>23</v>
      </c>
      <c r="BP6" s="134" t="s">
        <v>23</v>
      </c>
      <c r="BQ6" s="134" t="s">
        <v>144</v>
      </c>
      <c r="BR6" s="136" t="s">
        <v>23</v>
      </c>
      <c r="BS6" s="98">
        <v>43586</v>
      </c>
      <c r="BT6" s="6" t="s">
        <v>47</v>
      </c>
      <c r="BU6" s="523"/>
    </row>
    <row r="7" spans="1:122">
      <c r="A7" s="514">
        <v>6</v>
      </c>
      <c r="B7" s="12">
        <v>42604</v>
      </c>
      <c r="C7" s="1" t="s">
        <v>12</v>
      </c>
      <c r="D7" s="1" t="s">
        <v>11</v>
      </c>
      <c r="E7" s="2">
        <f t="shared" ca="1" si="0"/>
        <v>33</v>
      </c>
      <c r="F7" s="2" t="s">
        <v>24</v>
      </c>
      <c r="G7" s="1">
        <v>0</v>
      </c>
      <c r="H7" s="1" t="s">
        <v>4</v>
      </c>
      <c r="I7" s="1" t="s">
        <v>5</v>
      </c>
      <c r="J7" s="211">
        <v>10524</v>
      </c>
      <c r="K7" s="1">
        <f>DATEDIF(J7,B7,"Y")</f>
        <v>87</v>
      </c>
      <c r="L7" s="17">
        <v>23.8</v>
      </c>
      <c r="M7" s="17" t="s">
        <v>76</v>
      </c>
      <c r="N7" s="1" t="s">
        <v>9</v>
      </c>
      <c r="O7" s="7" t="s">
        <v>18</v>
      </c>
      <c r="P7" s="82">
        <v>1</v>
      </c>
      <c r="Q7" s="78">
        <v>2</v>
      </c>
      <c r="R7" s="470">
        <v>1</v>
      </c>
      <c r="S7" s="68"/>
      <c r="T7" s="515">
        <v>0</v>
      </c>
      <c r="U7" s="516">
        <v>1</v>
      </c>
      <c r="V7" s="188">
        <f t="shared" si="1"/>
        <v>1</v>
      </c>
      <c r="W7" s="188">
        <f t="shared" si="2"/>
        <v>3</v>
      </c>
      <c r="X7" s="214" t="s">
        <v>161</v>
      </c>
      <c r="Y7" s="20" t="s">
        <v>52</v>
      </c>
      <c r="Z7" s="103" t="s">
        <v>47</v>
      </c>
      <c r="AA7" s="111" t="s">
        <v>47</v>
      </c>
      <c r="AB7" s="227" t="s">
        <v>47</v>
      </c>
      <c r="AC7" s="143" t="s">
        <v>143</v>
      </c>
      <c r="AD7" s="145" t="s">
        <v>44</v>
      </c>
      <c r="AE7" s="132">
        <v>69</v>
      </c>
      <c r="AF7" s="126">
        <v>0</v>
      </c>
      <c r="AG7" s="146">
        <v>75</v>
      </c>
      <c r="AH7" s="136">
        <v>90</v>
      </c>
      <c r="AI7" s="108">
        <v>42772</v>
      </c>
      <c r="AJ7" s="135">
        <f>DATEDIF(B7,AI7,"M")</f>
        <v>5</v>
      </c>
      <c r="AK7" s="134" t="s">
        <v>44</v>
      </c>
      <c r="AL7" s="134" t="s">
        <v>47</v>
      </c>
      <c r="AM7" s="134" t="s">
        <v>23</v>
      </c>
      <c r="AN7" s="128" t="s">
        <v>23</v>
      </c>
      <c r="AO7" s="134" t="s">
        <v>23</v>
      </c>
      <c r="AP7" s="134" t="s">
        <v>44</v>
      </c>
      <c r="AQ7" s="136">
        <v>65</v>
      </c>
      <c r="AR7" s="141"/>
      <c r="AS7" s="135"/>
      <c r="AT7" s="134" t="s">
        <v>44</v>
      </c>
      <c r="AU7" s="134" t="s">
        <v>47</v>
      </c>
      <c r="AV7" s="134" t="s">
        <v>23</v>
      </c>
      <c r="AW7" s="128" t="s">
        <v>23</v>
      </c>
      <c r="AX7" s="134" t="s">
        <v>23</v>
      </c>
      <c r="AY7" s="134" t="s">
        <v>47</v>
      </c>
      <c r="AZ7" s="136" t="s">
        <v>23</v>
      </c>
      <c r="BA7" s="144"/>
      <c r="BB7" s="202"/>
      <c r="BC7" s="231" t="s">
        <v>44</v>
      </c>
      <c r="BD7" s="134" t="s">
        <v>47</v>
      </c>
      <c r="BE7" s="134" t="s">
        <v>23</v>
      </c>
      <c r="BF7" s="128" t="s">
        <v>23</v>
      </c>
      <c r="BG7" s="134" t="s">
        <v>23</v>
      </c>
      <c r="BH7" s="134" t="s">
        <v>47</v>
      </c>
      <c r="BI7" s="136" t="s">
        <v>23</v>
      </c>
      <c r="BJ7" s="306"/>
      <c r="BK7" s="133"/>
      <c r="BL7" s="134" t="s">
        <v>44</v>
      </c>
      <c r="BM7" s="134" t="s">
        <v>144</v>
      </c>
      <c r="BN7" s="134" t="s">
        <v>23</v>
      </c>
      <c r="BO7" s="134" t="s">
        <v>23</v>
      </c>
      <c r="BP7" s="134" t="s">
        <v>23</v>
      </c>
      <c r="BQ7" s="134" t="s">
        <v>144</v>
      </c>
      <c r="BR7" s="136" t="s">
        <v>23</v>
      </c>
      <c r="BS7" s="98">
        <v>42772</v>
      </c>
      <c r="BT7" s="6" t="s">
        <v>44</v>
      </c>
      <c r="BU7" s="523">
        <v>8</v>
      </c>
    </row>
    <row r="8" spans="1:122">
      <c r="A8" s="514">
        <v>7</v>
      </c>
      <c r="B8" s="12">
        <v>42613</v>
      </c>
      <c r="C8" s="1" t="s">
        <v>12</v>
      </c>
      <c r="D8" s="1" t="s">
        <v>11</v>
      </c>
      <c r="E8" s="2">
        <f t="shared" ca="1" si="0"/>
        <v>32</v>
      </c>
      <c r="F8" s="1" t="s">
        <v>24</v>
      </c>
      <c r="G8" s="1">
        <v>0</v>
      </c>
      <c r="H8" s="1" t="s">
        <v>4</v>
      </c>
      <c r="I8" s="1" t="s">
        <v>5</v>
      </c>
      <c r="J8" s="211">
        <v>21513</v>
      </c>
      <c r="K8" s="1">
        <f>DATEDIF(J8,B8,"Y")</f>
        <v>57</v>
      </c>
      <c r="L8" s="17">
        <v>29.1</v>
      </c>
      <c r="M8" s="17" t="s">
        <v>76</v>
      </c>
      <c r="N8" s="1" t="s">
        <v>9</v>
      </c>
      <c r="O8" s="7" t="s">
        <v>19</v>
      </c>
      <c r="P8" s="82">
        <v>0</v>
      </c>
      <c r="Q8" s="78"/>
      <c r="R8" s="470">
        <v>2</v>
      </c>
      <c r="S8" s="68"/>
      <c r="T8" s="515">
        <v>0</v>
      </c>
      <c r="U8" s="516">
        <v>2</v>
      </c>
      <c r="V8" s="188">
        <f t="shared" si="1"/>
        <v>2</v>
      </c>
      <c r="W8" s="188">
        <f t="shared" si="2"/>
        <v>4</v>
      </c>
      <c r="X8" s="214"/>
      <c r="Y8" s="20"/>
      <c r="Z8" s="103" t="s">
        <v>44</v>
      </c>
      <c r="AA8" s="111" t="s">
        <v>44</v>
      </c>
      <c r="AB8" s="131" t="s">
        <v>44</v>
      </c>
      <c r="AC8" s="143" t="s">
        <v>143</v>
      </c>
      <c r="AD8" s="145" t="s">
        <v>44</v>
      </c>
      <c r="AE8" s="132">
        <v>196</v>
      </c>
      <c r="AF8" s="126">
        <v>58</v>
      </c>
      <c r="AG8" s="146">
        <v>42</v>
      </c>
      <c r="AH8" s="136">
        <v>90</v>
      </c>
      <c r="AI8" s="108">
        <v>42744</v>
      </c>
      <c r="AJ8" s="135">
        <f>DATEDIF(B8,AI8,"M")</f>
        <v>4</v>
      </c>
      <c r="AK8" s="134" t="s">
        <v>44</v>
      </c>
      <c r="AL8" s="134" t="s">
        <v>47</v>
      </c>
      <c r="AM8" s="134" t="s">
        <v>23</v>
      </c>
      <c r="AN8" s="128" t="s">
        <v>23</v>
      </c>
      <c r="AO8" s="134" t="s">
        <v>23</v>
      </c>
      <c r="AP8" s="134" t="s">
        <v>44</v>
      </c>
      <c r="AQ8" s="136">
        <v>22</v>
      </c>
      <c r="AR8" s="141">
        <v>42978</v>
      </c>
      <c r="AS8" s="135">
        <f>DATEDIF(B8,AR8,"M")</f>
        <v>12</v>
      </c>
      <c r="AT8" s="134" t="s">
        <v>44</v>
      </c>
      <c r="AU8" s="134" t="s">
        <v>44</v>
      </c>
      <c r="AV8" s="134" t="s">
        <v>23</v>
      </c>
      <c r="AW8" s="128">
        <v>56</v>
      </c>
      <c r="AX8" s="134"/>
      <c r="AY8" s="134" t="s">
        <v>44</v>
      </c>
      <c r="AZ8" s="136">
        <v>20</v>
      </c>
      <c r="BA8" s="302">
        <v>43348</v>
      </c>
      <c r="BB8" s="202">
        <f>DATEDIF(B8,BA8,"M")</f>
        <v>24</v>
      </c>
      <c r="BC8" s="231" t="s">
        <v>44</v>
      </c>
      <c r="BD8" s="134" t="s">
        <v>44</v>
      </c>
      <c r="BE8" s="134" t="s">
        <v>23</v>
      </c>
      <c r="BF8" s="128">
        <v>56</v>
      </c>
      <c r="BG8" s="134">
        <v>42</v>
      </c>
      <c r="BH8" s="134" t="s">
        <v>44</v>
      </c>
      <c r="BI8" s="136">
        <v>15</v>
      </c>
      <c r="BJ8" s="306">
        <v>43521</v>
      </c>
      <c r="BK8" s="133">
        <f>DATEDIF(B8,BJ8,"M")</f>
        <v>29</v>
      </c>
      <c r="BL8" s="134" t="s">
        <v>44</v>
      </c>
      <c r="BM8" s="134" t="s">
        <v>44</v>
      </c>
      <c r="BN8" s="134" t="s">
        <v>23</v>
      </c>
      <c r="BO8" s="307">
        <v>70.3</v>
      </c>
      <c r="BP8" s="307">
        <v>16</v>
      </c>
      <c r="BQ8" s="134" t="s">
        <v>44</v>
      </c>
      <c r="BR8" s="136">
        <v>6</v>
      </c>
      <c r="BS8" s="98">
        <v>43542</v>
      </c>
      <c r="BT8" s="111" t="s">
        <v>47</v>
      </c>
      <c r="BU8" s="523"/>
    </row>
    <row r="9" spans="1:122">
      <c r="A9" s="514">
        <v>8</v>
      </c>
      <c r="B9" s="12">
        <v>42912</v>
      </c>
      <c r="C9" s="1" t="s">
        <v>14</v>
      </c>
      <c r="D9" s="1" t="s">
        <v>11</v>
      </c>
      <c r="E9" s="2">
        <f t="shared" ref="E9:E29" ca="1" si="3">DATEDIF(B9,TODAY(),"M")</f>
        <v>23</v>
      </c>
      <c r="F9" s="2" t="s">
        <v>24</v>
      </c>
      <c r="G9" s="1">
        <v>0</v>
      </c>
      <c r="H9" s="1" t="s">
        <v>4</v>
      </c>
      <c r="I9" s="1" t="s">
        <v>5</v>
      </c>
      <c r="J9" s="211">
        <v>22504</v>
      </c>
      <c r="K9" s="1">
        <f>DATEDIF(J9,B9,"Y")</f>
        <v>55</v>
      </c>
      <c r="L9" s="17">
        <v>26.4</v>
      </c>
      <c r="M9" s="17" t="s">
        <v>76</v>
      </c>
      <c r="N9" s="1" t="s">
        <v>9</v>
      </c>
      <c r="O9" s="7" t="s">
        <v>19</v>
      </c>
      <c r="P9" s="92">
        <v>0</v>
      </c>
      <c r="Q9" s="90"/>
      <c r="R9" s="471">
        <v>2</v>
      </c>
      <c r="S9" s="515">
        <v>0</v>
      </c>
      <c r="T9" s="515">
        <v>0</v>
      </c>
      <c r="U9" s="517">
        <v>1</v>
      </c>
      <c r="V9" s="188">
        <f t="shared" ref="V9:V29" si="4">S9+T9+U9</f>
        <v>1</v>
      </c>
      <c r="W9" s="188">
        <f t="shared" ref="W9:W29" si="5">V9+R9+P9</f>
        <v>3</v>
      </c>
      <c r="X9" s="214" t="s">
        <v>161</v>
      </c>
      <c r="Y9" s="209" t="s">
        <v>88</v>
      </c>
      <c r="Z9" s="195" t="s">
        <v>44</v>
      </c>
      <c r="AA9" s="194" t="s">
        <v>47</v>
      </c>
      <c r="AB9" s="227" t="s">
        <v>47</v>
      </c>
      <c r="AC9" s="143" t="s">
        <v>143</v>
      </c>
      <c r="AD9" s="192" t="s">
        <v>44</v>
      </c>
      <c r="AE9" s="189" t="s">
        <v>23</v>
      </c>
      <c r="AF9" s="126">
        <v>75.099999999999994</v>
      </c>
      <c r="AG9" s="193" t="s">
        <v>23</v>
      </c>
      <c r="AH9" s="136">
        <v>20</v>
      </c>
      <c r="AI9" s="108">
        <v>43152</v>
      </c>
      <c r="AJ9" s="135">
        <f>DATEDIF(B9,AI9,"M")</f>
        <v>7</v>
      </c>
      <c r="AK9" s="190" t="s">
        <v>44</v>
      </c>
      <c r="AL9" s="190" t="s">
        <v>44</v>
      </c>
      <c r="AM9" s="190" t="s">
        <v>23</v>
      </c>
      <c r="AN9" s="128">
        <v>64.7</v>
      </c>
      <c r="AO9" s="190" t="s">
        <v>23</v>
      </c>
      <c r="AP9" s="190" t="s">
        <v>47</v>
      </c>
      <c r="AQ9" s="191" t="s">
        <v>23</v>
      </c>
      <c r="AR9" s="141">
        <v>43240</v>
      </c>
      <c r="AS9" s="135">
        <f>DATEDIF(B9,AR9,"M")</f>
        <v>10</v>
      </c>
      <c r="AT9" s="190" t="s">
        <v>44</v>
      </c>
      <c r="AU9" s="190" t="s">
        <v>44</v>
      </c>
      <c r="AV9" s="190" t="s">
        <v>23</v>
      </c>
      <c r="AW9" s="128">
        <v>66.400000000000006</v>
      </c>
      <c r="AX9" s="190" t="s">
        <v>23</v>
      </c>
      <c r="AY9" s="134" t="s">
        <v>44</v>
      </c>
      <c r="AZ9" s="136">
        <v>70</v>
      </c>
      <c r="BA9" s="221"/>
      <c r="BB9" s="202"/>
      <c r="BC9" s="231" t="s">
        <v>44</v>
      </c>
      <c r="BD9" s="190" t="s">
        <v>47</v>
      </c>
      <c r="BE9" s="190" t="s">
        <v>23</v>
      </c>
      <c r="BF9" s="187" t="s">
        <v>23</v>
      </c>
      <c r="BG9" s="190" t="s">
        <v>23</v>
      </c>
      <c r="BH9" s="190" t="s">
        <v>47</v>
      </c>
      <c r="BI9" s="191" t="s">
        <v>23</v>
      </c>
      <c r="BJ9" s="306"/>
      <c r="BK9" s="133"/>
      <c r="BL9" s="134" t="s">
        <v>143</v>
      </c>
      <c r="BM9" s="134" t="s">
        <v>143</v>
      </c>
      <c r="BN9" s="134"/>
      <c r="BO9" s="134"/>
      <c r="BP9" s="134"/>
      <c r="BQ9" s="134" t="s">
        <v>143</v>
      </c>
      <c r="BR9" s="136"/>
      <c r="BS9" s="98">
        <v>42954</v>
      </c>
      <c r="BT9" s="185" t="s">
        <v>44</v>
      </c>
      <c r="BU9" s="523">
        <v>12</v>
      </c>
    </row>
    <row r="10" spans="1:122" ht="23.25">
      <c r="A10" s="514">
        <v>9</v>
      </c>
      <c r="B10" s="12">
        <v>42702</v>
      </c>
      <c r="C10" s="1" t="s">
        <v>14</v>
      </c>
      <c r="D10" s="1" t="s">
        <v>11</v>
      </c>
      <c r="E10" s="2">
        <f t="shared" ca="1" si="3"/>
        <v>30</v>
      </c>
      <c r="F10" s="2" t="s">
        <v>24</v>
      </c>
      <c r="G10" s="1">
        <v>1</v>
      </c>
      <c r="H10" s="1" t="s">
        <v>4</v>
      </c>
      <c r="I10" s="1" t="s">
        <v>5</v>
      </c>
      <c r="J10" s="211">
        <v>16390</v>
      </c>
      <c r="K10" s="1">
        <f>DATEDIF(J10,B10,"Y")</f>
        <v>72</v>
      </c>
      <c r="L10" s="17">
        <v>31</v>
      </c>
      <c r="M10" s="17" t="s">
        <v>76</v>
      </c>
      <c r="N10" s="1" t="s">
        <v>9</v>
      </c>
      <c r="O10" s="7" t="s">
        <v>18</v>
      </c>
      <c r="P10" s="82">
        <v>0</v>
      </c>
      <c r="Q10" s="78">
        <v>0</v>
      </c>
      <c r="R10" s="470">
        <v>2</v>
      </c>
      <c r="S10" s="68"/>
      <c r="T10" s="515">
        <v>0</v>
      </c>
      <c r="U10" s="516">
        <v>1</v>
      </c>
      <c r="V10" s="188">
        <f t="shared" si="4"/>
        <v>1</v>
      </c>
      <c r="W10" s="188">
        <f t="shared" si="5"/>
        <v>3</v>
      </c>
      <c r="X10" s="214" t="s">
        <v>161</v>
      </c>
      <c r="Y10" s="20" t="s">
        <v>63</v>
      </c>
      <c r="Z10" s="103" t="s">
        <v>47</v>
      </c>
      <c r="AA10" s="111" t="s">
        <v>47</v>
      </c>
      <c r="AB10" s="159" t="s">
        <v>47</v>
      </c>
      <c r="AC10" s="143" t="s">
        <v>143</v>
      </c>
      <c r="AD10" s="163" t="s">
        <v>44</v>
      </c>
      <c r="AE10" s="132">
        <v>212</v>
      </c>
      <c r="AF10" s="126">
        <v>58</v>
      </c>
      <c r="AG10" s="146">
        <v>42</v>
      </c>
      <c r="AH10" s="136">
        <v>40</v>
      </c>
      <c r="AI10" s="108"/>
      <c r="AJ10" s="161"/>
      <c r="AK10" s="160" t="s">
        <v>44</v>
      </c>
      <c r="AL10" s="160" t="s">
        <v>47</v>
      </c>
      <c r="AM10" s="160" t="s">
        <v>23</v>
      </c>
      <c r="AN10" s="158" t="s">
        <v>23</v>
      </c>
      <c r="AO10" s="160" t="s">
        <v>23</v>
      </c>
      <c r="AP10" s="160" t="s">
        <v>47</v>
      </c>
      <c r="AQ10" s="162" t="s">
        <v>23</v>
      </c>
      <c r="AR10" s="141"/>
      <c r="AS10" s="135"/>
      <c r="AT10" s="160" t="s">
        <v>44</v>
      </c>
      <c r="AU10" s="160" t="s">
        <v>47</v>
      </c>
      <c r="AV10" s="160" t="s">
        <v>23</v>
      </c>
      <c r="AW10" s="158" t="s">
        <v>23</v>
      </c>
      <c r="AX10" s="160" t="s">
        <v>23</v>
      </c>
      <c r="AY10" s="160" t="s">
        <v>47</v>
      </c>
      <c r="AZ10" s="162" t="s">
        <v>23</v>
      </c>
      <c r="BA10" s="221"/>
      <c r="BB10" s="202"/>
      <c r="BC10" s="231" t="s">
        <v>44</v>
      </c>
      <c r="BD10" s="160" t="s">
        <v>47</v>
      </c>
      <c r="BE10" s="160" t="s">
        <v>23</v>
      </c>
      <c r="BF10" s="158" t="s">
        <v>23</v>
      </c>
      <c r="BG10" s="160" t="s">
        <v>23</v>
      </c>
      <c r="BH10" s="160" t="s">
        <v>47</v>
      </c>
      <c r="BI10" s="162" t="s">
        <v>23</v>
      </c>
      <c r="BJ10" s="306"/>
      <c r="BK10" s="133"/>
      <c r="BL10" s="134" t="s">
        <v>143</v>
      </c>
      <c r="BM10" s="134" t="s">
        <v>143</v>
      </c>
      <c r="BN10" s="134"/>
      <c r="BO10" s="134"/>
      <c r="BP10" s="134"/>
      <c r="BQ10" s="134" t="s">
        <v>143</v>
      </c>
      <c r="BR10" s="136"/>
      <c r="BS10" s="98">
        <v>42709</v>
      </c>
      <c r="BT10" s="6" t="s">
        <v>44</v>
      </c>
      <c r="BU10" s="523">
        <v>2</v>
      </c>
    </row>
    <row r="11" spans="1:122">
      <c r="A11" s="514">
        <v>10</v>
      </c>
      <c r="B11" s="11">
        <v>42562</v>
      </c>
      <c r="C11" s="2" t="s">
        <v>12</v>
      </c>
      <c r="D11" s="2" t="s">
        <v>11</v>
      </c>
      <c r="E11" s="2">
        <f t="shared" ca="1" si="3"/>
        <v>34</v>
      </c>
      <c r="F11" s="2" t="s">
        <v>24</v>
      </c>
      <c r="G11" s="2">
        <v>1</v>
      </c>
      <c r="H11" s="3" t="s">
        <v>4</v>
      </c>
      <c r="I11" s="2" t="s">
        <v>5</v>
      </c>
      <c r="J11" s="101">
        <v>18191</v>
      </c>
      <c r="K11" s="2">
        <f>DATEDIF(J11,B11,"Y")</f>
        <v>66</v>
      </c>
      <c r="L11" s="16">
        <v>40.200000000000003</v>
      </c>
      <c r="M11" s="16" t="s">
        <v>75</v>
      </c>
      <c r="N11" s="2" t="s">
        <v>6</v>
      </c>
      <c r="O11" s="15" t="s">
        <v>19</v>
      </c>
      <c r="P11" s="83">
        <v>2</v>
      </c>
      <c r="Q11" s="80">
        <v>1</v>
      </c>
      <c r="R11" s="471">
        <v>4</v>
      </c>
      <c r="S11" s="515">
        <v>1</v>
      </c>
      <c r="T11" s="515">
        <v>1</v>
      </c>
      <c r="U11" s="518">
        <v>2</v>
      </c>
      <c r="V11" s="81">
        <f t="shared" si="4"/>
        <v>4</v>
      </c>
      <c r="W11" s="188">
        <f t="shared" si="5"/>
        <v>10</v>
      </c>
      <c r="X11" s="214" t="s">
        <v>161</v>
      </c>
      <c r="Y11" s="18" t="s">
        <v>196</v>
      </c>
      <c r="Z11" s="325" t="s">
        <v>44</v>
      </c>
      <c r="AA11" s="22" t="s">
        <v>47</v>
      </c>
      <c r="AB11" s="142" t="s">
        <v>47</v>
      </c>
      <c r="AC11" s="138" t="s">
        <v>144</v>
      </c>
      <c r="AD11" s="137" t="s">
        <v>44</v>
      </c>
      <c r="AE11" s="127">
        <v>129</v>
      </c>
      <c r="AF11" s="129">
        <v>0</v>
      </c>
      <c r="AG11" s="146">
        <v>78</v>
      </c>
      <c r="AH11" s="136">
        <v>95</v>
      </c>
      <c r="AI11" s="326">
        <v>42762</v>
      </c>
      <c r="AJ11" s="135">
        <f>DATEDIF(B11,AI11,"M")</f>
        <v>6</v>
      </c>
      <c r="AK11" s="134" t="s">
        <v>44</v>
      </c>
      <c r="AL11" s="134" t="s">
        <v>44</v>
      </c>
      <c r="AM11" s="134" t="s">
        <v>23</v>
      </c>
      <c r="AN11" s="128">
        <v>59.7</v>
      </c>
      <c r="AO11" s="134" t="s">
        <v>23</v>
      </c>
      <c r="AP11" s="134" t="s">
        <v>44</v>
      </c>
      <c r="AQ11" s="136">
        <v>60</v>
      </c>
      <c r="AR11" s="223"/>
      <c r="AS11" s="135"/>
      <c r="AT11" s="134" t="s">
        <v>44</v>
      </c>
      <c r="AU11" s="134" t="s">
        <v>47</v>
      </c>
      <c r="AV11" s="134" t="s">
        <v>23</v>
      </c>
      <c r="AW11" s="128" t="s">
        <v>23</v>
      </c>
      <c r="AX11" s="134" t="s">
        <v>23</v>
      </c>
      <c r="AY11" s="134" t="s">
        <v>47</v>
      </c>
      <c r="AZ11" s="136" t="s">
        <v>23</v>
      </c>
      <c r="BA11" s="144"/>
      <c r="BB11" s="327"/>
      <c r="BC11" s="231" t="s">
        <v>44</v>
      </c>
      <c r="BD11" s="134" t="s">
        <v>47</v>
      </c>
      <c r="BE11" s="134" t="s">
        <v>23</v>
      </c>
      <c r="BF11" s="128" t="s">
        <v>23</v>
      </c>
      <c r="BG11" s="134" t="s">
        <v>23</v>
      </c>
      <c r="BH11" s="134" t="s">
        <v>47</v>
      </c>
      <c r="BI11" s="136" t="s">
        <v>23</v>
      </c>
      <c r="BJ11" s="306"/>
      <c r="BK11" s="133"/>
      <c r="BL11" s="134" t="s">
        <v>44</v>
      </c>
      <c r="BM11" s="134" t="s">
        <v>144</v>
      </c>
      <c r="BN11" s="134" t="s">
        <v>23</v>
      </c>
      <c r="BO11" s="134" t="s">
        <v>23</v>
      </c>
      <c r="BP11" s="134" t="s">
        <v>23</v>
      </c>
      <c r="BQ11" s="134" t="s">
        <v>144</v>
      </c>
      <c r="BR11" s="136" t="s">
        <v>23</v>
      </c>
      <c r="BS11" s="101">
        <v>43103</v>
      </c>
      <c r="BT11" s="8" t="s">
        <v>44</v>
      </c>
      <c r="BU11" s="524">
        <v>17</v>
      </c>
    </row>
    <row r="12" spans="1:122" s="328" customFormat="1">
      <c r="A12" s="514">
        <v>11</v>
      </c>
      <c r="B12" s="12">
        <v>42606</v>
      </c>
      <c r="C12" s="216" t="s">
        <v>14</v>
      </c>
      <c r="D12" s="216" t="s">
        <v>11</v>
      </c>
      <c r="E12" s="2">
        <f t="shared" ca="1" si="3"/>
        <v>33</v>
      </c>
      <c r="F12" s="2" t="s">
        <v>24</v>
      </c>
      <c r="G12" s="216">
        <v>3</v>
      </c>
      <c r="H12" s="216" t="s">
        <v>4</v>
      </c>
      <c r="I12" s="216" t="s">
        <v>5</v>
      </c>
      <c r="J12" s="211">
        <v>15172</v>
      </c>
      <c r="K12" s="216">
        <f>DATEDIF(J12,B12,"Y")</f>
        <v>75</v>
      </c>
      <c r="L12" s="17">
        <v>33.700000000000003</v>
      </c>
      <c r="M12" s="17" t="s">
        <v>76</v>
      </c>
      <c r="N12" s="216" t="s">
        <v>9</v>
      </c>
      <c r="O12" s="7" t="s">
        <v>19</v>
      </c>
      <c r="P12" s="97">
        <v>1</v>
      </c>
      <c r="Q12" s="215">
        <v>6</v>
      </c>
      <c r="R12" s="470">
        <v>2</v>
      </c>
      <c r="S12" s="68">
        <v>0</v>
      </c>
      <c r="T12" s="515">
        <v>0</v>
      </c>
      <c r="U12" s="516">
        <v>2</v>
      </c>
      <c r="V12" s="214">
        <f t="shared" si="4"/>
        <v>2</v>
      </c>
      <c r="W12" s="214">
        <f t="shared" si="5"/>
        <v>5</v>
      </c>
      <c r="X12" s="214"/>
      <c r="Y12" s="209"/>
      <c r="Z12" s="201" t="s">
        <v>44</v>
      </c>
      <c r="AA12" s="208" t="s">
        <v>44</v>
      </c>
      <c r="AB12" s="227" t="s">
        <v>44</v>
      </c>
      <c r="AC12" s="308" t="s">
        <v>47</v>
      </c>
      <c r="AD12" s="232" t="s">
        <v>44</v>
      </c>
      <c r="AE12" s="230">
        <v>248</v>
      </c>
      <c r="AF12" s="229">
        <v>53.9</v>
      </c>
      <c r="AG12" s="233">
        <v>25</v>
      </c>
      <c r="AH12" s="311">
        <v>40</v>
      </c>
      <c r="AI12" s="200">
        <v>43017</v>
      </c>
      <c r="AJ12" s="225">
        <f>DATEDIF(B12,AI12,"M")</f>
        <v>13</v>
      </c>
      <c r="AK12" s="310" t="s">
        <v>44</v>
      </c>
      <c r="AL12" s="310" t="s">
        <v>44</v>
      </c>
      <c r="AM12" s="310" t="s">
        <v>23</v>
      </c>
      <c r="AN12" s="220">
        <v>68.2</v>
      </c>
      <c r="AO12" s="310">
        <v>10</v>
      </c>
      <c r="AP12" s="310" t="s">
        <v>44</v>
      </c>
      <c r="AQ12" s="311">
        <v>70</v>
      </c>
      <c r="AR12" s="223">
        <v>43017</v>
      </c>
      <c r="AS12" s="225">
        <f>DATEDIF(B12,AR12,"M")</f>
        <v>13</v>
      </c>
      <c r="AT12" s="310" t="s">
        <v>44</v>
      </c>
      <c r="AU12" s="310" t="s">
        <v>44</v>
      </c>
      <c r="AV12" s="310" t="s">
        <v>23</v>
      </c>
      <c r="AW12" s="220">
        <v>68.2</v>
      </c>
      <c r="AX12" s="310">
        <v>10</v>
      </c>
      <c r="AY12" s="310" t="s">
        <v>44</v>
      </c>
      <c r="AZ12" s="311">
        <v>70</v>
      </c>
      <c r="BA12" s="221">
        <v>43312</v>
      </c>
      <c r="BB12" s="202">
        <f>DATEDIF(B12,BA12,"M")</f>
        <v>23</v>
      </c>
      <c r="BC12" s="231" t="s">
        <v>44</v>
      </c>
      <c r="BD12" s="310" t="s">
        <v>44</v>
      </c>
      <c r="BE12" s="310" t="s">
        <v>23</v>
      </c>
      <c r="BF12" s="220">
        <v>72.5</v>
      </c>
      <c r="BG12" s="310">
        <v>10</v>
      </c>
      <c r="BH12" s="310" t="s">
        <v>44</v>
      </c>
      <c r="BI12" s="311">
        <v>45</v>
      </c>
      <c r="BJ12" s="221">
        <v>43542</v>
      </c>
      <c r="BK12" s="309">
        <f>DATEDIF(B12,BJ12,"M")</f>
        <v>30</v>
      </c>
      <c r="BL12" s="310" t="s">
        <v>44</v>
      </c>
      <c r="BM12" s="310" t="s">
        <v>44</v>
      </c>
      <c r="BN12" s="310" t="s">
        <v>23</v>
      </c>
      <c r="BO12" s="310">
        <v>61.4</v>
      </c>
      <c r="BP12" s="310">
        <v>25</v>
      </c>
      <c r="BQ12" s="310" t="s">
        <v>143</v>
      </c>
      <c r="BR12" s="311"/>
      <c r="BS12" s="211">
        <v>43542</v>
      </c>
      <c r="BT12" s="208" t="s">
        <v>47</v>
      </c>
      <c r="BU12" s="523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</row>
    <row r="13" spans="1:122" s="328" customFormat="1" ht="21.75" customHeight="1">
      <c r="A13" s="328">
        <v>12</v>
      </c>
      <c r="B13" s="12">
        <v>42709</v>
      </c>
      <c r="C13" s="216" t="s">
        <v>12</v>
      </c>
      <c r="D13" s="216" t="s">
        <v>11</v>
      </c>
      <c r="E13" s="2">
        <f t="shared" ca="1" si="3"/>
        <v>29</v>
      </c>
      <c r="F13" s="2" t="s">
        <v>24</v>
      </c>
      <c r="G13" s="216">
        <v>3</v>
      </c>
      <c r="H13" s="216" t="s">
        <v>4</v>
      </c>
      <c r="I13" s="216" t="s">
        <v>5</v>
      </c>
      <c r="J13" s="211">
        <v>15172</v>
      </c>
      <c r="K13" s="216">
        <f>DATEDIF(J13,B13,"Y")</f>
        <v>75</v>
      </c>
      <c r="L13" s="17">
        <v>33.700000000000003</v>
      </c>
      <c r="M13" s="17" t="s">
        <v>76</v>
      </c>
      <c r="N13" s="216" t="s">
        <v>9</v>
      </c>
      <c r="O13" s="7" t="s">
        <v>18</v>
      </c>
      <c r="P13" s="97">
        <v>5</v>
      </c>
      <c r="Q13" s="215">
        <v>4</v>
      </c>
      <c r="R13" s="470">
        <v>3</v>
      </c>
      <c r="S13" s="68"/>
      <c r="T13" s="515">
        <v>0</v>
      </c>
      <c r="U13" s="516">
        <v>1</v>
      </c>
      <c r="V13" s="214">
        <f t="shared" si="4"/>
        <v>1</v>
      </c>
      <c r="W13" s="214">
        <f t="shared" si="5"/>
        <v>9</v>
      </c>
      <c r="X13" s="214"/>
      <c r="Y13" s="151" t="s">
        <v>145</v>
      </c>
      <c r="Z13" s="201" t="s">
        <v>47</v>
      </c>
      <c r="AA13" s="208" t="s">
        <v>47</v>
      </c>
      <c r="AB13" s="227" t="s">
        <v>47</v>
      </c>
      <c r="AC13" s="308" t="s">
        <v>143</v>
      </c>
      <c r="AD13" s="232" t="s">
        <v>44</v>
      </c>
      <c r="AE13" s="230">
        <v>266</v>
      </c>
      <c r="AF13" s="229">
        <v>56</v>
      </c>
      <c r="AG13" s="233">
        <v>25</v>
      </c>
      <c r="AH13" s="311">
        <v>50</v>
      </c>
      <c r="AI13" s="200">
        <v>43017</v>
      </c>
      <c r="AJ13" s="225">
        <f>DATEDIF(B13,AI13,"M")</f>
        <v>10</v>
      </c>
      <c r="AK13" s="310" t="s">
        <v>44</v>
      </c>
      <c r="AL13" s="310" t="s">
        <v>44</v>
      </c>
      <c r="AM13" s="310" t="s">
        <v>23</v>
      </c>
      <c r="AN13" s="220">
        <v>61.4</v>
      </c>
      <c r="AO13" s="310" t="s">
        <v>23</v>
      </c>
      <c r="AP13" s="310" t="s">
        <v>44</v>
      </c>
      <c r="AQ13" s="311">
        <v>40</v>
      </c>
      <c r="AR13" s="223">
        <v>43229</v>
      </c>
      <c r="AS13" s="225">
        <f>DATEDIF(B13,AR13,"M")</f>
        <v>17</v>
      </c>
      <c r="AT13" s="310" t="s">
        <v>44</v>
      </c>
      <c r="AU13" s="310" t="s">
        <v>44</v>
      </c>
      <c r="AV13" s="310" t="s">
        <v>23</v>
      </c>
      <c r="AW13" s="220">
        <v>58</v>
      </c>
      <c r="AX13" s="310">
        <v>37</v>
      </c>
      <c r="AY13" s="310" t="s">
        <v>44</v>
      </c>
      <c r="AZ13" s="311">
        <v>60</v>
      </c>
      <c r="BA13" s="221">
        <v>43514</v>
      </c>
      <c r="BB13" s="202">
        <f>DATEDIF(B13,BA13,"M")</f>
        <v>26</v>
      </c>
      <c r="BC13" s="231" t="s">
        <v>44</v>
      </c>
      <c r="BD13" s="310" t="s">
        <v>44</v>
      </c>
      <c r="BE13" s="310" t="s">
        <v>23</v>
      </c>
      <c r="BF13" s="220">
        <v>53.9</v>
      </c>
      <c r="BG13" s="310">
        <v>48</v>
      </c>
      <c r="BH13" s="310" t="s">
        <v>44</v>
      </c>
      <c r="BI13" s="311">
        <v>75</v>
      </c>
      <c r="BJ13" s="306"/>
      <c r="BK13" s="309"/>
      <c r="BL13" s="310" t="s">
        <v>143</v>
      </c>
      <c r="BM13" s="310" t="s">
        <v>143</v>
      </c>
      <c r="BN13" s="310"/>
      <c r="BO13" s="310"/>
      <c r="BP13" s="310"/>
      <c r="BQ13" s="310" t="s">
        <v>143</v>
      </c>
      <c r="BR13" s="311"/>
      <c r="BS13" s="211">
        <v>43542</v>
      </c>
      <c r="BT13" s="208" t="s">
        <v>47</v>
      </c>
      <c r="BU13" s="52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</row>
    <row r="14" spans="1:122">
      <c r="A14" s="328">
        <v>13</v>
      </c>
      <c r="B14" s="12">
        <v>42779</v>
      </c>
      <c r="C14" s="1" t="s">
        <v>14</v>
      </c>
      <c r="D14" s="1" t="s">
        <v>11</v>
      </c>
      <c r="E14" s="2">
        <f t="shared" ca="1" si="3"/>
        <v>27</v>
      </c>
      <c r="F14" s="2" t="s">
        <v>24</v>
      </c>
      <c r="G14" s="1">
        <v>3</v>
      </c>
      <c r="H14" s="1" t="s">
        <v>4</v>
      </c>
      <c r="I14" s="1" t="s">
        <v>5</v>
      </c>
      <c r="J14" s="211">
        <v>22083</v>
      </c>
      <c r="K14" s="1">
        <f>DATEDIF(J14,B14,"Y")</f>
        <v>56</v>
      </c>
      <c r="L14" s="17">
        <v>25</v>
      </c>
      <c r="M14" s="17" t="s">
        <v>76</v>
      </c>
      <c r="N14" s="1" t="s">
        <v>9</v>
      </c>
      <c r="O14" s="7" t="s">
        <v>19</v>
      </c>
      <c r="P14" s="92">
        <v>0</v>
      </c>
      <c r="Q14" s="90"/>
      <c r="R14" s="471">
        <v>1</v>
      </c>
      <c r="S14" s="515">
        <v>0</v>
      </c>
      <c r="T14" s="515">
        <v>0</v>
      </c>
      <c r="U14" s="518">
        <v>1</v>
      </c>
      <c r="V14" s="188">
        <f t="shared" si="4"/>
        <v>1</v>
      </c>
      <c r="W14" s="188">
        <f t="shared" si="5"/>
        <v>2</v>
      </c>
      <c r="X14" s="214"/>
      <c r="Y14" s="20"/>
      <c r="Z14" s="186" t="s">
        <v>44</v>
      </c>
      <c r="AA14" s="111" t="s">
        <v>44</v>
      </c>
      <c r="AB14" s="208" t="s">
        <v>44</v>
      </c>
      <c r="AC14" s="143" t="s">
        <v>143</v>
      </c>
      <c r="AD14" s="183" t="s">
        <v>44</v>
      </c>
      <c r="AE14" s="179" t="s">
        <v>23</v>
      </c>
      <c r="AF14" s="126">
        <v>48.8</v>
      </c>
      <c r="AG14" s="184" t="s">
        <v>23</v>
      </c>
      <c r="AH14" s="136">
        <v>70</v>
      </c>
      <c r="AI14" s="108">
        <v>43103</v>
      </c>
      <c r="AJ14" s="135">
        <f>DATEDIF(B14,AI14,"M")</f>
        <v>10</v>
      </c>
      <c r="AK14" s="310" t="s">
        <v>44</v>
      </c>
      <c r="AL14" s="310" t="s">
        <v>44</v>
      </c>
      <c r="AM14" s="180" t="s">
        <v>23</v>
      </c>
      <c r="AN14" s="177">
        <v>89.5</v>
      </c>
      <c r="AO14" s="180">
        <v>22</v>
      </c>
      <c r="AP14" s="310" t="s">
        <v>44</v>
      </c>
      <c r="AQ14" s="182">
        <v>0</v>
      </c>
      <c r="AR14" s="141">
        <v>43103</v>
      </c>
      <c r="AS14" s="135">
        <f>DATEDIF(B14,AR14,"M")</f>
        <v>10</v>
      </c>
      <c r="AT14" s="180" t="s">
        <v>44</v>
      </c>
      <c r="AU14" s="180" t="s">
        <v>44</v>
      </c>
      <c r="AV14" s="180" t="s">
        <v>23</v>
      </c>
      <c r="AW14" s="177">
        <v>89.5</v>
      </c>
      <c r="AX14" s="180">
        <v>22</v>
      </c>
      <c r="AY14" s="310" t="s">
        <v>44</v>
      </c>
      <c r="AZ14" s="136">
        <v>0</v>
      </c>
      <c r="BA14" s="221">
        <v>43567</v>
      </c>
      <c r="BB14" s="202">
        <f>DATEDIF(B14,BA14,"M")</f>
        <v>25</v>
      </c>
      <c r="BC14" s="231" t="s">
        <v>44</v>
      </c>
      <c r="BD14" s="224" t="s">
        <v>44</v>
      </c>
      <c r="BE14" s="180" t="s">
        <v>23</v>
      </c>
      <c r="BF14" s="177">
        <v>51.5</v>
      </c>
      <c r="BG14" s="180">
        <v>22</v>
      </c>
      <c r="BH14" s="224" t="s">
        <v>44</v>
      </c>
      <c r="BI14" s="182">
        <v>0</v>
      </c>
      <c r="BJ14" s="306"/>
      <c r="BK14" s="133"/>
      <c r="BL14" s="134" t="s">
        <v>143</v>
      </c>
      <c r="BM14" s="134" t="s">
        <v>143</v>
      </c>
      <c r="BN14" s="134"/>
      <c r="BO14" s="134"/>
      <c r="BP14" s="134"/>
      <c r="BQ14" s="134" t="s">
        <v>143</v>
      </c>
      <c r="BR14" s="136"/>
      <c r="BS14" s="98">
        <v>43567</v>
      </c>
      <c r="BT14" s="6" t="s">
        <v>47</v>
      </c>
      <c r="BU14" s="523"/>
    </row>
    <row r="15" spans="1:122">
      <c r="A15" s="514">
        <v>14</v>
      </c>
      <c r="B15" s="12">
        <v>42831</v>
      </c>
      <c r="C15" s="1" t="s">
        <v>14</v>
      </c>
      <c r="D15" s="1" t="s">
        <v>11</v>
      </c>
      <c r="E15" s="2">
        <f t="shared" ca="1" si="3"/>
        <v>25</v>
      </c>
      <c r="F15" s="2" t="s">
        <v>24</v>
      </c>
      <c r="G15" s="1">
        <v>4</v>
      </c>
      <c r="H15" s="1" t="s">
        <v>4</v>
      </c>
      <c r="I15" s="1" t="s">
        <v>5</v>
      </c>
      <c r="J15" s="211">
        <v>20071</v>
      </c>
      <c r="K15" s="1">
        <f>DATEDIF(J15,B15,"Y")</f>
        <v>62</v>
      </c>
      <c r="L15" s="17">
        <v>27.3</v>
      </c>
      <c r="M15" s="17" t="s">
        <v>76</v>
      </c>
      <c r="N15" s="1" t="s">
        <v>9</v>
      </c>
      <c r="O15" s="7" t="s">
        <v>19</v>
      </c>
      <c r="P15" s="87">
        <v>1</v>
      </c>
      <c r="Q15" s="87">
        <v>7</v>
      </c>
      <c r="R15" s="472">
        <v>1</v>
      </c>
      <c r="S15" s="519">
        <v>0</v>
      </c>
      <c r="T15" s="519">
        <v>0</v>
      </c>
      <c r="U15" s="519">
        <v>1</v>
      </c>
      <c r="V15" s="188">
        <f t="shared" si="4"/>
        <v>1</v>
      </c>
      <c r="W15" s="188">
        <f t="shared" si="5"/>
        <v>3</v>
      </c>
      <c r="X15" s="214"/>
      <c r="Y15" s="20"/>
      <c r="Z15" s="103" t="s">
        <v>44</v>
      </c>
      <c r="AA15" s="111" t="s">
        <v>44</v>
      </c>
      <c r="AB15" s="178" t="s">
        <v>44</v>
      </c>
      <c r="AC15" s="143" t="s">
        <v>143</v>
      </c>
      <c r="AD15" s="183" t="s">
        <v>44</v>
      </c>
      <c r="AE15" s="179" t="s">
        <v>23</v>
      </c>
      <c r="AF15" s="126">
        <v>64.7</v>
      </c>
      <c r="AG15" s="184" t="s">
        <v>23</v>
      </c>
      <c r="AH15" s="136">
        <v>60</v>
      </c>
      <c r="AI15" s="108">
        <v>43435</v>
      </c>
      <c r="AJ15" s="135">
        <f>DATEDIF(B15,AI15,"M")</f>
        <v>19</v>
      </c>
      <c r="AK15" s="204" t="s">
        <v>44</v>
      </c>
      <c r="AL15" s="310" t="s">
        <v>44</v>
      </c>
      <c r="AM15" s="204" t="s">
        <v>23</v>
      </c>
      <c r="AN15" s="203">
        <v>85.2</v>
      </c>
      <c r="AO15" s="204">
        <v>12</v>
      </c>
      <c r="AP15" s="310" t="s">
        <v>44</v>
      </c>
      <c r="AQ15" s="136">
        <v>30</v>
      </c>
      <c r="AR15" s="207">
        <v>43435</v>
      </c>
      <c r="AS15" s="205">
        <f>DATEDIF(B15,AR15,"M")</f>
        <v>19</v>
      </c>
      <c r="AT15" s="204" t="s">
        <v>44</v>
      </c>
      <c r="AU15" s="204" t="s">
        <v>44</v>
      </c>
      <c r="AV15" s="204" t="s">
        <v>23</v>
      </c>
      <c r="AW15" s="203">
        <v>85.2</v>
      </c>
      <c r="AX15" s="204">
        <v>12</v>
      </c>
      <c r="AY15" s="204" t="s">
        <v>44</v>
      </c>
      <c r="AZ15" s="206">
        <v>30</v>
      </c>
      <c r="BA15" s="223">
        <v>43435</v>
      </c>
      <c r="BB15" s="202">
        <f>DATEDIF(B15,BA15,"M")</f>
        <v>19</v>
      </c>
      <c r="BC15" s="310" t="s">
        <v>44</v>
      </c>
      <c r="BD15" s="310" t="s">
        <v>44</v>
      </c>
      <c r="BE15" s="310" t="s">
        <v>23</v>
      </c>
      <c r="BF15" s="220">
        <v>85.2</v>
      </c>
      <c r="BG15" s="310">
        <v>12</v>
      </c>
      <c r="BH15" s="310" t="s">
        <v>44</v>
      </c>
      <c r="BI15" s="311">
        <v>30</v>
      </c>
      <c r="BJ15" s="306"/>
      <c r="BK15" s="133"/>
      <c r="BL15" s="134" t="s">
        <v>143</v>
      </c>
      <c r="BM15" s="134" t="s">
        <v>143</v>
      </c>
      <c r="BN15" s="134"/>
      <c r="BO15" s="134"/>
      <c r="BP15" s="134"/>
      <c r="BQ15" s="134" t="s">
        <v>143</v>
      </c>
      <c r="BR15" s="136"/>
      <c r="BS15" s="98">
        <v>43435</v>
      </c>
      <c r="BT15" s="6" t="s">
        <v>47</v>
      </c>
      <c r="BU15" s="523"/>
    </row>
    <row r="16" spans="1:122" ht="23.25">
      <c r="A16" s="514">
        <v>15</v>
      </c>
      <c r="B16" s="12">
        <v>42695</v>
      </c>
      <c r="C16" s="1" t="s">
        <v>12</v>
      </c>
      <c r="D16" s="1" t="s">
        <v>11</v>
      </c>
      <c r="E16" s="2">
        <f t="shared" ca="1" si="3"/>
        <v>30</v>
      </c>
      <c r="F16" s="2" t="s">
        <v>24</v>
      </c>
      <c r="G16" s="1">
        <v>5</v>
      </c>
      <c r="H16" s="1" t="s">
        <v>4</v>
      </c>
      <c r="I16" s="1" t="s">
        <v>5</v>
      </c>
      <c r="J16" s="211">
        <v>20311</v>
      </c>
      <c r="K16" s="1">
        <f>DATEDIF(J16,B16,"Y")</f>
        <v>61</v>
      </c>
      <c r="L16" s="17">
        <v>35.9</v>
      </c>
      <c r="M16" s="17" t="s">
        <v>75</v>
      </c>
      <c r="N16" s="1" t="s">
        <v>9</v>
      </c>
      <c r="O16" s="7" t="s">
        <v>18</v>
      </c>
      <c r="P16" s="85">
        <v>0</v>
      </c>
      <c r="Q16" s="78"/>
      <c r="R16" s="470">
        <v>1</v>
      </c>
      <c r="S16" s="68">
        <v>0</v>
      </c>
      <c r="T16" s="515">
        <v>0</v>
      </c>
      <c r="U16" s="516">
        <v>1</v>
      </c>
      <c r="V16" s="188">
        <f t="shared" si="4"/>
        <v>1</v>
      </c>
      <c r="W16" s="188">
        <f t="shared" si="5"/>
        <v>2</v>
      </c>
      <c r="X16" s="214" t="s">
        <v>163</v>
      </c>
      <c r="Y16" s="20" t="s">
        <v>54</v>
      </c>
      <c r="Z16" s="103" t="s">
        <v>47</v>
      </c>
      <c r="AA16" s="111" t="s">
        <v>47</v>
      </c>
      <c r="AB16" s="159" t="s">
        <v>47</v>
      </c>
      <c r="AC16" s="143" t="s">
        <v>143</v>
      </c>
      <c r="AD16" s="163" t="s">
        <v>44</v>
      </c>
      <c r="AE16" s="132">
        <v>216</v>
      </c>
      <c r="AF16" s="126">
        <v>51.5</v>
      </c>
      <c r="AG16" s="146">
        <v>48</v>
      </c>
      <c r="AH16" s="136">
        <v>50</v>
      </c>
      <c r="AI16" s="223">
        <v>43103</v>
      </c>
      <c r="AJ16" s="225">
        <f>DATEDIF(B16,AI16,"M")</f>
        <v>13</v>
      </c>
      <c r="AK16" s="310" t="s">
        <v>44</v>
      </c>
      <c r="AL16" s="310" t="s">
        <v>44</v>
      </c>
      <c r="AM16" s="310" t="s">
        <v>23</v>
      </c>
      <c r="AN16" s="220">
        <v>42.1</v>
      </c>
      <c r="AO16" s="310" t="s">
        <v>23</v>
      </c>
      <c r="AP16" s="310" t="s">
        <v>44</v>
      </c>
      <c r="AQ16" s="311">
        <v>0</v>
      </c>
      <c r="AR16" s="141">
        <v>43103</v>
      </c>
      <c r="AS16" s="135">
        <f>DATEDIF(B16,AR16,"M")</f>
        <v>13</v>
      </c>
      <c r="AT16" s="160" t="s">
        <v>44</v>
      </c>
      <c r="AU16" s="160" t="s">
        <v>44</v>
      </c>
      <c r="AV16" s="160" t="s">
        <v>23</v>
      </c>
      <c r="AW16" s="128">
        <v>42.1</v>
      </c>
      <c r="AX16" s="160" t="s">
        <v>23</v>
      </c>
      <c r="AY16" s="160" t="s">
        <v>44</v>
      </c>
      <c r="AZ16" s="136">
        <v>0</v>
      </c>
      <c r="BA16" s="221"/>
      <c r="BB16" s="202"/>
      <c r="BC16" s="231" t="s">
        <v>44</v>
      </c>
      <c r="BD16" s="160" t="s">
        <v>47</v>
      </c>
      <c r="BE16" s="160" t="s">
        <v>23</v>
      </c>
      <c r="BF16" s="158" t="s">
        <v>23</v>
      </c>
      <c r="BG16" s="160" t="s">
        <v>23</v>
      </c>
      <c r="BH16" s="160" t="s">
        <v>47</v>
      </c>
      <c r="BI16" s="162" t="s">
        <v>23</v>
      </c>
      <c r="BJ16" s="306"/>
      <c r="BK16" s="133"/>
      <c r="BL16" s="134" t="s">
        <v>143</v>
      </c>
      <c r="BM16" s="134" t="s">
        <v>143</v>
      </c>
      <c r="BN16" s="134"/>
      <c r="BO16" s="134"/>
      <c r="BP16" s="134"/>
      <c r="BQ16" s="134" t="s">
        <v>143</v>
      </c>
      <c r="BR16" s="136"/>
      <c r="BS16" s="98">
        <v>42758</v>
      </c>
      <c r="BT16" s="6" t="s">
        <v>47</v>
      </c>
      <c r="BU16" s="523"/>
    </row>
    <row r="17" spans="1:122">
      <c r="A17" s="514">
        <v>16</v>
      </c>
      <c r="B17" s="12">
        <v>42731</v>
      </c>
      <c r="C17" s="1" t="s">
        <v>14</v>
      </c>
      <c r="D17" s="1" t="s">
        <v>11</v>
      </c>
      <c r="E17" s="2">
        <f t="shared" ca="1" si="3"/>
        <v>29</v>
      </c>
      <c r="F17" s="2" t="s">
        <v>24</v>
      </c>
      <c r="G17" s="1">
        <v>5</v>
      </c>
      <c r="H17" s="1" t="s">
        <v>4</v>
      </c>
      <c r="I17" s="1" t="s">
        <v>5</v>
      </c>
      <c r="J17" s="211">
        <v>22405</v>
      </c>
      <c r="K17" s="1">
        <f>DATEDIF(J17,B17,"Y")</f>
        <v>55</v>
      </c>
      <c r="L17" s="17">
        <v>33</v>
      </c>
      <c r="M17" s="17" t="s">
        <v>75</v>
      </c>
      <c r="N17" s="1" t="s">
        <v>8</v>
      </c>
      <c r="O17" s="7" t="s">
        <v>18</v>
      </c>
      <c r="P17" s="91">
        <v>1</v>
      </c>
      <c r="Q17" s="88">
        <v>3</v>
      </c>
      <c r="R17" s="470">
        <v>1</v>
      </c>
      <c r="S17" s="68">
        <v>0</v>
      </c>
      <c r="T17" s="515">
        <v>0</v>
      </c>
      <c r="U17" s="520">
        <v>1</v>
      </c>
      <c r="V17" s="188">
        <f t="shared" si="4"/>
        <v>1</v>
      </c>
      <c r="W17" s="188">
        <f t="shared" si="5"/>
        <v>3</v>
      </c>
      <c r="X17" s="214" t="s">
        <v>161</v>
      </c>
      <c r="Y17" s="20" t="s">
        <v>50</v>
      </c>
      <c r="Z17" s="103" t="s">
        <v>47</v>
      </c>
      <c r="AA17" s="111" t="s">
        <v>47</v>
      </c>
      <c r="AB17" s="178" t="s">
        <v>47</v>
      </c>
      <c r="AC17" s="143" t="s">
        <v>143</v>
      </c>
      <c r="AD17" s="183" t="s">
        <v>44</v>
      </c>
      <c r="AE17" s="132">
        <v>203</v>
      </c>
      <c r="AF17" s="126">
        <v>51.5</v>
      </c>
      <c r="AG17" s="146">
        <v>38</v>
      </c>
      <c r="AH17" s="136">
        <v>90</v>
      </c>
      <c r="AI17" s="108">
        <v>42901</v>
      </c>
      <c r="AJ17" s="135">
        <f>DATEDIF(B17,AI17,"M")</f>
        <v>5</v>
      </c>
      <c r="AK17" s="180" t="s">
        <v>44</v>
      </c>
      <c r="AL17" s="180" t="s">
        <v>44</v>
      </c>
      <c r="AM17" s="180" t="s">
        <v>23</v>
      </c>
      <c r="AN17" s="128">
        <v>48.8</v>
      </c>
      <c r="AO17" s="180" t="s">
        <v>23</v>
      </c>
      <c r="AP17" s="134" t="s">
        <v>44</v>
      </c>
      <c r="AQ17" s="136">
        <v>95</v>
      </c>
      <c r="AR17" s="141">
        <v>43082</v>
      </c>
      <c r="AS17" s="135">
        <f>DATEDIF(B17,AR17,"M")</f>
        <v>11</v>
      </c>
      <c r="AT17" s="180" t="s">
        <v>44</v>
      </c>
      <c r="AU17" s="180" t="s">
        <v>44</v>
      </c>
      <c r="AV17" s="180" t="s">
        <v>23</v>
      </c>
      <c r="AW17" s="128">
        <v>42.1</v>
      </c>
      <c r="AX17" s="180" t="s">
        <v>23</v>
      </c>
      <c r="AY17" s="134" t="s">
        <v>44</v>
      </c>
      <c r="AZ17" s="136">
        <v>95</v>
      </c>
      <c r="BA17" s="221"/>
      <c r="BB17" s="202"/>
      <c r="BC17" s="231" t="s">
        <v>44</v>
      </c>
      <c r="BD17" s="180" t="s">
        <v>47</v>
      </c>
      <c r="BE17" s="180" t="s">
        <v>23</v>
      </c>
      <c r="BF17" s="177" t="s">
        <v>23</v>
      </c>
      <c r="BG17" s="180" t="s">
        <v>23</v>
      </c>
      <c r="BH17" s="180" t="s">
        <v>47</v>
      </c>
      <c r="BI17" s="182" t="s">
        <v>23</v>
      </c>
      <c r="BJ17" s="306"/>
      <c r="BK17" s="133"/>
      <c r="BL17" s="134" t="s">
        <v>143</v>
      </c>
      <c r="BM17" s="134" t="s">
        <v>143</v>
      </c>
      <c r="BN17" s="134"/>
      <c r="BO17" s="134"/>
      <c r="BP17" s="134"/>
      <c r="BQ17" s="134" t="s">
        <v>143</v>
      </c>
      <c r="BR17" s="136"/>
      <c r="BS17" s="98">
        <v>42772</v>
      </c>
      <c r="BT17" s="6" t="s">
        <v>44</v>
      </c>
      <c r="BU17" s="523">
        <v>13</v>
      </c>
    </row>
    <row r="18" spans="1:122">
      <c r="A18" s="514">
        <v>17</v>
      </c>
      <c r="B18" s="12">
        <v>42814</v>
      </c>
      <c r="C18" s="1" t="s">
        <v>12</v>
      </c>
      <c r="D18" s="1" t="s">
        <v>11</v>
      </c>
      <c r="E18" s="2">
        <f t="shared" ca="1" si="3"/>
        <v>26</v>
      </c>
      <c r="F18" s="1" t="s">
        <v>26</v>
      </c>
      <c r="G18" s="1">
        <v>1</v>
      </c>
      <c r="H18" s="1" t="s">
        <v>4</v>
      </c>
      <c r="I18" s="1" t="s">
        <v>5</v>
      </c>
      <c r="J18" s="211">
        <v>16691</v>
      </c>
      <c r="K18" s="1">
        <f>DATEDIF(J18,B18,"Y")</f>
        <v>71</v>
      </c>
      <c r="L18" s="17">
        <v>24.3</v>
      </c>
      <c r="M18" s="17" t="s">
        <v>76</v>
      </c>
      <c r="N18" s="1" t="s">
        <v>9</v>
      </c>
      <c r="O18" s="7" t="s">
        <v>19</v>
      </c>
      <c r="P18" s="92">
        <v>1</v>
      </c>
      <c r="Q18" s="90">
        <v>4</v>
      </c>
      <c r="R18" s="471">
        <v>1</v>
      </c>
      <c r="S18" s="515">
        <v>0</v>
      </c>
      <c r="T18" s="515">
        <v>0</v>
      </c>
      <c r="U18" s="518">
        <v>1</v>
      </c>
      <c r="V18" s="188">
        <f t="shared" si="4"/>
        <v>1</v>
      </c>
      <c r="W18" s="188">
        <f t="shared" si="5"/>
        <v>3</v>
      </c>
      <c r="X18" s="214"/>
      <c r="Y18" s="20" t="s">
        <v>64</v>
      </c>
      <c r="Z18" s="301" t="s">
        <v>23</v>
      </c>
      <c r="AA18" s="152" t="s">
        <v>23</v>
      </c>
      <c r="AB18" s="236" t="s">
        <v>23</v>
      </c>
      <c r="AC18" s="143" t="s">
        <v>143</v>
      </c>
      <c r="AD18" s="183" t="s">
        <v>44</v>
      </c>
      <c r="AE18" s="179" t="s">
        <v>23</v>
      </c>
      <c r="AF18" s="126">
        <v>42.1</v>
      </c>
      <c r="AG18" s="184" t="s">
        <v>23</v>
      </c>
      <c r="AH18" s="136">
        <v>90</v>
      </c>
      <c r="AI18" s="108"/>
      <c r="AJ18" s="135"/>
      <c r="AK18" s="180" t="s">
        <v>47</v>
      </c>
      <c r="AL18" s="180" t="s">
        <v>47</v>
      </c>
      <c r="AM18" s="180" t="s">
        <v>23</v>
      </c>
      <c r="AN18" s="177" t="s">
        <v>23</v>
      </c>
      <c r="AO18" s="180" t="s">
        <v>23</v>
      </c>
      <c r="AP18" s="180" t="s">
        <v>47</v>
      </c>
      <c r="AQ18" s="182" t="s">
        <v>23</v>
      </c>
      <c r="AR18" s="141"/>
      <c r="AS18" s="181"/>
      <c r="AT18" s="180" t="s">
        <v>47</v>
      </c>
      <c r="AU18" s="180" t="s">
        <v>47</v>
      </c>
      <c r="AV18" s="180" t="s">
        <v>23</v>
      </c>
      <c r="AW18" s="177" t="s">
        <v>23</v>
      </c>
      <c r="AX18" s="180" t="s">
        <v>23</v>
      </c>
      <c r="AY18" s="180" t="s">
        <v>47</v>
      </c>
      <c r="AZ18" s="182" t="s">
        <v>23</v>
      </c>
      <c r="BA18" s="221"/>
      <c r="BB18" s="202"/>
      <c r="BC18" s="231" t="s">
        <v>47</v>
      </c>
      <c r="BD18" s="180" t="s">
        <v>47</v>
      </c>
      <c r="BE18" s="180" t="s">
        <v>23</v>
      </c>
      <c r="BF18" s="177" t="s">
        <v>23</v>
      </c>
      <c r="BG18" s="180" t="s">
        <v>23</v>
      </c>
      <c r="BH18" s="180" t="s">
        <v>47</v>
      </c>
      <c r="BI18" s="182" t="s">
        <v>23</v>
      </c>
      <c r="BJ18" s="306"/>
      <c r="BK18" s="133"/>
      <c r="BL18" s="134" t="s">
        <v>143</v>
      </c>
      <c r="BM18" s="134" t="s">
        <v>143</v>
      </c>
      <c r="BN18" s="134"/>
      <c r="BO18" s="134"/>
      <c r="BP18" s="134"/>
      <c r="BQ18" s="134" t="s">
        <v>143</v>
      </c>
      <c r="BR18" s="136"/>
      <c r="BS18" s="98">
        <v>42928</v>
      </c>
      <c r="BT18" s="6" t="s">
        <v>47</v>
      </c>
      <c r="BU18" s="523"/>
    </row>
    <row r="19" spans="1:122">
      <c r="A19" s="514">
        <v>18</v>
      </c>
      <c r="B19" s="12">
        <v>42856</v>
      </c>
      <c r="C19" s="1" t="s">
        <v>12</v>
      </c>
      <c r="D19" s="1" t="s">
        <v>11</v>
      </c>
      <c r="E19" s="2">
        <f t="shared" ca="1" si="3"/>
        <v>24</v>
      </c>
      <c r="F19" s="1" t="s">
        <v>26</v>
      </c>
      <c r="G19" s="1">
        <v>1</v>
      </c>
      <c r="H19" s="1" t="s">
        <v>4</v>
      </c>
      <c r="I19" s="1" t="s">
        <v>5</v>
      </c>
      <c r="J19" s="211">
        <v>19850</v>
      </c>
      <c r="K19" s="1">
        <f>DATEDIF(J19,B19,"Y")</f>
        <v>62</v>
      </c>
      <c r="L19" s="17">
        <v>25.7</v>
      </c>
      <c r="M19" s="17" t="s">
        <v>76</v>
      </c>
      <c r="N19" s="1" t="s">
        <v>9</v>
      </c>
      <c r="O19" s="7" t="s">
        <v>19</v>
      </c>
      <c r="P19" s="91">
        <v>0</v>
      </c>
      <c r="Q19" s="88"/>
      <c r="R19" s="470">
        <v>1</v>
      </c>
      <c r="S19" s="68">
        <v>0</v>
      </c>
      <c r="T19" s="515">
        <v>0</v>
      </c>
      <c r="U19" s="516">
        <v>1</v>
      </c>
      <c r="V19" s="188">
        <f t="shared" si="4"/>
        <v>1</v>
      </c>
      <c r="W19" s="188">
        <f t="shared" si="5"/>
        <v>2</v>
      </c>
      <c r="X19" s="214"/>
      <c r="Y19" s="20"/>
      <c r="Z19" s="103" t="s">
        <v>44</v>
      </c>
      <c r="AA19" s="194" t="s">
        <v>44</v>
      </c>
      <c r="AB19" s="208" t="s">
        <v>44</v>
      </c>
      <c r="AC19" s="143" t="s">
        <v>143</v>
      </c>
      <c r="AD19" s="183" t="s">
        <v>44</v>
      </c>
      <c r="AE19" s="179" t="s">
        <v>23</v>
      </c>
      <c r="AF19" s="126">
        <v>64.7</v>
      </c>
      <c r="AG19" s="184" t="s">
        <v>23</v>
      </c>
      <c r="AH19" s="136">
        <v>50</v>
      </c>
      <c r="AI19" s="108">
        <v>43104</v>
      </c>
      <c r="AJ19" s="135">
        <f>DATEDIF(B19,AI19,"M")</f>
        <v>8</v>
      </c>
      <c r="AK19" s="180" t="s">
        <v>44</v>
      </c>
      <c r="AL19" s="180" t="s">
        <v>44</v>
      </c>
      <c r="AM19" s="180" t="s">
        <v>23</v>
      </c>
      <c r="AN19" s="128">
        <v>72.5</v>
      </c>
      <c r="AO19" s="180" t="s">
        <v>23</v>
      </c>
      <c r="AP19" s="180" t="s">
        <v>44</v>
      </c>
      <c r="AQ19" s="136">
        <v>15</v>
      </c>
      <c r="AR19" s="141">
        <v>43311</v>
      </c>
      <c r="AS19" s="135">
        <f>DATEDIF(B19,AR19,"M")</f>
        <v>14</v>
      </c>
      <c r="AT19" s="180" t="s">
        <v>44</v>
      </c>
      <c r="AU19" s="180" t="s">
        <v>44</v>
      </c>
      <c r="AV19" s="180" t="s">
        <v>23</v>
      </c>
      <c r="AW19" s="128">
        <v>75.099999999999994</v>
      </c>
      <c r="AX19" s="134">
        <v>9</v>
      </c>
      <c r="AY19" s="134" t="s">
        <v>44</v>
      </c>
      <c r="AZ19" s="136">
        <v>15</v>
      </c>
      <c r="BA19" s="221">
        <v>43567</v>
      </c>
      <c r="BB19" s="202">
        <f>DATEDIF(B19,BA19,"M")</f>
        <v>23</v>
      </c>
      <c r="BC19" s="231" t="s">
        <v>44</v>
      </c>
      <c r="BD19" s="190" t="s">
        <v>47</v>
      </c>
      <c r="BE19" s="190" t="s">
        <v>23</v>
      </c>
      <c r="BF19" s="187" t="s">
        <v>23</v>
      </c>
      <c r="BG19" s="190" t="s">
        <v>23</v>
      </c>
      <c r="BH19" s="224" t="s">
        <v>44</v>
      </c>
      <c r="BI19" s="191">
        <v>35</v>
      </c>
      <c r="BJ19" s="306"/>
      <c r="BK19" s="133"/>
      <c r="BL19" s="134" t="s">
        <v>143</v>
      </c>
      <c r="BM19" s="134" t="s">
        <v>143</v>
      </c>
      <c r="BN19" s="134"/>
      <c r="BO19" s="134"/>
      <c r="BP19" s="134"/>
      <c r="BQ19" s="134" t="s">
        <v>143</v>
      </c>
      <c r="BR19" s="136"/>
      <c r="BS19" s="98">
        <v>43567</v>
      </c>
      <c r="BT19" s="6" t="s">
        <v>47</v>
      </c>
      <c r="BU19" s="523"/>
    </row>
    <row r="20" spans="1:122">
      <c r="A20" s="514">
        <v>19</v>
      </c>
      <c r="B20" s="12">
        <v>42709</v>
      </c>
      <c r="C20" s="1" t="s">
        <v>14</v>
      </c>
      <c r="D20" s="1" t="s">
        <v>11</v>
      </c>
      <c r="E20" s="2">
        <f t="shared" ca="1" si="3"/>
        <v>29</v>
      </c>
      <c r="F20" s="1" t="s">
        <v>26</v>
      </c>
      <c r="G20" s="1">
        <v>2</v>
      </c>
      <c r="H20" s="1" t="s">
        <v>4</v>
      </c>
      <c r="I20" s="1" t="s">
        <v>21</v>
      </c>
      <c r="J20" s="211">
        <v>18455</v>
      </c>
      <c r="K20" s="1">
        <f>DATEDIF(J20,B20,"Y")</f>
        <v>66</v>
      </c>
      <c r="L20" s="17">
        <v>32.6</v>
      </c>
      <c r="M20" s="17" t="s">
        <v>76</v>
      </c>
      <c r="N20" s="1" t="s">
        <v>9</v>
      </c>
      <c r="O20" s="7" t="s">
        <v>19</v>
      </c>
      <c r="P20" s="92">
        <v>0</v>
      </c>
      <c r="Q20" s="90"/>
      <c r="R20" s="471">
        <v>1</v>
      </c>
      <c r="S20" s="515">
        <v>0</v>
      </c>
      <c r="T20" s="515">
        <v>0</v>
      </c>
      <c r="U20" s="518">
        <v>1</v>
      </c>
      <c r="V20" s="188">
        <f t="shared" si="4"/>
        <v>1</v>
      </c>
      <c r="W20" s="188">
        <f t="shared" si="5"/>
        <v>2</v>
      </c>
      <c r="X20" s="214"/>
      <c r="Y20" s="20"/>
      <c r="Z20" s="103" t="s">
        <v>44</v>
      </c>
      <c r="AA20" s="111" t="s">
        <v>44</v>
      </c>
      <c r="AB20" s="164" t="s">
        <v>44</v>
      </c>
      <c r="AC20" s="143" t="s">
        <v>143</v>
      </c>
      <c r="AD20" s="167" t="s">
        <v>44</v>
      </c>
      <c r="AE20" s="132">
        <v>165</v>
      </c>
      <c r="AF20" s="126">
        <v>51.5</v>
      </c>
      <c r="AG20" s="146">
        <v>53</v>
      </c>
      <c r="AH20" s="136">
        <v>90</v>
      </c>
      <c r="AI20" s="108">
        <v>42878</v>
      </c>
      <c r="AJ20" s="166">
        <f>DATEDIF(B20,AI20,"M")</f>
        <v>5</v>
      </c>
      <c r="AK20" s="160" t="s">
        <v>47</v>
      </c>
      <c r="AL20" s="160" t="s">
        <v>47</v>
      </c>
      <c r="AM20" s="160" t="s">
        <v>23</v>
      </c>
      <c r="AN20" s="158">
        <v>78</v>
      </c>
      <c r="AO20" s="165" t="s">
        <v>23</v>
      </c>
      <c r="AP20" s="165" t="s">
        <v>44</v>
      </c>
      <c r="AQ20" s="162">
        <v>17</v>
      </c>
      <c r="AR20" s="141">
        <v>43104</v>
      </c>
      <c r="AS20" s="135">
        <f>DATEDIF(B20,AR20,"M")</f>
        <v>12</v>
      </c>
      <c r="AT20" s="165" t="s">
        <v>44</v>
      </c>
      <c r="AU20" s="165" t="s">
        <v>44</v>
      </c>
      <c r="AV20" s="165" t="s">
        <v>23</v>
      </c>
      <c r="AW20" s="128">
        <v>100</v>
      </c>
      <c r="AX20" s="165" t="s">
        <v>23</v>
      </c>
      <c r="AY20" s="165" t="s">
        <v>44</v>
      </c>
      <c r="AZ20" s="136">
        <v>0</v>
      </c>
      <c r="BA20" s="221">
        <v>43451</v>
      </c>
      <c r="BB20" s="202">
        <f>DATEDIF(B20,BA20,"M")</f>
        <v>24</v>
      </c>
      <c r="BC20" s="231" t="s">
        <v>44</v>
      </c>
      <c r="BD20" s="165" t="s">
        <v>44</v>
      </c>
      <c r="BE20" s="160" t="s">
        <v>23</v>
      </c>
      <c r="BF20" s="158">
        <v>100</v>
      </c>
      <c r="BG20" s="160">
        <v>1</v>
      </c>
      <c r="BH20" s="165" t="s">
        <v>44</v>
      </c>
      <c r="BI20" s="162">
        <v>0</v>
      </c>
      <c r="BJ20" s="306"/>
      <c r="BK20" s="133"/>
      <c r="BL20" s="134" t="s">
        <v>143</v>
      </c>
      <c r="BM20" s="134" t="s">
        <v>143</v>
      </c>
      <c r="BN20" s="134"/>
      <c r="BO20" s="134"/>
      <c r="BP20" s="134"/>
      <c r="BQ20" s="134" t="s">
        <v>143</v>
      </c>
      <c r="BR20" s="136"/>
      <c r="BS20" s="98">
        <v>47150</v>
      </c>
      <c r="BT20" s="6" t="s">
        <v>47</v>
      </c>
      <c r="BU20" s="523"/>
    </row>
    <row r="21" spans="1:122" ht="21" customHeight="1">
      <c r="A21" s="514">
        <v>20</v>
      </c>
      <c r="B21" s="12">
        <v>42709</v>
      </c>
      <c r="C21" s="1" t="s">
        <v>12</v>
      </c>
      <c r="D21" s="1" t="s">
        <v>11</v>
      </c>
      <c r="E21" s="2">
        <f t="shared" ca="1" si="3"/>
        <v>29</v>
      </c>
      <c r="F21" s="1" t="s">
        <v>26</v>
      </c>
      <c r="G21" s="1">
        <v>4</v>
      </c>
      <c r="H21" s="1" t="s">
        <v>4</v>
      </c>
      <c r="I21" s="1" t="s">
        <v>5</v>
      </c>
      <c r="J21" s="211">
        <v>19267</v>
      </c>
      <c r="K21" s="1">
        <f>DATEDIF(J21,B21,"Y")</f>
        <v>64</v>
      </c>
      <c r="L21" s="17">
        <v>25.1</v>
      </c>
      <c r="M21" s="17" t="s">
        <v>75</v>
      </c>
      <c r="N21" s="1" t="s">
        <v>9</v>
      </c>
      <c r="O21" s="7" t="s">
        <v>18</v>
      </c>
      <c r="P21" s="82">
        <v>1</v>
      </c>
      <c r="Q21" s="78">
        <v>10</v>
      </c>
      <c r="R21" s="470">
        <v>3</v>
      </c>
      <c r="S21" s="68"/>
      <c r="T21" s="515">
        <v>0</v>
      </c>
      <c r="U21" s="516">
        <v>1</v>
      </c>
      <c r="V21" s="188">
        <f t="shared" si="4"/>
        <v>1</v>
      </c>
      <c r="W21" s="188">
        <f t="shared" si="5"/>
        <v>5</v>
      </c>
      <c r="X21" s="214" t="s">
        <v>164</v>
      </c>
      <c r="Y21" s="173" t="s">
        <v>146</v>
      </c>
      <c r="Z21" s="105" t="s">
        <v>47</v>
      </c>
      <c r="AA21" s="8" t="s">
        <v>47</v>
      </c>
      <c r="AB21" s="169" t="s">
        <v>47</v>
      </c>
      <c r="AC21" s="143" t="s">
        <v>143</v>
      </c>
      <c r="AD21" s="174" t="s">
        <v>44</v>
      </c>
      <c r="AE21" s="132">
        <v>235</v>
      </c>
      <c r="AF21" s="126">
        <v>63</v>
      </c>
      <c r="AG21" s="146">
        <v>39</v>
      </c>
      <c r="AH21" s="136">
        <v>80</v>
      </c>
      <c r="AI21" s="108">
        <v>42837</v>
      </c>
      <c r="AJ21" s="171">
        <f>DATEDIF(B21,AI21,"M")</f>
        <v>4</v>
      </c>
      <c r="AK21" s="160" t="s">
        <v>44</v>
      </c>
      <c r="AL21" s="170" t="s">
        <v>44</v>
      </c>
      <c r="AM21" s="160" t="s">
        <v>23</v>
      </c>
      <c r="AN21" s="158">
        <v>64.7</v>
      </c>
      <c r="AO21" s="160" t="s">
        <v>23</v>
      </c>
      <c r="AP21" s="170" t="s">
        <v>44</v>
      </c>
      <c r="AQ21" s="162">
        <v>70</v>
      </c>
      <c r="AR21" s="141"/>
      <c r="AS21" s="135"/>
      <c r="AT21" s="170" t="s">
        <v>44</v>
      </c>
      <c r="AU21" s="170" t="s">
        <v>47</v>
      </c>
      <c r="AV21" s="170" t="s">
        <v>23</v>
      </c>
      <c r="AW21" s="168" t="s">
        <v>23</v>
      </c>
      <c r="AX21" s="170" t="s">
        <v>23</v>
      </c>
      <c r="AY21" s="170" t="s">
        <v>47</v>
      </c>
      <c r="AZ21" s="172" t="s">
        <v>23</v>
      </c>
      <c r="BA21" s="221"/>
      <c r="BB21" s="202"/>
      <c r="BC21" s="231" t="s">
        <v>44</v>
      </c>
      <c r="BD21" s="160" t="s">
        <v>47</v>
      </c>
      <c r="BE21" s="160" t="s">
        <v>23</v>
      </c>
      <c r="BF21" s="158" t="s">
        <v>23</v>
      </c>
      <c r="BG21" s="160" t="s">
        <v>23</v>
      </c>
      <c r="BH21" s="160" t="s">
        <v>47</v>
      </c>
      <c r="BI21" s="162" t="s">
        <v>23</v>
      </c>
      <c r="BJ21" s="306"/>
      <c r="BK21" s="133"/>
      <c r="BL21" s="134" t="s">
        <v>143</v>
      </c>
      <c r="BM21" s="134" t="s">
        <v>143</v>
      </c>
      <c r="BN21" s="134"/>
      <c r="BO21" s="134"/>
      <c r="BP21" s="134"/>
      <c r="BQ21" s="134" t="s">
        <v>143</v>
      </c>
      <c r="BR21" s="136"/>
      <c r="BS21" s="98">
        <v>42837</v>
      </c>
      <c r="BT21" s="175" t="s">
        <v>147</v>
      </c>
      <c r="BU21" s="525"/>
    </row>
    <row r="22" spans="1:122">
      <c r="A22" s="514">
        <v>21</v>
      </c>
      <c r="B22" s="12">
        <v>42772</v>
      </c>
      <c r="C22" s="1" t="s">
        <v>12</v>
      </c>
      <c r="D22" s="1" t="s">
        <v>11</v>
      </c>
      <c r="E22" s="2">
        <f t="shared" ca="1" si="3"/>
        <v>27</v>
      </c>
      <c r="F22" s="1" t="s">
        <v>20</v>
      </c>
      <c r="G22" s="1">
        <v>5</v>
      </c>
      <c r="H22" s="1" t="s">
        <v>27</v>
      </c>
      <c r="I22" s="1" t="s">
        <v>5</v>
      </c>
      <c r="J22" s="211">
        <v>15197</v>
      </c>
      <c r="K22" s="1">
        <f>DATEDIF(J22,B22,"Y")</f>
        <v>75</v>
      </c>
      <c r="L22" s="17">
        <v>32</v>
      </c>
      <c r="M22" s="17" t="s">
        <v>76</v>
      </c>
      <c r="N22" s="1" t="s">
        <v>9</v>
      </c>
      <c r="O22" s="7" t="s">
        <v>18</v>
      </c>
      <c r="P22" s="91">
        <v>0</v>
      </c>
      <c r="Q22" s="88"/>
      <c r="R22" s="470">
        <v>1</v>
      </c>
      <c r="S22" s="68">
        <v>0</v>
      </c>
      <c r="T22" s="515">
        <v>0</v>
      </c>
      <c r="U22" s="516">
        <v>1</v>
      </c>
      <c r="V22" s="188">
        <f t="shared" si="4"/>
        <v>1</v>
      </c>
      <c r="W22" s="188">
        <f t="shared" si="5"/>
        <v>2</v>
      </c>
      <c r="X22" s="214" t="s">
        <v>161</v>
      </c>
      <c r="Y22" s="209" t="s">
        <v>197</v>
      </c>
      <c r="Z22" s="103" t="s">
        <v>47</v>
      </c>
      <c r="AA22" s="111" t="s">
        <v>47</v>
      </c>
      <c r="AB22" s="178" t="s">
        <v>47</v>
      </c>
      <c r="AC22" s="143" t="s">
        <v>143</v>
      </c>
      <c r="AD22" s="183" t="s">
        <v>44</v>
      </c>
      <c r="AE22" s="179" t="s">
        <v>23</v>
      </c>
      <c r="AF22" s="126">
        <v>42.1</v>
      </c>
      <c r="AG22" s="184" t="s">
        <v>23</v>
      </c>
      <c r="AH22" s="136">
        <v>85</v>
      </c>
      <c r="AI22" s="108"/>
      <c r="AJ22" s="135"/>
      <c r="AK22" s="180" t="s">
        <v>44</v>
      </c>
      <c r="AL22" s="180" t="s">
        <v>47</v>
      </c>
      <c r="AM22" s="180" t="s">
        <v>23</v>
      </c>
      <c r="AN22" s="177" t="s">
        <v>23</v>
      </c>
      <c r="AO22" s="180" t="s">
        <v>23</v>
      </c>
      <c r="AP22" s="180" t="s">
        <v>47</v>
      </c>
      <c r="AQ22" s="136" t="s">
        <v>23</v>
      </c>
      <c r="AR22" s="141"/>
      <c r="AS22" s="181"/>
      <c r="AT22" s="180" t="s">
        <v>44</v>
      </c>
      <c r="AU22" s="180" t="s">
        <v>47</v>
      </c>
      <c r="AV22" s="180" t="s">
        <v>23</v>
      </c>
      <c r="AW22" s="177" t="s">
        <v>23</v>
      </c>
      <c r="AX22" s="180" t="s">
        <v>23</v>
      </c>
      <c r="AY22" s="180" t="s">
        <v>47</v>
      </c>
      <c r="AZ22" s="182" t="s">
        <v>23</v>
      </c>
      <c r="BA22" s="221"/>
      <c r="BB22" s="202"/>
      <c r="BC22" s="231" t="s">
        <v>44</v>
      </c>
      <c r="BD22" s="180" t="s">
        <v>47</v>
      </c>
      <c r="BE22" s="180" t="s">
        <v>23</v>
      </c>
      <c r="BF22" s="177" t="s">
        <v>23</v>
      </c>
      <c r="BG22" s="180" t="s">
        <v>23</v>
      </c>
      <c r="BH22" s="180" t="s">
        <v>47</v>
      </c>
      <c r="BI22" s="182" t="s">
        <v>23</v>
      </c>
      <c r="BJ22" s="306"/>
      <c r="BK22" s="133"/>
      <c r="BL22" s="134" t="s">
        <v>143</v>
      </c>
      <c r="BM22" s="134" t="s">
        <v>143</v>
      </c>
      <c r="BN22" s="134"/>
      <c r="BO22" s="134"/>
      <c r="BP22" s="134"/>
      <c r="BQ22" s="134" t="s">
        <v>143</v>
      </c>
      <c r="BR22" s="136"/>
      <c r="BS22" s="98">
        <v>42807</v>
      </c>
      <c r="BT22" s="6" t="s">
        <v>44</v>
      </c>
      <c r="BU22" s="523">
        <v>15</v>
      </c>
    </row>
    <row r="23" spans="1:122" ht="26.25" customHeight="1">
      <c r="A23" s="514">
        <v>22</v>
      </c>
      <c r="B23" s="12">
        <v>42601</v>
      </c>
      <c r="C23" s="1" t="s">
        <v>14</v>
      </c>
      <c r="D23" s="1" t="s">
        <v>11</v>
      </c>
      <c r="E23" s="2">
        <f t="shared" ca="1" si="3"/>
        <v>33</v>
      </c>
      <c r="F23" s="1" t="s">
        <v>20</v>
      </c>
      <c r="G23" s="1">
        <v>5</v>
      </c>
      <c r="H23" s="1" t="s">
        <v>4</v>
      </c>
      <c r="I23" s="1" t="s">
        <v>5</v>
      </c>
      <c r="J23" s="211">
        <v>20233</v>
      </c>
      <c r="K23" s="1">
        <f>DATEDIF(J23,B23,"Y")</f>
        <v>61</v>
      </c>
      <c r="L23" s="17">
        <v>18.600000000000001</v>
      </c>
      <c r="M23" s="17" t="s">
        <v>75</v>
      </c>
      <c r="N23" s="1" t="s">
        <v>7</v>
      </c>
      <c r="O23" s="7" t="s">
        <v>18</v>
      </c>
      <c r="P23" s="82">
        <v>1</v>
      </c>
      <c r="Q23" s="78">
        <v>5</v>
      </c>
      <c r="R23" s="470">
        <v>1</v>
      </c>
      <c r="S23" s="68">
        <v>1</v>
      </c>
      <c r="T23" s="515">
        <v>0</v>
      </c>
      <c r="U23" s="516">
        <v>1</v>
      </c>
      <c r="V23" s="188">
        <f t="shared" si="4"/>
        <v>2</v>
      </c>
      <c r="W23" s="188">
        <f t="shared" si="5"/>
        <v>4</v>
      </c>
      <c r="X23" s="214"/>
      <c r="Y23" s="20"/>
      <c r="Z23" s="103" t="s">
        <v>47</v>
      </c>
      <c r="AA23" s="111" t="s">
        <v>47</v>
      </c>
      <c r="AB23" s="131" t="s">
        <v>47</v>
      </c>
      <c r="AC23" s="143" t="s">
        <v>144</v>
      </c>
      <c r="AD23" s="145" t="s">
        <v>44</v>
      </c>
      <c r="AE23" s="132">
        <v>197</v>
      </c>
      <c r="AF23" s="126">
        <v>51.5</v>
      </c>
      <c r="AG23" s="146">
        <v>57</v>
      </c>
      <c r="AH23" s="136">
        <v>87</v>
      </c>
      <c r="AI23" s="108">
        <v>42773</v>
      </c>
      <c r="AJ23" s="135">
        <f>DATEDIF(B23,AI23,"M")</f>
        <v>5</v>
      </c>
      <c r="AK23" s="134" t="s">
        <v>44</v>
      </c>
      <c r="AL23" s="134" t="s">
        <v>44</v>
      </c>
      <c r="AM23" s="134" t="s">
        <v>23</v>
      </c>
      <c r="AN23" s="128">
        <v>48.8</v>
      </c>
      <c r="AO23" s="134" t="s">
        <v>23</v>
      </c>
      <c r="AP23" s="134" t="s">
        <v>44</v>
      </c>
      <c r="AQ23" s="136">
        <v>78</v>
      </c>
      <c r="AR23" s="141">
        <v>42955</v>
      </c>
      <c r="AS23" s="135">
        <f>DATEDIF(B23,AR23,"M")</f>
        <v>11</v>
      </c>
      <c r="AT23" s="134" t="s">
        <v>44</v>
      </c>
      <c r="AU23" s="134" t="s">
        <v>44</v>
      </c>
      <c r="AV23" s="134" t="s">
        <v>23</v>
      </c>
      <c r="AW23" s="128">
        <v>56</v>
      </c>
      <c r="AX23" s="134" t="s">
        <v>23</v>
      </c>
      <c r="AY23" s="134" t="s">
        <v>47</v>
      </c>
      <c r="AZ23" s="136" t="s">
        <v>23</v>
      </c>
      <c r="BA23" s="144"/>
      <c r="BB23" s="202"/>
      <c r="BC23" s="231" t="s">
        <v>47</v>
      </c>
      <c r="BD23" s="134" t="s">
        <v>47</v>
      </c>
      <c r="BE23" s="134" t="s">
        <v>23</v>
      </c>
      <c r="BF23" s="128" t="s">
        <v>23</v>
      </c>
      <c r="BG23" s="134" t="s">
        <v>23</v>
      </c>
      <c r="BH23" s="134" t="s">
        <v>47</v>
      </c>
      <c r="BI23" s="136" t="s">
        <v>23</v>
      </c>
      <c r="BJ23" s="306"/>
      <c r="BK23" s="133"/>
      <c r="BL23" s="134" t="s">
        <v>44</v>
      </c>
      <c r="BM23" s="134" t="s">
        <v>144</v>
      </c>
      <c r="BN23" s="134" t="s">
        <v>23</v>
      </c>
      <c r="BO23" s="134" t="s">
        <v>23</v>
      </c>
      <c r="BP23" s="134" t="s">
        <v>23</v>
      </c>
      <c r="BQ23" s="134" t="s">
        <v>144</v>
      </c>
      <c r="BR23" s="136" t="s">
        <v>23</v>
      </c>
      <c r="BS23" s="98">
        <v>42742</v>
      </c>
      <c r="BT23" s="6" t="s">
        <v>47</v>
      </c>
      <c r="BU23" s="523"/>
    </row>
    <row r="24" spans="1:122">
      <c r="A24" s="514">
        <v>23</v>
      </c>
      <c r="B24" s="12">
        <v>42615</v>
      </c>
      <c r="C24" s="1" t="s">
        <v>14</v>
      </c>
      <c r="D24" s="1" t="s">
        <v>15</v>
      </c>
      <c r="E24" s="2">
        <f t="shared" ca="1" si="3"/>
        <v>32</v>
      </c>
      <c r="F24" s="1"/>
      <c r="G24" s="1" t="s">
        <v>25</v>
      </c>
      <c r="H24" s="1" t="s">
        <v>4</v>
      </c>
      <c r="I24" s="1" t="s">
        <v>5</v>
      </c>
      <c r="J24" s="211">
        <v>20658</v>
      </c>
      <c r="K24" s="1">
        <f>DATEDIF(J24,B24,"Y")</f>
        <v>60</v>
      </c>
      <c r="L24" s="17">
        <v>33.299999999999997</v>
      </c>
      <c r="M24" s="17" t="s">
        <v>75</v>
      </c>
      <c r="N24" s="1" t="s">
        <v>9</v>
      </c>
      <c r="O24" s="7" t="s">
        <v>19</v>
      </c>
      <c r="P24" s="82">
        <v>0</v>
      </c>
      <c r="Q24" s="78"/>
      <c r="R24" s="470">
        <v>1</v>
      </c>
      <c r="S24" s="68"/>
      <c r="T24" s="515">
        <v>0</v>
      </c>
      <c r="U24" s="516">
        <v>1</v>
      </c>
      <c r="V24" s="188">
        <f t="shared" si="4"/>
        <v>1</v>
      </c>
      <c r="W24" s="188">
        <f t="shared" si="5"/>
        <v>2</v>
      </c>
      <c r="X24" s="214"/>
      <c r="Y24" s="20"/>
      <c r="Z24" s="103" t="s">
        <v>44</v>
      </c>
      <c r="AA24" s="111" t="s">
        <v>44</v>
      </c>
      <c r="AB24" s="154" t="s">
        <v>44</v>
      </c>
      <c r="AC24" s="308" t="s">
        <v>44</v>
      </c>
      <c r="AD24" s="157" t="s">
        <v>44</v>
      </c>
      <c r="AE24" s="132">
        <v>73</v>
      </c>
      <c r="AF24" s="229" t="s">
        <v>48</v>
      </c>
      <c r="AG24" s="233" t="s">
        <v>48</v>
      </c>
      <c r="AH24" s="136">
        <v>65</v>
      </c>
      <c r="AI24" s="108">
        <v>42849</v>
      </c>
      <c r="AJ24" s="135">
        <f>DATEDIF(B24,AI24,"M")</f>
        <v>7</v>
      </c>
      <c r="AK24" s="155" t="s">
        <v>44</v>
      </c>
      <c r="AL24" s="155" t="s">
        <v>44</v>
      </c>
      <c r="AM24" s="134">
        <v>35</v>
      </c>
      <c r="AN24" s="153" t="s">
        <v>48</v>
      </c>
      <c r="AO24" s="155" t="s">
        <v>48</v>
      </c>
      <c r="AP24" s="134" t="s">
        <v>44</v>
      </c>
      <c r="AQ24" s="136">
        <v>65</v>
      </c>
      <c r="AR24" s="141">
        <v>42968</v>
      </c>
      <c r="AS24" s="135">
        <f>DATEDIF(B24,AR24,"M")</f>
        <v>11</v>
      </c>
      <c r="AT24" s="155" t="s">
        <v>44</v>
      </c>
      <c r="AU24" s="155" t="s">
        <v>47</v>
      </c>
      <c r="AV24" s="155" t="s">
        <v>23</v>
      </c>
      <c r="AW24" s="153" t="s">
        <v>48</v>
      </c>
      <c r="AX24" s="155" t="s">
        <v>48</v>
      </c>
      <c r="AY24" s="134" t="s">
        <v>44</v>
      </c>
      <c r="AZ24" s="136">
        <v>78</v>
      </c>
      <c r="BA24" s="221">
        <v>43365</v>
      </c>
      <c r="BB24" s="202">
        <f>DATEDIF(B24,BA24,"M")</f>
        <v>24</v>
      </c>
      <c r="BC24" s="231" t="s">
        <v>44</v>
      </c>
      <c r="BD24" s="155" t="s">
        <v>44</v>
      </c>
      <c r="BE24" s="134">
        <v>41</v>
      </c>
      <c r="BF24" s="153" t="s">
        <v>48</v>
      </c>
      <c r="BG24" s="155" t="s">
        <v>48</v>
      </c>
      <c r="BH24" s="155" t="s">
        <v>44</v>
      </c>
      <c r="BI24" s="136">
        <v>60</v>
      </c>
      <c r="BJ24" s="306">
        <v>43572</v>
      </c>
      <c r="BK24" s="309">
        <f>DATEDIF(B24,BJ24,"M")</f>
        <v>31</v>
      </c>
      <c r="BL24" s="310" t="s">
        <v>44</v>
      </c>
      <c r="BM24" s="310" t="s">
        <v>44</v>
      </c>
      <c r="BN24" s="310">
        <v>36</v>
      </c>
      <c r="BO24" s="310" t="s">
        <v>48</v>
      </c>
      <c r="BP24" s="310" t="s">
        <v>48</v>
      </c>
      <c r="BQ24" s="310" t="s">
        <v>44</v>
      </c>
      <c r="BR24" s="311">
        <v>60</v>
      </c>
      <c r="BS24" s="98">
        <v>43579</v>
      </c>
      <c r="BT24" s="6" t="s">
        <v>47</v>
      </c>
      <c r="BU24" s="523"/>
    </row>
    <row r="25" spans="1:122">
      <c r="A25" s="514">
        <v>24</v>
      </c>
      <c r="B25" s="12">
        <v>42788</v>
      </c>
      <c r="C25" s="1" t="s">
        <v>14</v>
      </c>
      <c r="D25" s="1" t="s">
        <v>15</v>
      </c>
      <c r="E25" s="2">
        <f t="shared" ca="1" si="3"/>
        <v>27</v>
      </c>
      <c r="F25" s="1"/>
      <c r="G25" s="216" t="s">
        <v>34</v>
      </c>
      <c r="H25" s="1" t="s">
        <v>4</v>
      </c>
      <c r="I25" s="1" t="s">
        <v>5</v>
      </c>
      <c r="J25" s="211">
        <v>21227</v>
      </c>
      <c r="K25" s="1">
        <f>DATEDIF(J25,B25,"Y")</f>
        <v>59</v>
      </c>
      <c r="L25" s="17">
        <v>25.4</v>
      </c>
      <c r="M25" s="17" t="s">
        <v>75</v>
      </c>
      <c r="N25" s="1" t="s">
        <v>9</v>
      </c>
      <c r="O25" s="7" t="s">
        <v>18</v>
      </c>
      <c r="P25" s="92">
        <v>0</v>
      </c>
      <c r="Q25" s="90"/>
      <c r="R25" s="471">
        <v>1</v>
      </c>
      <c r="S25" s="515">
        <v>0</v>
      </c>
      <c r="T25" s="515">
        <v>0</v>
      </c>
      <c r="U25" s="517">
        <v>1</v>
      </c>
      <c r="V25" s="188">
        <f t="shared" si="4"/>
        <v>1</v>
      </c>
      <c r="W25" s="188">
        <f t="shared" si="5"/>
        <v>2</v>
      </c>
      <c r="X25" s="214" t="s">
        <v>162</v>
      </c>
      <c r="Y25" s="20" t="s">
        <v>51</v>
      </c>
      <c r="Z25" s="103" t="s">
        <v>47</v>
      </c>
      <c r="AA25" s="111" t="s">
        <v>47</v>
      </c>
      <c r="AB25" s="178" t="s">
        <v>47</v>
      </c>
      <c r="AC25" s="143" t="s">
        <v>143</v>
      </c>
      <c r="AD25" s="183" t="s">
        <v>44</v>
      </c>
      <c r="AE25" s="132">
        <v>63</v>
      </c>
      <c r="AF25" s="176" t="s">
        <v>48</v>
      </c>
      <c r="AG25" s="184" t="s">
        <v>48</v>
      </c>
      <c r="AH25" s="136">
        <v>55</v>
      </c>
      <c r="AI25" s="108"/>
      <c r="AJ25" s="135"/>
      <c r="AK25" s="180" t="s">
        <v>44</v>
      </c>
      <c r="AL25" s="180" t="s">
        <v>47</v>
      </c>
      <c r="AM25" s="180" t="s">
        <v>23</v>
      </c>
      <c r="AN25" s="177" t="s">
        <v>23</v>
      </c>
      <c r="AO25" s="180" t="s">
        <v>23</v>
      </c>
      <c r="AP25" s="180" t="s">
        <v>47</v>
      </c>
      <c r="AQ25" s="182" t="s">
        <v>23</v>
      </c>
      <c r="AR25" s="141"/>
      <c r="AS25" s="181"/>
      <c r="AT25" s="180" t="s">
        <v>44</v>
      </c>
      <c r="AU25" s="180" t="s">
        <v>47</v>
      </c>
      <c r="AV25" s="180" t="s">
        <v>23</v>
      </c>
      <c r="AW25" s="177" t="s">
        <v>23</v>
      </c>
      <c r="AX25" s="180" t="s">
        <v>23</v>
      </c>
      <c r="AY25" s="180" t="s">
        <v>47</v>
      </c>
      <c r="AZ25" s="182" t="s">
        <v>23</v>
      </c>
      <c r="BA25" s="221"/>
      <c r="BB25" s="202" t="e">
        <f>DATEDIF(B25,BA25,"M")</f>
        <v>#NUM!</v>
      </c>
      <c r="BC25" s="231" t="s">
        <v>44</v>
      </c>
      <c r="BD25" s="180" t="s">
        <v>47</v>
      </c>
      <c r="BE25" s="180" t="s">
        <v>23</v>
      </c>
      <c r="BF25" s="177" t="s">
        <v>23</v>
      </c>
      <c r="BG25" s="180" t="s">
        <v>23</v>
      </c>
      <c r="BH25" s="180" t="s">
        <v>47</v>
      </c>
      <c r="BI25" s="182" t="s">
        <v>23</v>
      </c>
      <c r="BJ25" s="306"/>
      <c r="BK25" s="133"/>
      <c r="BL25" s="134" t="s">
        <v>143</v>
      </c>
      <c r="BM25" s="134" t="s">
        <v>143</v>
      </c>
      <c r="BN25" s="134"/>
      <c r="BO25" s="134"/>
      <c r="BP25" s="134"/>
      <c r="BQ25" s="134" t="s">
        <v>143</v>
      </c>
      <c r="BR25" s="136"/>
      <c r="BS25" s="98">
        <v>42807</v>
      </c>
      <c r="BT25" s="6" t="s">
        <v>44</v>
      </c>
      <c r="BU25" s="523">
        <v>2</v>
      </c>
    </row>
    <row r="26" spans="1:122">
      <c r="A26" s="514">
        <v>25</v>
      </c>
      <c r="B26" s="12">
        <v>42818</v>
      </c>
      <c r="C26" s="1" t="s">
        <v>14</v>
      </c>
      <c r="D26" s="1" t="s">
        <v>15</v>
      </c>
      <c r="E26" s="2">
        <f t="shared" ca="1" si="3"/>
        <v>26</v>
      </c>
      <c r="F26" s="1"/>
      <c r="G26" s="1" t="s">
        <v>34</v>
      </c>
      <c r="H26" s="1" t="s">
        <v>4</v>
      </c>
      <c r="I26" s="1" t="s">
        <v>5</v>
      </c>
      <c r="J26" s="211">
        <v>20115</v>
      </c>
      <c r="K26" s="1">
        <f>DATEDIF(J26,B26,"Y")</f>
        <v>62</v>
      </c>
      <c r="L26" s="17">
        <v>30.4</v>
      </c>
      <c r="M26" s="17" t="s">
        <v>75</v>
      </c>
      <c r="N26" s="1" t="s">
        <v>10</v>
      </c>
      <c r="O26" s="7" t="s">
        <v>18</v>
      </c>
      <c r="P26" s="93">
        <v>0</v>
      </c>
      <c r="Q26" s="89"/>
      <c r="R26" s="470">
        <v>2</v>
      </c>
      <c r="S26" s="68">
        <v>0</v>
      </c>
      <c r="T26" s="515">
        <v>0</v>
      </c>
      <c r="U26" s="516">
        <v>1</v>
      </c>
      <c r="V26" s="188">
        <f t="shared" si="4"/>
        <v>1</v>
      </c>
      <c r="W26" s="188">
        <f t="shared" si="5"/>
        <v>3</v>
      </c>
      <c r="X26" s="214" t="s">
        <v>162</v>
      </c>
      <c r="Y26" s="20" t="s">
        <v>49</v>
      </c>
      <c r="Z26" s="186" t="s">
        <v>47</v>
      </c>
      <c r="AA26" s="185" t="s">
        <v>47</v>
      </c>
      <c r="AB26" s="178" t="s">
        <v>47</v>
      </c>
      <c r="AC26" s="143" t="s">
        <v>143</v>
      </c>
      <c r="AD26" s="183" t="s">
        <v>44</v>
      </c>
      <c r="AE26" s="132">
        <v>50</v>
      </c>
      <c r="AF26" s="176" t="s">
        <v>48</v>
      </c>
      <c r="AG26" s="184" t="s">
        <v>48</v>
      </c>
      <c r="AH26" s="136">
        <v>40</v>
      </c>
      <c r="AI26" s="108"/>
      <c r="AJ26" s="135"/>
      <c r="AK26" s="180" t="s">
        <v>44</v>
      </c>
      <c r="AL26" s="180" t="s">
        <v>47</v>
      </c>
      <c r="AM26" s="180" t="s">
        <v>23</v>
      </c>
      <c r="AN26" s="177" t="s">
        <v>23</v>
      </c>
      <c r="AO26" s="180" t="s">
        <v>23</v>
      </c>
      <c r="AP26" s="180" t="s">
        <v>47</v>
      </c>
      <c r="AQ26" s="182" t="s">
        <v>23</v>
      </c>
      <c r="AR26" s="141"/>
      <c r="AS26" s="181"/>
      <c r="AT26" s="180" t="s">
        <v>44</v>
      </c>
      <c r="AU26" s="180" t="s">
        <v>47</v>
      </c>
      <c r="AV26" s="180" t="s">
        <v>23</v>
      </c>
      <c r="AW26" s="177" t="s">
        <v>23</v>
      </c>
      <c r="AX26" s="180" t="s">
        <v>23</v>
      </c>
      <c r="AY26" s="180" t="s">
        <v>47</v>
      </c>
      <c r="AZ26" s="182" t="s">
        <v>23</v>
      </c>
      <c r="BA26" s="221"/>
      <c r="BB26" s="202" t="e">
        <f>DATEDIF(B26,BA26,"M")</f>
        <v>#NUM!</v>
      </c>
      <c r="BC26" s="231" t="s">
        <v>44</v>
      </c>
      <c r="BD26" s="180" t="s">
        <v>47</v>
      </c>
      <c r="BE26" s="180" t="s">
        <v>23</v>
      </c>
      <c r="BF26" s="177" t="s">
        <v>23</v>
      </c>
      <c r="BG26" s="180" t="s">
        <v>23</v>
      </c>
      <c r="BH26" s="180" t="s">
        <v>47</v>
      </c>
      <c r="BI26" s="182" t="s">
        <v>23</v>
      </c>
      <c r="BJ26" s="306"/>
      <c r="BK26" s="133"/>
      <c r="BL26" s="134" t="s">
        <v>143</v>
      </c>
      <c r="BM26" s="134" t="s">
        <v>143</v>
      </c>
      <c r="BN26" s="134"/>
      <c r="BO26" s="134"/>
      <c r="BP26" s="134"/>
      <c r="BQ26" s="134" t="s">
        <v>143</v>
      </c>
      <c r="BR26" s="136"/>
      <c r="BS26" s="98">
        <v>42853</v>
      </c>
      <c r="BT26" s="6" t="s">
        <v>44</v>
      </c>
      <c r="BU26" s="523">
        <v>5</v>
      </c>
    </row>
    <row r="27" spans="1:122">
      <c r="A27" s="514">
        <v>26</v>
      </c>
      <c r="B27" s="12">
        <v>42615</v>
      </c>
      <c r="C27" s="1" t="s">
        <v>12</v>
      </c>
      <c r="D27" s="1" t="s">
        <v>15</v>
      </c>
      <c r="E27" s="2">
        <f t="shared" ca="1" si="3"/>
        <v>32</v>
      </c>
      <c r="F27" s="1"/>
      <c r="G27" s="1" t="s">
        <v>34</v>
      </c>
      <c r="H27" s="1" t="s">
        <v>4</v>
      </c>
      <c r="I27" s="1" t="s">
        <v>5</v>
      </c>
      <c r="J27" s="211">
        <v>16870</v>
      </c>
      <c r="K27" s="1">
        <f>DATEDIF(J27,B27,"Y")</f>
        <v>70</v>
      </c>
      <c r="L27" s="17">
        <v>30</v>
      </c>
      <c r="M27" s="17" t="s">
        <v>75</v>
      </c>
      <c r="N27" s="1" t="s">
        <v>9</v>
      </c>
      <c r="O27" s="7" t="s">
        <v>18</v>
      </c>
      <c r="P27" s="82">
        <v>0</v>
      </c>
      <c r="Q27" s="78"/>
      <c r="R27" s="470">
        <v>3</v>
      </c>
      <c r="S27" s="68"/>
      <c r="T27" s="515">
        <v>0</v>
      </c>
      <c r="U27" s="520">
        <v>1</v>
      </c>
      <c r="V27" s="188">
        <f t="shared" si="4"/>
        <v>1</v>
      </c>
      <c r="W27" s="188">
        <f t="shared" si="5"/>
        <v>4</v>
      </c>
      <c r="X27" s="214" t="s">
        <v>162</v>
      </c>
      <c r="Y27" s="20" t="s">
        <v>45</v>
      </c>
      <c r="Z27" s="103" t="s">
        <v>44</v>
      </c>
      <c r="AA27" s="111" t="s">
        <v>47</v>
      </c>
      <c r="AB27" s="131" t="s">
        <v>47</v>
      </c>
      <c r="AC27" s="143" t="s">
        <v>143</v>
      </c>
      <c r="AD27" s="145" t="s">
        <v>44</v>
      </c>
      <c r="AE27" s="132">
        <v>75</v>
      </c>
      <c r="AF27" s="126" t="s">
        <v>48</v>
      </c>
      <c r="AG27" s="146" t="s">
        <v>48</v>
      </c>
      <c r="AH27" s="136">
        <v>10</v>
      </c>
      <c r="AI27" s="108">
        <v>42797</v>
      </c>
      <c r="AJ27" s="135">
        <f>DATEDIF(B27,AI27,"M")</f>
        <v>6</v>
      </c>
      <c r="AK27" s="134" t="s">
        <v>44</v>
      </c>
      <c r="AL27" s="134" t="s">
        <v>47</v>
      </c>
      <c r="AM27" s="134" t="s">
        <v>23</v>
      </c>
      <c r="AN27" s="128" t="s">
        <v>23</v>
      </c>
      <c r="AO27" s="134" t="s">
        <v>23</v>
      </c>
      <c r="AP27" s="134" t="s">
        <v>44</v>
      </c>
      <c r="AQ27" s="136">
        <v>10</v>
      </c>
      <c r="AR27" s="141"/>
      <c r="AS27" s="135"/>
      <c r="AT27" s="134" t="s">
        <v>44</v>
      </c>
      <c r="AU27" s="134" t="s">
        <v>47</v>
      </c>
      <c r="AV27" s="134" t="s">
        <v>23</v>
      </c>
      <c r="AW27" s="128" t="s">
        <v>23</v>
      </c>
      <c r="AX27" s="134" t="s">
        <v>23</v>
      </c>
      <c r="AY27" s="134" t="s">
        <v>47</v>
      </c>
      <c r="AZ27" s="136" t="s">
        <v>23</v>
      </c>
      <c r="BA27" s="221"/>
      <c r="BB27" s="202" t="e">
        <f>DATEDIF(B27,BA27,"M")</f>
        <v>#NUM!</v>
      </c>
      <c r="BC27" s="231" t="s">
        <v>44</v>
      </c>
      <c r="BD27" s="134" t="s">
        <v>47</v>
      </c>
      <c r="BE27" s="134" t="s">
        <v>23</v>
      </c>
      <c r="BF27" s="128" t="s">
        <v>23</v>
      </c>
      <c r="BG27" s="134" t="s">
        <v>23</v>
      </c>
      <c r="BH27" s="134" t="s">
        <v>47</v>
      </c>
      <c r="BI27" s="136" t="s">
        <v>23</v>
      </c>
      <c r="BJ27" s="306"/>
      <c r="BK27" s="133"/>
      <c r="BL27" s="134" t="s">
        <v>143</v>
      </c>
      <c r="BM27" s="134" t="s">
        <v>143</v>
      </c>
      <c r="BN27" s="134"/>
      <c r="BO27" s="134"/>
      <c r="BP27" s="134"/>
      <c r="BQ27" s="134" t="s">
        <v>143</v>
      </c>
      <c r="BR27" s="136"/>
      <c r="BS27" s="98">
        <v>42858</v>
      </c>
      <c r="BT27" s="6" t="s">
        <v>44</v>
      </c>
      <c r="BU27" s="523">
        <v>9</v>
      </c>
    </row>
    <row r="28" spans="1:122">
      <c r="A28" s="514">
        <v>27</v>
      </c>
      <c r="B28" s="12">
        <v>42632</v>
      </c>
      <c r="C28" s="1" t="s">
        <v>14</v>
      </c>
      <c r="D28" s="1" t="s">
        <v>16</v>
      </c>
      <c r="E28" s="2">
        <f t="shared" ca="1" si="3"/>
        <v>32</v>
      </c>
      <c r="F28" s="1"/>
      <c r="G28" s="216" t="s">
        <v>48</v>
      </c>
      <c r="H28" s="1" t="s">
        <v>4</v>
      </c>
      <c r="I28" s="1" t="s">
        <v>5</v>
      </c>
      <c r="J28" s="211">
        <v>18363</v>
      </c>
      <c r="K28" s="1">
        <f>DATEDIF(J28,B28,"Y")</f>
        <v>66</v>
      </c>
      <c r="L28" s="17">
        <v>24.4</v>
      </c>
      <c r="M28" s="17" t="s">
        <v>75</v>
      </c>
      <c r="N28" s="1" t="s">
        <v>9</v>
      </c>
      <c r="O28" s="7" t="s">
        <v>19</v>
      </c>
      <c r="P28" s="82">
        <v>0</v>
      </c>
      <c r="Q28" s="78"/>
      <c r="R28" s="470">
        <v>1</v>
      </c>
      <c r="S28" s="68">
        <v>0</v>
      </c>
      <c r="T28" s="515">
        <v>0</v>
      </c>
      <c r="U28" s="516">
        <v>1</v>
      </c>
      <c r="V28" s="188">
        <f t="shared" si="4"/>
        <v>1</v>
      </c>
      <c r="W28" s="188">
        <f t="shared" si="5"/>
        <v>2</v>
      </c>
      <c r="X28" s="214"/>
      <c r="Y28" s="20"/>
      <c r="Z28" s="103" t="s">
        <v>44</v>
      </c>
      <c r="AA28" s="111" t="s">
        <v>44</v>
      </c>
      <c r="AB28" s="227" t="s">
        <v>44</v>
      </c>
      <c r="AC28" s="143" t="s">
        <v>143</v>
      </c>
      <c r="AD28" s="163" t="s">
        <v>44</v>
      </c>
      <c r="AE28" s="132">
        <v>41</v>
      </c>
      <c r="AF28" s="126">
        <v>50</v>
      </c>
      <c r="AG28" s="146">
        <v>75</v>
      </c>
      <c r="AH28" s="136">
        <v>25</v>
      </c>
      <c r="AI28" s="108">
        <v>42767</v>
      </c>
      <c r="AJ28" s="135">
        <f>DATEDIF(B28,AI28,"M")</f>
        <v>4</v>
      </c>
      <c r="AK28" s="160" t="s">
        <v>44</v>
      </c>
      <c r="AL28" s="310" t="s">
        <v>44</v>
      </c>
      <c r="AM28" s="160">
        <v>25</v>
      </c>
      <c r="AN28" s="158">
        <v>0</v>
      </c>
      <c r="AO28" s="160">
        <v>63</v>
      </c>
      <c r="AP28" s="134" t="s">
        <v>44</v>
      </c>
      <c r="AQ28" s="136">
        <v>50</v>
      </c>
      <c r="AR28" s="141">
        <v>42954</v>
      </c>
      <c r="AS28" s="135">
        <f>DATEDIF(B28,AR28,"M")</f>
        <v>10</v>
      </c>
      <c r="AT28" s="160" t="s">
        <v>44</v>
      </c>
      <c r="AU28" s="160" t="s">
        <v>44</v>
      </c>
      <c r="AV28" s="134">
        <v>11</v>
      </c>
      <c r="AW28" s="158" t="s">
        <v>23</v>
      </c>
      <c r="AX28" s="160" t="s">
        <v>23</v>
      </c>
      <c r="AY28" s="134" t="s">
        <v>44</v>
      </c>
      <c r="AZ28" s="136">
        <v>10</v>
      </c>
      <c r="BA28" s="221">
        <v>43572</v>
      </c>
      <c r="BB28" s="202">
        <f>DATEDIF(B28,BA28,"M")</f>
        <v>30</v>
      </c>
      <c r="BC28" s="231" t="s">
        <v>78</v>
      </c>
      <c r="BD28" s="224" t="s">
        <v>78</v>
      </c>
      <c r="BE28" s="160">
        <v>0</v>
      </c>
      <c r="BF28" s="158">
        <v>0</v>
      </c>
      <c r="BG28" s="160">
        <v>0</v>
      </c>
      <c r="BH28" s="224" t="s">
        <v>78</v>
      </c>
      <c r="BI28" s="162">
        <v>0</v>
      </c>
      <c r="BJ28" s="306"/>
      <c r="BK28" s="133"/>
      <c r="BL28" s="134" t="s">
        <v>143</v>
      </c>
      <c r="BM28" s="134" t="s">
        <v>143</v>
      </c>
      <c r="BN28" s="134"/>
      <c r="BO28" s="134"/>
      <c r="BP28" s="134"/>
      <c r="BQ28" s="134" t="s">
        <v>143</v>
      </c>
      <c r="BR28" s="136"/>
      <c r="BS28" s="98">
        <v>43159</v>
      </c>
      <c r="BT28" s="6" t="s">
        <v>47</v>
      </c>
      <c r="BU28" s="523"/>
    </row>
    <row r="29" spans="1:122">
      <c r="A29" s="514">
        <v>28</v>
      </c>
      <c r="B29" s="12">
        <v>42849</v>
      </c>
      <c r="C29" s="1" t="s">
        <v>14</v>
      </c>
      <c r="D29" s="1" t="s">
        <v>16</v>
      </c>
      <c r="E29" s="2">
        <f t="shared" ca="1" si="3"/>
        <v>25</v>
      </c>
      <c r="F29" s="1"/>
      <c r="G29" s="216" t="s">
        <v>48</v>
      </c>
      <c r="H29" s="1" t="s">
        <v>4</v>
      </c>
      <c r="I29" s="1" t="s">
        <v>5</v>
      </c>
      <c r="J29" s="211">
        <v>22947</v>
      </c>
      <c r="K29" s="1">
        <f>DATEDIF(J29,B29,"Y")</f>
        <v>54</v>
      </c>
      <c r="L29" s="17">
        <v>22.3</v>
      </c>
      <c r="M29" s="17" t="s">
        <v>76</v>
      </c>
      <c r="N29" s="1" t="s">
        <v>9</v>
      </c>
      <c r="O29" s="7" t="s">
        <v>18</v>
      </c>
      <c r="P29" s="95">
        <v>0</v>
      </c>
      <c r="Q29" s="95"/>
      <c r="R29" s="473">
        <v>1</v>
      </c>
      <c r="S29" s="521">
        <v>1</v>
      </c>
      <c r="T29" s="515">
        <v>0</v>
      </c>
      <c r="U29" s="518">
        <v>1</v>
      </c>
      <c r="V29" s="188">
        <f t="shared" si="4"/>
        <v>2</v>
      </c>
      <c r="W29" s="188">
        <f t="shared" si="5"/>
        <v>3</v>
      </c>
      <c r="X29" s="214"/>
      <c r="Y29" s="20"/>
      <c r="Z29" s="186" t="s">
        <v>44</v>
      </c>
      <c r="AA29" s="185" t="s">
        <v>44</v>
      </c>
      <c r="AB29" s="178" t="s">
        <v>44</v>
      </c>
      <c r="AC29" s="143" t="s">
        <v>143</v>
      </c>
      <c r="AD29" s="183" t="s">
        <v>44</v>
      </c>
      <c r="AE29" s="132">
        <v>30</v>
      </c>
      <c r="AF29" s="126">
        <v>31</v>
      </c>
      <c r="AG29" s="184">
        <v>25</v>
      </c>
      <c r="AH29" s="182" t="s">
        <v>81</v>
      </c>
      <c r="AI29" s="221">
        <v>43448</v>
      </c>
      <c r="AJ29" s="225">
        <f>DATEDIF(B29,AI29,"M")</f>
        <v>19</v>
      </c>
      <c r="AK29" s="180" t="s">
        <v>44</v>
      </c>
      <c r="AL29" s="310" t="s">
        <v>44</v>
      </c>
      <c r="AM29" s="310">
        <v>41</v>
      </c>
      <c r="AN29" s="220">
        <v>100</v>
      </c>
      <c r="AO29" s="310" t="s">
        <v>23</v>
      </c>
      <c r="AP29" s="310" t="s">
        <v>44</v>
      </c>
      <c r="AQ29" s="311">
        <v>50</v>
      </c>
      <c r="AR29" s="221">
        <v>43448</v>
      </c>
      <c r="AS29" s="225">
        <f>DATEDIF(B29,AR29,"M")</f>
        <v>19</v>
      </c>
      <c r="AT29" s="180" t="s">
        <v>44</v>
      </c>
      <c r="AU29" s="310" t="s">
        <v>44</v>
      </c>
      <c r="AV29" s="310">
        <v>41</v>
      </c>
      <c r="AW29" s="220">
        <v>100</v>
      </c>
      <c r="AX29" s="310" t="s">
        <v>23</v>
      </c>
      <c r="AY29" s="310" t="s">
        <v>44</v>
      </c>
      <c r="AZ29" s="311">
        <v>50</v>
      </c>
      <c r="BA29" s="221">
        <v>43448</v>
      </c>
      <c r="BB29" s="202">
        <f>DATEDIF(B29,BA29,"M")</f>
        <v>19</v>
      </c>
      <c r="BC29" s="231" t="s">
        <v>44</v>
      </c>
      <c r="BD29" s="310" t="s">
        <v>44</v>
      </c>
      <c r="BE29" s="310">
        <v>41</v>
      </c>
      <c r="BF29" s="177">
        <v>100</v>
      </c>
      <c r="BG29" s="180" t="s">
        <v>23</v>
      </c>
      <c r="BH29" s="180" t="s">
        <v>44</v>
      </c>
      <c r="BI29" s="136">
        <v>50</v>
      </c>
      <c r="BJ29" s="306"/>
      <c r="BK29" s="133"/>
      <c r="BL29" s="134" t="s">
        <v>143</v>
      </c>
      <c r="BM29" s="134" t="s">
        <v>143</v>
      </c>
      <c r="BN29" s="134"/>
      <c r="BO29" s="134"/>
      <c r="BP29" s="134"/>
      <c r="BQ29" s="134" t="s">
        <v>143</v>
      </c>
      <c r="BR29" s="136"/>
      <c r="BS29" s="98">
        <v>43448</v>
      </c>
      <c r="BT29" s="6" t="s">
        <v>47</v>
      </c>
      <c r="BU29" s="523"/>
    </row>
    <row r="30" spans="1:122" s="328" customFormat="1" ht="23.25">
      <c r="A30" s="514">
        <v>29</v>
      </c>
      <c r="B30" s="12">
        <v>42653</v>
      </c>
      <c r="C30" s="216" t="s">
        <v>12</v>
      </c>
      <c r="D30" s="216" t="s">
        <v>148</v>
      </c>
      <c r="E30" s="2">
        <f t="shared" ref="E30" ca="1" si="6">DATEDIF(B30,TODAY(),"M")</f>
        <v>31</v>
      </c>
      <c r="F30" s="216"/>
      <c r="G30" s="216">
        <v>0</v>
      </c>
      <c r="H30" s="216" t="s">
        <v>4</v>
      </c>
      <c r="I30" s="216" t="s">
        <v>5</v>
      </c>
      <c r="J30" s="211">
        <v>15694</v>
      </c>
      <c r="K30" s="216">
        <f>DATEDIF(J30,B30,"Y")</f>
        <v>73</v>
      </c>
      <c r="L30" s="17">
        <v>31.8</v>
      </c>
      <c r="M30" s="17" t="s">
        <v>75</v>
      </c>
      <c r="N30" s="216" t="s">
        <v>9</v>
      </c>
      <c r="O30" s="7" t="s">
        <v>31</v>
      </c>
      <c r="P30" s="97">
        <v>0</v>
      </c>
      <c r="Q30" s="215"/>
      <c r="R30" s="470">
        <v>4</v>
      </c>
      <c r="S30" s="68">
        <v>0</v>
      </c>
      <c r="T30" s="515">
        <v>0</v>
      </c>
      <c r="U30" s="520">
        <v>1</v>
      </c>
      <c r="V30" s="214">
        <f t="shared" ref="V30" si="7">S30+T30+U30</f>
        <v>1</v>
      </c>
      <c r="W30" s="214">
        <f t="shared" ref="W30" si="8">V30+R30+P30</f>
        <v>5</v>
      </c>
      <c r="X30" s="214"/>
      <c r="Y30" s="209" t="s">
        <v>62</v>
      </c>
      <c r="Z30" s="199" t="s">
        <v>23</v>
      </c>
      <c r="AA30" s="152" t="s">
        <v>23</v>
      </c>
      <c r="AB30" s="236" t="s">
        <v>23</v>
      </c>
      <c r="AC30" s="308" t="s">
        <v>143</v>
      </c>
      <c r="AD30" s="232" t="s">
        <v>44</v>
      </c>
      <c r="AE30" s="230">
        <v>75</v>
      </c>
      <c r="AF30" s="229" t="s">
        <v>23</v>
      </c>
      <c r="AG30" s="233" t="s">
        <v>23</v>
      </c>
      <c r="AH30" s="311">
        <v>50</v>
      </c>
      <c r="AI30" s="200"/>
      <c r="AJ30" s="225"/>
      <c r="AK30" s="310" t="s">
        <v>47</v>
      </c>
      <c r="AL30" s="310" t="s">
        <v>47</v>
      </c>
      <c r="AM30" s="310" t="s">
        <v>23</v>
      </c>
      <c r="AN30" s="220" t="s">
        <v>23</v>
      </c>
      <c r="AO30" s="310" t="s">
        <v>23</v>
      </c>
      <c r="AP30" s="310" t="s">
        <v>47</v>
      </c>
      <c r="AQ30" s="311" t="s">
        <v>23</v>
      </c>
      <c r="AR30" s="223"/>
      <c r="AS30" s="225"/>
      <c r="AT30" s="310" t="s">
        <v>47</v>
      </c>
      <c r="AU30" s="310" t="s">
        <v>47</v>
      </c>
      <c r="AV30" s="310" t="s">
        <v>23</v>
      </c>
      <c r="AW30" s="220" t="s">
        <v>23</v>
      </c>
      <c r="AX30" s="310" t="s">
        <v>23</v>
      </c>
      <c r="AY30" s="310" t="s">
        <v>47</v>
      </c>
      <c r="AZ30" s="311" t="s">
        <v>23</v>
      </c>
      <c r="BA30" s="221"/>
      <c r="BB30" s="202" t="e">
        <f>DATEDIF(B30,BA30,"M")</f>
        <v>#NUM!</v>
      </c>
      <c r="BC30" s="231" t="s">
        <v>47</v>
      </c>
      <c r="BD30" s="310" t="s">
        <v>47</v>
      </c>
      <c r="BE30" s="310" t="s">
        <v>23</v>
      </c>
      <c r="BF30" s="220" t="s">
        <v>23</v>
      </c>
      <c r="BG30" s="310" t="s">
        <v>23</v>
      </c>
      <c r="BH30" s="310" t="s">
        <v>47</v>
      </c>
      <c r="BI30" s="311" t="s">
        <v>23</v>
      </c>
      <c r="BJ30" s="306"/>
      <c r="BK30" s="309"/>
      <c r="BL30" s="310" t="s">
        <v>143</v>
      </c>
      <c r="BM30" s="310" t="s">
        <v>143</v>
      </c>
      <c r="BN30" s="310"/>
      <c r="BO30" s="310"/>
      <c r="BP30" s="310"/>
      <c r="BQ30" s="310" t="s">
        <v>143</v>
      </c>
      <c r="BR30" s="311"/>
      <c r="BS30" s="211"/>
      <c r="BT30" s="208" t="s">
        <v>47</v>
      </c>
      <c r="BU30" s="523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</row>
    <row r="31" spans="1:122" s="393" customFormat="1" ht="15.75" thickBot="1">
      <c r="A31" s="393">
        <v>30</v>
      </c>
      <c r="B31" s="329">
        <v>42797</v>
      </c>
      <c r="C31" s="330" t="s">
        <v>14</v>
      </c>
      <c r="D31" s="330" t="s">
        <v>148</v>
      </c>
      <c r="E31" s="330">
        <f ca="1">DATEDIF(B31,TODAY(),"M")</f>
        <v>26</v>
      </c>
      <c r="F31" s="330" t="s">
        <v>28</v>
      </c>
      <c r="G31" s="330">
        <v>1</v>
      </c>
      <c r="H31" s="330" t="s">
        <v>4</v>
      </c>
      <c r="I31" s="330" t="s">
        <v>5</v>
      </c>
      <c r="J31" s="331">
        <v>16153</v>
      </c>
      <c r="K31" s="330">
        <f>DATEDIF(J31,B31,"Y")</f>
        <v>72</v>
      </c>
      <c r="L31" s="332">
        <v>23.9</v>
      </c>
      <c r="M31" s="332" t="s">
        <v>75</v>
      </c>
      <c r="N31" s="330"/>
      <c r="O31" s="333" t="s">
        <v>18</v>
      </c>
      <c r="P31" s="334">
        <v>0</v>
      </c>
      <c r="Q31" s="335"/>
      <c r="R31" s="474">
        <v>2</v>
      </c>
      <c r="S31" s="335">
        <v>0</v>
      </c>
      <c r="T31" s="335">
        <v>0</v>
      </c>
      <c r="U31" s="381">
        <v>1</v>
      </c>
      <c r="V31" s="381">
        <f>S31+T31+U31</f>
        <v>1</v>
      </c>
      <c r="W31" s="381">
        <f>V31+R31+P31</f>
        <v>3</v>
      </c>
      <c r="X31" s="381" t="s">
        <v>165</v>
      </c>
      <c r="Y31" s="382" t="s">
        <v>159</v>
      </c>
      <c r="Z31" s="336" t="s">
        <v>47</v>
      </c>
      <c r="AA31" s="337" t="s">
        <v>47</v>
      </c>
      <c r="AB31" s="338" t="s">
        <v>47</v>
      </c>
      <c r="AC31" s="339" t="s">
        <v>47</v>
      </c>
      <c r="AD31" s="340" t="s">
        <v>44</v>
      </c>
      <c r="AE31" s="341">
        <v>41</v>
      </c>
      <c r="AF31" s="342" t="s">
        <v>23</v>
      </c>
      <c r="AG31" s="383" t="s">
        <v>23</v>
      </c>
      <c r="AH31" s="384">
        <v>25</v>
      </c>
      <c r="AI31" s="343">
        <v>43103</v>
      </c>
      <c r="AJ31" s="225">
        <f>DATEDIF(B31,AI31,"M")</f>
        <v>10</v>
      </c>
      <c r="AK31" s="385" t="s">
        <v>44</v>
      </c>
      <c r="AL31" s="385" t="s">
        <v>44</v>
      </c>
      <c r="AM31" s="385">
        <v>55</v>
      </c>
      <c r="AN31" s="386" t="s">
        <v>23</v>
      </c>
      <c r="AO31" s="385" t="s">
        <v>23</v>
      </c>
      <c r="AP31" s="385" t="s">
        <v>47</v>
      </c>
      <c r="AQ31" s="384" t="s">
        <v>23</v>
      </c>
      <c r="AR31" s="387">
        <v>43103</v>
      </c>
      <c r="AS31" s="225">
        <f>DATEDIF(B31,AR31,"M")</f>
        <v>10</v>
      </c>
      <c r="AT31" s="385" t="s">
        <v>44</v>
      </c>
      <c r="AU31" s="385" t="s">
        <v>44</v>
      </c>
      <c r="AV31" s="385">
        <v>55</v>
      </c>
      <c r="AW31" s="386" t="s">
        <v>23</v>
      </c>
      <c r="AX31" s="385" t="s">
        <v>23</v>
      </c>
      <c r="AY31" s="385" t="s">
        <v>47</v>
      </c>
      <c r="AZ31" s="384" t="s">
        <v>23</v>
      </c>
      <c r="BA31" s="388"/>
      <c r="BB31" s="344" t="e">
        <f>DATEDIF(B31,BA31,"M")</f>
        <v>#NUM!</v>
      </c>
      <c r="BC31" s="389" t="s">
        <v>44</v>
      </c>
      <c r="BD31" s="385" t="s">
        <v>47</v>
      </c>
      <c r="BE31" s="385" t="s">
        <v>23</v>
      </c>
      <c r="BF31" s="386" t="s">
        <v>23</v>
      </c>
      <c r="BG31" s="385" t="s">
        <v>23</v>
      </c>
      <c r="BH31" s="385" t="s">
        <v>47</v>
      </c>
      <c r="BI31" s="384" t="s">
        <v>23</v>
      </c>
      <c r="BJ31" s="390"/>
      <c r="BK31" s="391"/>
      <c r="BL31" s="385" t="s">
        <v>143</v>
      </c>
      <c r="BM31" s="385" t="s">
        <v>143</v>
      </c>
      <c r="BN31" s="385"/>
      <c r="BO31" s="385"/>
      <c r="BP31" s="385"/>
      <c r="BQ31" s="385" t="s">
        <v>143</v>
      </c>
      <c r="BR31" s="384"/>
      <c r="BS31" s="331">
        <v>43567</v>
      </c>
      <c r="BT31" s="392" t="s">
        <v>44</v>
      </c>
      <c r="BU31" s="526">
        <v>23</v>
      </c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</row>
    <row r="32" spans="1:122" ht="15.75" thickTop="1">
      <c r="A32"/>
      <c r="I32"/>
      <c r="J32"/>
      <c r="K32"/>
      <c r="M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J32"/>
      <c r="AM32"/>
      <c r="AN32"/>
      <c r="AO32"/>
      <c r="AQ32"/>
      <c r="AV32"/>
      <c r="BB32"/>
      <c r="BE32"/>
      <c r="BJ32"/>
    </row>
    <row r="33" spans="2:64" s="66" customFormat="1">
      <c r="B33" s="527"/>
      <c r="C33" s="528"/>
      <c r="D33" s="528"/>
      <c r="E33" s="528"/>
      <c r="F33" s="529"/>
      <c r="G33" s="530"/>
      <c r="H33" s="528"/>
      <c r="I33" s="528"/>
      <c r="J33" s="531"/>
      <c r="K33" s="529"/>
      <c r="L33" s="528"/>
      <c r="M33" s="532"/>
      <c r="N33" s="528"/>
      <c r="O33" s="528"/>
      <c r="P33" s="528"/>
      <c r="Q33" s="528"/>
      <c r="R33" s="528"/>
      <c r="S33" s="528"/>
      <c r="T33" s="528"/>
      <c r="U33" s="528"/>
      <c r="V33" s="528"/>
      <c r="W33" s="528"/>
      <c r="X33" s="533"/>
      <c r="Y33" s="534"/>
      <c r="Z33" s="197"/>
      <c r="AA33" s="197"/>
      <c r="AB33" s="197"/>
      <c r="AC33" s="197"/>
      <c r="AD33" s="197"/>
      <c r="AE33" s="532"/>
      <c r="AF33" s="534"/>
      <c r="AG33" s="197"/>
      <c r="AH33" s="197"/>
      <c r="AI33" s="197"/>
      <c r="AJ33" s="534"/>
      <c r="AK33" s="197"/>
      <c r="AM33" s="149"/>
      <c r="AN33" s="535"/>
      <c r="AO33" s="535"/>
      <c r="AQ33" s="535"/>
      <c r="AV33" s="149"/>
      <c r="BB33" s="536"/>
      <c r="BE33" s="149"/>
      <c r="BJ33" s="537"/>
    </row>
    <row r="34" spans="2:64" s="66" customFormat="1">
      <c r="B34" s="527"/>
      <c r="C34" s="528"/>
      <c r="D34" s="528"/>
      <c r="E34" s="528"/>
      <c r="F34" s="529"/>
      <c r="G34" s="530"/>
      <c r="H34" s="528"/>
      <c r="I34" s="528"/>
      <c r="J34" s="531"/>
      <c r="K34" s="529"/>
      <c r="L34" s="528"/>
      <c r="M34" s="532"/>
      <c r="N34" s="528"/>
      <c r="O34" s="528"/>
      <c r="P34" s="528"/>
      <c r="Q34" s="528"/>
      <c r="R34" s="528"/>
      <c r="S34" s="528"/>
      <c r="T34" s="528"/>
      <c r="U34" s="528"/>
      <c r="V34" s="528"/>
      <c r="W34" s="528"/>
      <c r="X34" s="533"/>
      <c r="Y34" s="534"/>
      <c r="Z34" s="197"/>
      <c r="AA34" s="197"/>
      <c r="AB34" s="197"/>
      <c r="AC34" s="197"/>
      <c r="AD34" s="197"/>
      <c r="AE34" s="532"/>
      <c r="AF34" s="534"/>
      <c r="AG34" s="197"/>
      <c r="AH34" s="197"/>
      <c r="AI34" s="197"/>
      <c r="AJ34" s="534"/>
      <c r="AK34" s="197"/>
      <c r="AM34" s="149"/>
      <c r="AN34" s="535"/>
      <c r="AO34" s="535"/>
      <c r="AQ34" s="535"/>
      <c r="AV34" s="149"/>
      <c r="BB34" s="536"/>
      <c r="BE34" s="149"/>
      <c r="BJ34" s="537"/>
    </row>
    <row r="35" spans="2:64" s="66" customFormat="1">
      <c r="B35" s="527"/>
      <c r="C35" s="528"/>
      <c r="D35" s="528"/>
      <c r="E35" s="528"/>
      <c r="F35" s="529"/>
      <c r="G35" s="530"/>
      <c r="H35" s="528"/>
      <c r="I35" s="528"/>
      <c r="J35" s="531"/>
      <c r="K35" s="529"/>
      <c r="L35" s="528"/>
      <c r="M35" s="532"/>
      <c r="N35" s="528"/>
      <c r="O35" s="528"/>
      <c r="P35" s="528"/>
      <c r="Q35" s="528"/>
      <c r="R35" s="528"/>
      <c r="S35" s="528"/>
      <c r="T35" s="528"/>
      <c r="U35" s="528"/>
      <c r="V35" s="528"/>
      <c r="W35" s="528"/>
      <c r="X35" s="533"/>
      <c r="Y35" s="534"/>
      <c r="Z35" s="197"/>
      <c r="AA35" s="197"/>
      <c r="AB35" s="197"/>
      <c r="AC35" s="197"/>
      <c r="AD35" s="197"/>
      <c r="AE35" s="532"/>
      <c r="AF35" s="534"/>
      <c r="AG35" s="197"/>
      <c r="AH35" s="197"/>
      <c r="AI35" s="197"/>
      <c r="AJ35" s="534"/>
      <c r="AK35" s="197"/>
      <c r="AM35" s="149"/>
      <c r="AN35" s="535"/>
      <c r="AO35" s="535"/>
      <c r="AQ35" s="535"/>
      <c r="AV35" s="149"/>
      <c r="BB35" s="536"/>
      <c r="BE35" s="149"/>
      <c r="BJ35" s="537"/>
    </row>
    <row r="36" spans="2:64" ht="15.75" thickBot="1">
      <c r="B36" s="234"/>
      <c r="I36"/>
      <c r="J36"/>
      <c r="K36" s="14"/>
      <c r="L36" s="212"/>
      <c r="M36" s="14"/>
      <c r="N36" s="21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06"/>
      <c r="AA36" s="234"/>
      <c r="AB36" s="234"/>
      <c r="AC36" s="148"/>
      <c r="AD36" s="234"/>
      <c r="AE36" s="234"/>
      <c r="AF36" s="234"/>
      <c r="AG36" s="234"/>
      <c r="AH36" s="110"/>
      <c r="AI36" s="234"/>
      <c r="AJ36" s="234"/>
      <c r="AK36" s="234"/>
      <c r="AL36" s="99"/>
      <c r="AM36"/>
      <c r="AN36"/>
      <c r="AO36" s="148"/>
      <c r="AP36" s="99"/>
      <c r="AQ36" s="99"/>
      <c r="AS36" s="130"/>
      <c r="AV36"/>
      <c r="AX36" s="148"/>
      <c r="BB36"/>
      <c r="BD36" s="304"/>
      <c r="BE36"/>
      <c r="BG36" s="148"/>
      <c r="BJ36"/>
      <c r="BL36" s="110"/>
    </row>
    <row r="37" spans="2:64" ht="31.5" thickTop="1" thickBot="1">
      <c r="B37" s="33" t="s">
        <v>38</v>
      </c>
      <c r="C37" s="49" t="s">
        <v>74</v>
      </c>
      <c r="D37" s="51" t="s">
        <v>156</v>
      </c>
      <c r="E37" s="50" t="s">
        <v>157</v>
      </c>
      <c r="F37" s="48" t="s">
        <v>158</v>
      </c>
      <c r="G37" s="49" t="s">
        <v>73</v>
      </c>
      <c r="H37" s="296" t="s">
        <v>72</v>
      </c>
      <c r="I37"/>
      <c r="J37" s="148"/>
      <c r="K37"/>
      <c r="M37"/>
      <c r="P37" s="304"/>
      <c r="Q37"/>
      <c r="R37"/>
      <c r="S37" s="148"/>
      <c r="T37"/>
      <c r="U37"/>
      <c r="V37"/>
      <c r="W37"/>
      <c r="Y37"/>
      <c r="Z37"/>
      <c r="AA37"/>
      <c r="AB37"/>
      <c r="AC37"/>
      <c r="AD37"/>
      <c r="AE37"/>
      <c r="AF37"/>
      <c r="AJ37"/>
      <c r="AM37"/>
      <c r="AN37"/>
      <c r="AO37"/>
      <c r="AQ37"/>
      <c r="AV37"/>
      <c r="BB37"/>
      <c r="BE37"/>
      <c r="BJ37"/>
    </row>
    <row r="38" spans="2:64" ht="15.75" thickTop="1">
      <c r="B38" s="42" t="s">
        <v>29</v>
      </c>
      <c r="C38" s="507">
        <f>COUNTIFS(D2:D31,"knee")</f>
        <v>22</v>
      </c>
      <c r="D38" s="52">
        <f>AVERAGEIFS(K2:K31,D2:D31,"knee")</f>
        <v>68.454545454545453</v>
      </c>
      <c r="E38" s="52"/>
      <c r="F38" s="313"/>
      <c r="G38" s="320">
        <f>COUNTIFS(M2:M31,"M",D2:D31,"knee")</f>
        <v>7</v>
      </c>
      <c r="H38" s="297">
        <f>COUNTIFS(M2:M31,"F",D2:D31,"knee")</f>
        <v>15</v>
      </c>
      <c r="I38"/>
      <c r="J38" s="148"/>
      <c r="K38"/>
      <c r="M38"/>
      <c r="P38" s="304"/>
      <c r="Q38"/>
      <c r="R38"/>
      <c r="S38" s="148"/>
      <c r="T38"/>
      <c r="U38"/>
      <c r="V38"/>
      <c r="W38"/>
      <c r="Y38"/>
      <c r="Z38"/>
      <c r="AA38"/>
      <c r="AB38"/>
      <c r="AC38"/>
      <c r="AD38"/>
      <c r="AE38"/>
      <c r="AF38"/>
      <c r="AJ38"/>
      <c r="AM38"/>
      <c r="AN38"/>
      <c r="AO38"/>
      <c r="AQ38"/>
      <c r="AV38"/>
      <c r="BB38"/>
      <c r="BE38"/>
      <c r="BJ38"/>
    </row>
    <row r="39" spans="2:64">
      <c r="B39" s="43" t="s">
        <v>26</v>
      </c>
      <c r="C39" s="312">
        <f>COUNTIFS(D2:D31,"knee",F2:F31,"pf")</f>
        <v>4</v>
      </c>
      <c r="D39" s="53">
        <f>AVERAGEIFS(K2:K31,F2:F31,"pf",D2:D31,"knee")</f>
        <v>65.75</v>
      </c>
      <c r="E39" s="53"/>
      <c r="F39" s="314"/>
      <c r="G39" s="319">
        <f>COUNTIFS(M2:M31,"M",F2:F31,"pf")</f>
        <v>1</v>
      </c>
      <c r="H39" s="60">
        <f>COUNTIFS(M2:M31,"F",F2:F31,"pf")</f>
        <v>3</v>
      </c>
      <c r="I39"/>
      <c r="J39" s="148"/>
      <c r="K39"/>
      <c r="M39"/>
      <c r="P39" s="304"/>
      <c r="Q39"/>
      <c r="R39"/>
      <c r="S39" s="148"/>
      <c r="T39"/>
      <c r="U39"/>
      <c r="V39"/>
      <c r="W39"/>
      <c r="Y39"/>
      <c r="Z39"/>
      <c r="AA39"/>
      <c r="AB39"/>
      <c r="AC39"/>
      <c r="AD39"/>
      <c r="AE39"/>
      <c r="AF39"/>
      <c r="AJ39"/>
      <c r="AM39"/>
      <c r="AN39"/>
      <c r="AO39"/>
      <c r="AQ39"/>
      <c r="AV39"/>
      <c r="BB39"/>
      <c r="BE39"/>
      <c r="BJ39"/>
    </row>
    <row r="40" spans="2:64">
      <c r="B40" s="44" t="s">
        <v>17</v>
      </c>
      <c r="C40" s="508">
        <f>COUNTIFS(D2:D31,"knee",F2:F31,"med")</f>
        <v>16</v>
      </c>
      <c r="D40" s="54">
        <f>AVERAGEIFS(K2:K31,F2:F31,"med",D2:D31,"knee")</f>
        <v>69.1875</v>
      </c>
      <c r="E40" s="54"/>
      <c r="F40" s="315"/>
      <c r="G40" s="321">
        <f>COUNTIFS(M2:M31,"M",F2:F31,"med")</f>
        <v>5</v>
      </c>
      <c r="H40" s="298">
        <f>COUNTIFS(M2:M31,"F",F2:F31,"med")</f>
        <v>11</v>
      </c>
      <c r="I40"/>
      <c r="J40" s="148"/>
      <c r="K40"/>
      <c r="M40"/>
      <c r="P40" s="304"/>
      <c r="Q40"/>
      <c r="R40"/>
      <c r="S40" s="148"/>
      <c r="T40"/>
      <c r="U40"/>
      <c r="V40"/>
      <c r="W40"/>
      <c r="Y40"/>
      <c r="Z40"/>
      <c r="AA40"/>
      <c r="AB40"/>
      <c r="AC40"/>
      <c r="AD40"/>
      <c r="AE40"/>
      <c r="AF40"/>
      <c r="AJ40"/>
      <c r="AM40"/>
      <c r="AN40"/>
      <c r="AO40"/>
      <c r="AQ40"/>
      <c r="AV40"/>
      <c r="BB40"/>
      <c r="BE40"/>
      <c r="BJ40"/>
    </row>
    <row r="41" spans="2:64">
      <c r="B41" s="43" t="s">
        <v>30</v>
      </c>
      <c r="C41" s="312">
        <f>COUNTIFS(D2:D31,"knee",F2:F31,"lat")</f>
        <v>2</v>
      </c>
      <c r="D41" s="53">
        <f>AVERAGEIFS(K2:K31,F2:F31,"lat",D2:D31,"knee")</f>
        <v>68</v>
      </c>
      <c r="E41" s="53"/>
      <c r="F41" s="314"/>
      <c r="G41" s="319">
        <f>COUNTIFS(M2:M31,"M",F2:F31,"lat")</f>
        <v>1</v>
      </c>
      <c r="H41" s="60">
        <f>COUNTIFS(M2:M31,"F",F2:F31,"lat")</f>
        <v>1</v>
      </c>
      <c r="I41"/>
      <c r="J41" s="148"/>
      <c r="K41"/>
      <c r="M41"/>
      <c r="P41" s="304"/>
      <c r="Q41"/>
      <c r="R41"/>
      <c r="S41" s="148"/>
      <c r="T41"/>
      <c r="U41"/>
      <c r="V41"/>
      <c r="W41"/>
      <c r="Y41"/>
      <c r="Z41"/>
      <c r="AA41"/>
      <c r="AB41"/>
      <c r="AC41"/>
      <c r="AD41"/>
      <c r="AE41"/>
      <c r="AF41"/>
      <c r="AJ41"/>
      <c r="AM41"/>
      <c r="AN41"/>
      <c r="AO41"/>
      <c r="AQ41"/>
      <c r="AV41"/>
      <c r="BB41"/>
      <c r="BE41"/>
      <c r="BJ41"/>
    </row>
    <row r="42" spans="2:64">
      <c r="B42" s="45" t="s">
        <v>32</v>
      </c>
      <c r="C42" s="509">
        <f>COUNTIFS(D2:D31,"hip")</f>
        <v>4</v>
      </c>
      <c r="D42" s="56">
        <f>AVERAGEIFS(K2:K31,D2:D31,"hip")</f>
        <v>62.75</v>
      </c>
      <c r="E42" s="56"/>
      <c r="F42" s="316"/>
      <c r="G42" s="322">
        <f>COUNTIFS(M2:M31,"M",D2:D31,"hip")</f>
        <v>4</v>
      </c>
      <c r="H42" s="299">
        <f>COUNTIFS(M2:M31,"F",D2:D31,"hip")</f>
        <v>0</v>
      </c>
      <c r="I42" s="61"/>
      <c r="J42" s="148"/>
      <c r="K42" s="61"/>
      <c r="L42" s="61"/>
      <c r="M42" s="61"/>
      <c r="N42" s="61"/>
      <c r="O42" s="61"/>
      <c r="P42" s="304"/>
      <c r="Q42"/>
      <c r="R42"/>
      <c r="S42" s="148"/>
      <c r="T42"/>
      <c r="U42"/>
      <c r="V42"/>
      <c r="W42"/>
      <c r="Y42"/>
      <c r="Z42"/>
      <c r="AA42"/>
      <c r="AB42"/>
      <c r="AC42"/>
      <c r="AD42"/>
      <c r="AE42"/>
      <c r="AF42"/>
      <c r="AJ42"/>
      <c r="AM42"/>
      <c r="AN42"/>
      <c r="AO42"/>
      <c r="AQ42"/>
      <c r="AV42"/>
      <c r="BB42"/>
      <c r="BE42"/>
      <c r="BJ42"/>
    </row>
    <row r="43" spans="2:64">
      <c r="B43" s="43" t="s">
        <v>33</v>
      </c>
      <c r="C43" s="312">
        <f>COUNTIFS(G2:G31,"t1")</f>
        <v>0</v>
      </c>
      <c r="D43" s="324" t="s">
        <v>48</v>
      </c>
      <c r="E43" s="53"/>
      <c r="F43" s="314"/>
      <c r="G43" s="319">
        <f>COUNTIFS(M2:M31,"M",G2:G31,"T1")</f>
        <v>0</v>
      </c>
      <c r="H43" s="60">
        <f>COUNTIFS(M2:M31,"F",G2:G31,"T1")</f>
        <v>0</v>
      </c>
      <c r="I43" s="61"/>
      <c r="J43" s="148"/>
      <c r="K43" s="61"/>
      <c r="L43" s="61"/>
      <c r="M43" s="61"/>
      <c r="N43" s="61"/>
      <c r="O43" s="61"/>
      <c r="P43" s="304"/>
      <c r="Q43"/>
      <c r="R43"/>
      <c r="S43" s="148"/>
      <c r="T43"/>
      <c r="U43"/>
      <c r="V43"/>
      <c r="W43"/>
      <c r="Y43"/>
      <c r="Z43"/>
      <c r="AA43"/>
      <c r="AB43"/>
      <c r="AC43"/>
      <c r="AD43"/>
      <c r="AE43"/>
      <c r="AF43"/>
      <c r="AJ43"/>
      <c r="AM43"/>
      <c r="AN43"/>
      <c r="AO43"/>
      <c r="AQ43"/>
      <c r="AV43"/>
      <c r="BB43"/>
      <c r="BE43"/>
      <c r="BJ43"/>
    </row>
    <row r="44" spans="2:64">
      <c r="B44" s="44" t="s">
        <v>25</v>
      </c>
      <c r="C44" s="508">
        <f>COUNTIFS(G2:G31,"t2")</f>
        <v>1</v>
      </c>
      <c r="D44" s="54">
        <f>AVERAGEIFS(K2:K31,G2:G31,"t2")</f>
        <v>60</v>
      </c>
      <c r="E44" s="54"/>
      <c r="F44" s="315"/>
      <c r="G44" s="321">
        <f>COUNTIFS(M2:M31,"M",G2:G31,"T2")</f>
        <v>1</v>
      </c>
      <c r="H44" s="298">
        <f>COUNTIFS(M2:M31,"F",G2:G31,"T2")</f>
        <v>0</v>
      </c>
      <c r="I44"/>
      <c r="J44" s="148"/>
      <c r="K44"/>
      <c r="M44"/>
      <c r="P44" s="304"/>
      <c r="Q44"/>
      <c r="R44"/>
      <c r="S44" s="148"/>
      <c r="T44"/>
      <c r="U44"/>
      <c r="V44"/>
      <c r="W44"/>
      <c r="Y44"/>
      <c r="Z44"/>
      <c r="AA44"/>
      <c r="AB44"/>
      <c r="AC44"/>
      <c r="AD44"/>
      <c r="AE44"/>
      <c r="AF44"/>
      <c r="AJ44"/>
      <c r="AM44"/>
      <c r="AN44"/>
      <c r="AO44"/>
      <c r="AQ44"/>
      <c r="AV44"/>
      <c r="BB44"/>
      <c r="BE44"/>
      <c r="BJ44"/>
    </row>
    <row r="45" spans="2:64">
      <c r="B45" s="43" t="s">
        <v>34</v>
      </c>
      <c r="C45" s="312">
        <f>COUNTIFS(G2:G31,"t3")</f>
        <v>3</v>
      </c>
      <c r="D45" s="53">
        <f>AVERAGEIFS(K2:K31,G2:G31,"t3")</f>
        <v>63.666666666666664</v>
      </c>
      <c r="E45" s="53"/>
      <c r="F45" s="314"/>
      <c r="G45" s="319">
        <f>COUNTIFS(M2:M31,"M",G2:G31,"T3")</f>
        <v>3</v>
      </c>
      <c r="H45" s="60">
        <f>COUNTIFS(M2:M31,"F",G2:G31,"T3")</f>
        <v>0</v>
      </c>
      <c r="I45"/>
      <c r="J45" s="148"/>
      <c r="K45"/>
      <c r="M45"/>
      <c r="P45" s="304"/>
      <c r="Q45"/>
      <c r="R45"/>
      <c r="S45" s="148"/>
      <c r="T45"/>
      <c r="U45"/>
      <c r="V45"/>
      <c r="W45"/>
      <c r="Y45"/>
      <c r="Z45"/>
      <c r="AA45"/>
      <c r="AB45"/>
      <c r="AC45"/>
      <c r="AD45"/>
      <c r="AE45"/>
      <c r="AF45"/>
      <c r="AJ45"/>
      <c r="AM45"/>
      <c r="AN45"/>
      <c r="AO45"/>
      <c r="AQ45"/>
      <c r="AV45"/>
      <c r="BB45"/>
      <c r="BE45"/>
      <c r="BJ45"/>
    </row>
    <row r="46" spans="2:64">
      <c r="B46" s="45" t="s">
        <v>35</v>
      </c>
      <c r="C46" s="509">
        <f>COUNTIFS(D2:D31,"sh")</f>
        <v>2</v>
      </c>
      <c r="D46" s="56">
        <f>AVERAGEIFS(K2:K31,D2:D31,"sh")</f>
        <v>72.5</v>
      </c>
      <c r="E46" s="56"/>
      <c r="F46" s="316"/>
      <c r="G46" s="322">
        <f>COUNTIFS(M2:M31,"M",D2:D31,"sh")</f>
        <v>2</v>
      </c>
      <c r="H46" s="299">
        <f>COUNTIFS(M2:M31,"F",D2:D31,"sh")</f>
        <v>0</v>
      </c>
      <c r="I46"/>
      <c r="J46" s="148"/>
      <c r="K46"/>
      <c r="M46"/>
      <c r="P46" s="304"/>
      <c r="Q46"/>
      <c r="R46"/>
      <c r="S46" s="148"/>
      <c r="T46"/>
      <c r="U46"/>
      <c r="V46"/>
      <c r="W46"/>
      <c r="Y46"/>
      <c r="Z46"/>
      <c r="AA46"/>
      <c r="AB46"/>
      <c r="AC46"/>
      <c r="AD46"/>
      <c r="AE46"/>
      <c r="AF46"/>
      <c r="AJ46"/>
      <c r="AM46"/>
      <c r="AN46"/>
      <c r="AO46"/>
      <c r="AQ46"/>
      <c r="AV46"/>
      <c r="BB46"/>
      <c r="BE46"/>
      <c r="BJ46"/>
    </row>
    <row r="47" spans="2:64">
      <c r="B47" s="46" t="s">
        <v>36</v>
      </c>
      <c r="C47" s="510">
        <f>COUNTIFS(D2:D31,"thumb")</f>
        <v>2</v>
      </c>
      <c r="D47" s="59">
        <f>AVERAGEIFS(K2:K31,D2:D31,"thumb")</f>
        <v>60</v>
      </c>
      <c r="E47" s="59"/>
      <c r="F47" s="317"/>
      <c r="G47" s="323">
        <f>COUNTIFS(M2:M31,"M",D2:D31,"thumb")</f>
        <v>1</v>
      </c>
      <c r="H47" s="300">
        <f>COUNTIFS(M2:M31,"F",D2:D31,"thumb")</f>
        <v>1</v>
      </c>
      <c r="I47"/>
      <c r="J47" s="148"/>
      <c r="K47"/>
      <c r="M47"/>
      <c r="P47" s="304"/>
      <c r="Q47"/>
      <c r="R47"/>
      <c r="S47" s="148"/>
      <c r="T47"/>
      <c r="U47"/>
      <c r="V47"/>
      <c r="W47"/>
      <c r="Y47"/>
      <c r="Z47"/>
      <c r="AA47"/>
      <c r="AB47"/>
      <c r="AC47"/>
      <c r="AD47"/>
      <c r="AE47"/>
      <c r="AF47"/>
      <c r="AJ47"/>
      <c r="AM47"/>
      <c r="AN47"/>
      <c r="AO47"/>
      <c r="AQ47"/>
      <c r="AV47"/>
      <c r="BB47"/>
      <c r="BE47"/>
      <c r="BJ47"/>
    </row>
    <row r="48" spans="2:64">
      <c r="B48" s="43" t="s">
        <v>37</v>
      </c>
      <c r="C48" s="312">
        <f>COUNT(K2:K31)</f>
        <v>30</v>
      </c>
      <c r="D48" s="53">
        <f>AVERAGE(K2:K31)</f>
        <v>67.400000000000006</v>
      </c>
      <c r="E48" s="53">
        <f>LARGE(K2:K31,1)</f>
        <v>88</v>
      </c>
      <c r="F48" s="314">
        <f>SMALL(K2:K31,1)</f>
        <v>54</v>
      </c>
      <c r="G48" s="319">
        <f>COUNTIF(M2:M31,"M")</f>
        <v>14</v>
      </c>
      <c r="H48" s="60">
        <f>COUNTIF(M2:M31,"F")</f>
        <v>16</v>
      </c>
      <c r="I48"/>
      <c r="J48" s="148"/>
      <c r="K48"/>
      <c r="M48"/>
      <c r="P48" s="304"/>
      <c r="Q48"/>
      <c r="R48"/>
      <c r="S48" s="148"/>
      <c r="T48"/>
      <c r="U48"/>
      <c r="V48"/>
      <c r="W48"/>
      <c r="Y48"/>
      <c r="Z48"/>
      <c r="AA48"/>
      <c r="AB48"/>
      <c r="AC48"/>
      <c r="AD48"/>
      <c r="AE48"/>
      <c r="AF48"/>
      <c r="AJ48"/>
      <c r="AM48"/>
      <c r="AN48"/>
      <c r="AO48"/>
      <c r="AQ48"/>
      <c r="AV48"/>
      <c r="BB48"/>
      <c r="BE48"/>
      <c r="BJ48"/>
    </row>
    <row r="49" spans="2:109">
      <c r="D49" s="23"/>
      <c r="E49" s="23"/>
      <c r="F49" s="23"/>
      <c r="G49" s="23"/>
      <c r="I49"/>
      <c r="J49"/>
      <c r="L49" s="213"/>
      <c r="M49" s="13"/>
      <c r="O49" s="19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06"/>
      <c r="AA49" s="73"/>
      <c r="AD49" s="14"/>
      <c r="AE49" s="14"/>
      <c r="AF49" s="14"/>
      <c r="AG49" s="62"/>
      <c r="AH49" s="73"/>
      <c r="AJ49"/>
      <c r="AL49" s="99"/>
      <c r="AM49"/>
      <c r="AN49"/>
      <c r="AO49" s="148"/>
      <c r="AP49" s="99"/>
      <c r="AQ49" s="99"/>
      <c r="AS49" s="130"/>
      <c r="AV49"/>
      <c r="AX49" s="148"/>
      <c r="BB49"/>
      <c r="BD49" s="304"/>
      <c r="BE49"/>
      <c r="BG49" s="148"/>
      <c r="BJ49"/>
      <c r="BL49" s="110"/>
    </row>
    <row r="50" spans="2:109" ht="15" customHeight="1">
      <c r="H50" s="9"/>
      <c r="I50"/>
      <c r="J50"/>
      <c r="L50" s="213"/>
      <c r="M50" s="13"/>
      <c r="O50" s="19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06"/>
      <c r="AA50" s="73"/>
      <c r="AD50" s="14"/>
      <c r="AE50" s="14"/>
      <c r="AF50" s="14"/>
      <c r="AG50" s="62"/>
      <c r="AH50" s="73"/>
      <c r="AJ50"/>
      <c r="AL50" s="99"/>
      <c r="AM50"/>
      <c r="AN50"/>
      <c r="AO50" s="148"/>
      <c r="AP50" s="99"/>
      <c r="AQ50" s="99"/>
      <c r="AS50" s="130"/>
      <c r="AV50"/>
      <c r="AX50" s="148"/>
      <c r="BB50"/>
      <c r="BD50" s="304"/>
      <c r="BE50"/>
      <c r="BG50" s="148"/>
      <c r="BJ50"/>
      <c r="BL50" s="110"/>
      <c r="BM50" s="234"/>
      <c r="BN50" s="234"/>
      <c r="BO50" s="148"/>
      <c r="BP50" s="234"/>
      <c r="BQ50" s="234"/>
      <c r="BR50" s="234"/>
      <c r="BS50" s="234"/>
      <c r="BT50" s="110"/>
    </row>
    <row r="51" spans="2:109" ht="15" customHeight="1">
      <c r="B51" s="237"/>
      <c r="I51"/>
      <c r="J51"/>
      <c r="L51" s="213"/>
      <c r="M51" s="13"/>
      <c r="O51" s="19"/>
      <c r="Q51"/>
      <c r="R51" s="14"/>
      <c r="S51" s="14"/>
      <c r="T51" s="14"/>
      <c r="U51" s="14"/>
      <c r="V51" s="14"/>
      <c r="W51" s="14"/>
      <c r="X51" s="14"/>
      <c r="Y51" s="14"/>
      <c r="Z51" s="502" t="s">
        <v>167</v>
      </c>
      <c r="AA51" s="503"/>
      <c r="AB51" s="503"/>
      <c r="AC51" s="503"/>
      <c r="AD51" s="503"/>
      <c r="AE51" s="503"/>
      <c r="AF51" s="503"/>
      <c r="AG51" s="503"/>
      <c r="AH51" s="504"/>
      <c r="AI51" s="504"/>
      <c r="AJ51" s="504"/>
      <c r="AK51" s="505"/>
      <c r="AL51" s="502" t="s">
        <v>176</v>
      </c>
      <c r="AM51" s="506"/>
      <c r="AN51" s="506"/>
      <c r="AO51" s="506"/>
      <c r="AP51" s="506"/>
      <c r="AQ51" s="506"/>
      <c r="AR51" s="506"/>
      <c r="AS51" s="506"/>
      <c r="AT51" s="504"/>
      <c r="AU51" s="504"/>
      <c r="AV51" s="504"/>
      <c r="AW51" s="505"/>
      <c r="AX51" s="502" t="s">
        <v>177</v>
      </c>
      <c r="AY51" s="503"/>
      <c r="AZ51" s="503"/>
      <c r="BA51" s="503"/>
      <c r="BB51" s="503"/>
      <c r="BC51" s="503"/>
      <c r="BD51" s="503"/>
      <c r="BE51" s="503"/>
      <c r="BF51" s="504"/>
      <c r="BG51" s="504"/>
      <c r="BH51" s="504"/>
      <c r="BI51" s="505"/>
      <c r="BJ51" s="502" t="s">
        <v>178</v>
      </c>
      <c r="BK51" s="503"/>
      <c r="BL51" s="503"/>
      <c r="BM51" s="503"/>
      <c r="BN51" s="503"/>
      <c r="BO51" s="503"/>
      <c r="BP51" s="503"/>
      <c r="BQ51" s="503"/>
      <c r="BR51" s="504"/>
      <c r="BS51" s="504"/>
      <c r="BT51" s="504"/>
      <c r="BU51" s="505"/>
      <c r="BV51" s="502" t="s">
        <v>179</v>
      </c>
      <c r="BW51" s="503"/>
      <c r="BX51" s="503"/>
      <c r="BY51" s="503"/>
      <c r="BZ51" s="503"/>
      <c r="CA51" s="503"/>
      <c r="CB51" s="503"/>
      <c r="CC51" s="503"/>
      <c r="CD51" s="504"/>
      <c r="CE51" s="504"/>
      <c r="CF51" s="504"/>
      <c r="CG51" s="505"/>
      <c r="CH51" s="502" t="s">
        <v>181</v>
      </c>
      <c r="CI51" s="503"/>
      <c r="CJ51" s="503"/>
      <c r="CK51" s="503"/>
      <c r="CL51" s="503"/>
      <c r="CM51" s="503"/>
      <c r="CN51" s="503"/>
      <c r="CO51" s="503"/>
      <c r="CP51" s="504"/>
      <c r="CQ51" s="504"/>
      <c r="CR51" s="504"/>
      <c r="CS51" s="505"/>
      <c r="CT51" s="502" t="s">
        <v>180</v>
      </c>
      <c r="CU51" s="503"/>
      <c r="CV51" s="503"/>
      <c r="CW51" s="503"/>
      <c r="CX51" s="503"/>
      <c r="CY51" s="503"/>
      <c r="CZ51" s="503"/>
      <c r="DA51" s="503"/>
      <c r="DB51" s="504"/>
      <c r="DC51" s="504"/>
      <c r="DD51" s="504"/>
      <c r="DE51" s="504"/>
    </row>
    <row r="52" spans="2:109" ht="60.75" thickBot="1">
      <c r="B52" s="28" t="s">
        <v>38</v>
      </c>
      <c r="C52" s="219" t="s">
        <v>39</v>
      </c>
      <c r="D52" s="359" t="s">
        <v>83</v>
      </c>
      <c r="E52" s="32" t="s">
        <v>55</v>
      </c>
      <c r="F52" s="28" t="s">
        <v>57</v>
      </c>
      <c r="G52" s="28" t="s">
        <v>61</v>
      </c>
      <c r="H52" s="28" t="s">
        <v>59</v>
      </c>
      <c r="I52" s="218" t="s">
        <v>149</v>
      </c>
      <c r="J52" s="33" t="s">
        <v>151</v>
      </c>
      <c r="K52" s="32" t="s">
        <v>84</v>
      </c>
      <c r="L52" s="32" t="s">
        <v>56</v>
      </c>
      <c r="M52" s="28" t="s">
        <v>58</v>
      </c>
      <c r="N52" s="196" t="s">
        <v>60</v>
      </c>
      <c r="O52" s="219" t="s">
        <v>59</v>
      </c>
      <c r="P52" s="228" t="s">
        <v>150</v>
      </c>
      <c r="Q52" s="33" t="s">
        <v>151</v>
      </c>
      <c r="R52" s="32" t="s">
        <v>152</v>
      </c>
      <c r="S52" s="32" t="s">
        <v>153</v>
      </c>
      <c r="T52" s="28" t="s">
        <v>154</v>
      </c>
      <c r="U52" s="196" t="s">
        <v>155</v>
      </c>
      <c r="V52" s="219" t="s">
        <v>59</v>
      </c>
      <c r="W52" s="196" t="s">
        <v>150</v>
      </c>
      <c r="X52" s="33" t="s">
        <v>151</v>
      </c>
      <c r="Y52" s="366"/>
      <c r="Z52" s="359" t="s">
        <v>168</v>
      </c>
      <c r="AA52" s="219" t="s">
        <v>169</v>
      </c>
      <c r="AB52" s="372" t="s">
        <v>186</v>
      </c>
      <c r="AC52" s="355" t="s">
        <v>170</v>
      </c>
      <c r="AD52" s="219" t="s">
        <v>171</v>
      </c>
      <c r="AE52" s="372" t="s">
        <v>186</v>
      </c>
      <c r="AF52" s="32" t="s">
        <v>172</v>
      </c>
      <c r="AG52" s="219" t="s">
        <v>173</v>
      </c>
      <c r="AH52" s="372" t="s">
        <v>186</v>
      </c>
      <c r="AI52" s="355" t="s">
        <v>174</v>
      </c>
      <c r="AJ52" s="219" t="s">
        <v>175</v>
      </c>
      <c r="AK52" s="33" t="s">
        <v>186</v>
      </c>
      <c r="AL52" s="359" t="s">
        <v>168</v>
      </c>
      <c r="AM52" s="219" t="s">
        <v>169</v>
      </c>
      <c r="AN52" s="372" t="s">
        <v>186</v>
      </c>
      <c r="AO52" s="355" t="s">
        <v>170</v>
      </c>
      <c r="AP52" s="219" t="s">
        <v>171</v>
      </c>
      <c r="AQ52" s="372" t="s">
        <v>186</v>
      </c>
      <c r="AR52" s="32" t="s">
        <v>172</v>
      </c>
      <c r="AS52" s="219" t="s">
        <v>173</v>
      </c>
      <c r="AT52" s="372" t="s">
        <v>186</v>
      </c>
      <c r="AU52" s="355" t="s">
        <v>174</v>
      </c>
      <c r="AV52" s="219" t="s">
        <v>175</v>
      </c>
      <c r="AW52" s="33" t="s">
        <v>186</v>
      </c>
      <c r="AX52" s="359" t="s">
        <v>168</v>
      </c>
      <c r="AY52" s="219" t="s">
        <v>169</v>
      </c>
      <c r="AZ52" s="372" t="s">
        <v>186</v>
      </c>
      <c r="BA52" s="355" t="s">
        <v>170</v>
      </c>
      <c r="BB52" s="219" t="s">
        <v>171</v>
      </c>
      <c r="BC52" s="372" t="s">
        <v>186</v>
      </c>
      <c r="BD52" s="32" t="s">
        <v>172</v>
      </c>
      <c r="BE52" s="219" t="s">
        <v>173</v>
      </c>
      <c r="BF52" s="372" t="s">
        <v>186</v>
      </c>
      <c r="BG52" s="355" t="s">
        <v>174</v>
      </c>
      <c r="BH52" s="219" t="s">
        <v>175</v>
      </c>
      <c r="BI52" s="33" t="s">
        <v>186</v>
      </c>
      <c r="BJ52" s="359" t="s">
        <v>168</v>
      </c>
      <c r="BK52" s="219" t="s">
        <v>169</v>
      </c>
      <c r="BL52" s="372" t="s">
        <v>186</v>
      </c>
      <c r="BM52" s="355" t="s">
        <v>170</v>
      </c>
      <c r="BN52" s="219" t="s">
        <v>171</v>
      </c>
      <c r="BO52" s="372" t="s">
        <v>186</v>
      </c>
      <c r="BP52" s="32" t="s">
        <v>172</v>
      </c>
      <c r="BQ52" s="219" t="s">
        <v>173</v>
      </c>
      <c r="BR52" s="372" t="s">
        <v>186</v>
      </c>
      <c r="BS52" s="32" t="s">
        <v>174</v>
      </c>
      <c r="BT52" s="219" t="s">
        <v>175</v>
      </c>
      <c r="BU52" s="33" t="s">
        <v>186</v>
      </c>
      <c r="BV52" s="359" t="s">
        <v>168</v>
      </c>
      <c r="BW52" s="219" t="s">
        <v>169</v>
      </c>
      <c r="BX52" s="372" t="s">
        <v>186</v>
      </c>
      <c r="BY52" s="355" t="s">
        <v>170</v>
      </c>
      <c r="BZ52" s="219" t="s">
        <v>171</v>
      </c>
      <c r="CA52" s="372" t="s">
        <v>186</v>
      </c>
      <c r="CB52" s="32" t="s">
        <v>172</v>
      </c>
      <c r="CC52" s="219" t="s">
        <v>173</v>
      </c>
      <c r="CD52" s="372" t="s">
        <v>186</v>
      </c>
      <c r="CE52" s="355" t="s">
        <v>174</v>
      </c>
      <c r="CF52" s="219" t="s">
        <v>175</v>
      </c>
      <c r="CG52" s="372" t="s">
        <v>186</v>
      </c>
      <c r="CH52" s="359" t="s">
        <v>168</v>
      </c>
      <c r="CI52" s="219" t="s">
        <v>169</v>
      </c>
      <c r="CJ52" s="372" t="s">
        <v>186</v>
      </c>
      <c r="CK52" s="355" t="s">
        <v>170</v>
      </c>
      <c r="CL52" s="219" t="s">
        <v>171</v>
      </c>
      <c r="CM52" s="372" t="s">
        <v>186</v>
      </c>
      <c r="CN52" s="32" t="s">
        <v>172</v>
      </c>
      <c r="CO52" s="219" t="s">
        <v>173</v>
      </c>
      <c r="CP52" s="372" t="s">
        <v>186</v>
      </c>
      <c r="CQ52" s="355" t="s">
        <v>174</v>
      </c>
      <c r="CR52" s="219" t="s">
        <v>175</v>
      </c>
      <c r="CS52" s="372" t="s">
        <v>186</v>
      </c>
      <c r="CT52" s="359" t="s">
        <v>168</v>
      </c>
      <c r="CU52" s="219" t="s">
        <v>169</v>
      </c>
      <c r="CV52" s="372" t="s">
        <v>186</v>
      </c>
      <c r="CW52" s="355" t="s">
        <v>170</v>
      </c>
      <c r="CX52" s="219" t="s">
        <v>171</v>
      </c>
      <c r="CY52" s="372" t="s">
        <v>186</v>
      </c>
      <c r="CZ52" s="32" t="s">
        <v>172</v>
      </c>
      <c r="DA52" s="219" t="s">
        <v>173</v>
      </c>
      <c r="DB52" s="372" t="s">
        <v>186</v>
      </c>
      <c r="DC52" s="355" t="s">
        <v>174</v>
      </c>
      <c r="DD52" s="219" t="s">
        <v>175</v>
      </c>
      <c r="DE52" s="33" t="s">
        <v>186</v>
      </c>
    </row>
    <row r="53" spans="2:109" ht="15.75" thickTop="1">
      <c r="B53" s="26" t="s">
        <v>29</v>
      </c>
      <c r="C53" s="347">
        <f>COUNTIF(D2:D31,"knee")</f>
        <v>22</v>
      </c>
      <c r="D53" s="360">
        <f>COUNTIFS(D2:D31,"knee",Z2:Z31,"Y")+COUNTIFS(D2:D31,"knee",Z2:Z31,"N")+COUNTIFS(D2:D31,"knee",Z2:Z31,"UK")</f>
        <v>22</v>
      </c>
      <c r="E53" s="29">
        <f>COUNTIFS(D2:D31,"knee",Z2:Z31,"Y")</f>
        <v>9</v>
      </c>
      <c r="F53" s="27">
        <f>COUNTIFS(D2:D31,"knee",Z2:Z31,"N")</f>
        <v>12</v>
      </c>
      <c r="G53" s="27">
        <f>COUNTIFS(D2:D31,"knee",Z2:Z31,"UK")</f>
        <v>1</v>
      </c>
      <c r="H53" s="198">
        <f>E53/(F53+E53)</f>
        <v>0.42857142857142855</v>
      </c>
      <c r="I53" s="226">
        <f>COUNTIFS(D2:D31,"knee",BU2:BU31,"&lt;7")</f>
        <v>2</v>
      </c>
      <c r="J53" s="34">
        <f t="shared" ref="J53:J71" si="9">I53/(E53+F53)</f>
        <v>9.5238095238095233E-2</v>
      </c>
      <c r="K53" s="64">
        <f>COUNTIFS(D2:D31,"knee",AA2:AA31,"Y")+COUNTIFS(D2:D31,"knee",AA2:AA31,"N")+COUNTIFS(D2:D31,"knee",AA2:AA31,"UK")</f>
        <v>22</v>
      </c>
      <c r="L53" s="29">
        <f>COUNTIFS(D2:D31,"knee",AA2:AA31,"Y")</f>
        <v>6</v>
      </c>
      <c r="M53" s="27">
        <f>COUNTIFS(D2:D31,"knee",AA2:AA31,"N")</f>
        <v>15</v>
      </c>
      <c r="N53" s="238">
        <f>COUNTIFS(D2:D31,"knee",AA2:AA31,"UK")</f>
        <v>1</v>
      </c>
      <c r="O53" s="198">
        <f>L53/(M53+L53)</f>
        <v>0.2857142857142857</v>
      </c>
      <c r="P53" s="238">
        <f>COUNTIFS(D2:D31,"knee",BU2:BU31,"&lt;13")</f>
        <v>6</v>
      </c>
      <c r="Q53" s="34">
        <f>P53/(L53+M53)</f>
        <v>0.2857142857142857</v>
      </c>
      <c r="R53" s="29">
        <f>COUNTIFS(D2:D31,"knee",AB2:AB31,"Y")+COUNTIFS(D2:D31,"knee",AB2:AB31,"N")+COUNTIFS(D2:D31,"knee",AB2:AB31,"UK")</f>
        <v>22</v>
      </c>
      <c r="S53" s="239">
        <f>COUNTIFS(D2:D31,"knee",AB2:AB31,"Y")</f>
        <v>6</v>
      </c>
      <c r="T53" s="242">
        <f>COUNTIFS(D2:D31,"knee",AB2:AB31,"N")</f>
        <v>15</v>
      </c>
      <c r="U53" s="39">
        <f>COUNTIFS(D2:D31,"knee",AB2:AB31,"UK")</f>
        <v>1</v>
      </c>
      <c r="V53" s="198">
        <f>S53/(T53+S53)</f>
        <v>0.2857142857142857</v>
      </c>
      <c r="W53" s="37">
        <f>COUNTIFS(D2:D31,"knee",BU2:BU31,"&lt;25")</f>
        <v>9</v>
      </c>
      <c r="X53" s="34">
        <f>W53/(S53+T53)</f>
        <v>0.42857142857142855</v>
      </c>
      <c r="Y53" s="366"/>
      <c r="Z53" s="360">
        <f>COUNT(AH2:AH23)</f>
        <v>22</v>
      </c>
      <c r="AA53" s="316">
        <f>AVERAGE(AH2:AH23)</f>
        <v>68.272727272727266</v>
      </c>
      <c r="AB53" s="57">
        <f>STDEV(AH2:AH23)</f>
        <v>22.358937316475433</v>
      </c>
      <c r="AC53" s="373">
        <f>COUNT(AQ2:AQ23)</f>
        <v>16</v>
      </c>
      <c r="AD53" s="316">
        <f>AVERAGE(AQ2:AQ23)</f>
        <v>47</v>
      </c>
      <c r="AE53" s="57">
        <f>STDEV(AQ2:AQ23)</f>
        <v>30.042192552031441</v>
      </c>
      <c r="AF53" s="64">
        <f>COUNT(AZ2:AZ23)</f>
        <v>11</v>
      </c>
      <c r="AG53" s="475">
        <f>AVERAGE(AZ2:AZ23)</f>
        <v>40</v>
      </c>
      <c r="AH53" s="57">
        <f>STDEV(AZ2:AZ23)</f>
        <v>35.707142142714247</v>
      </c>
      <c r="AI53" s="476">
        <f>COUNT(BI2:BI23)</f>
        <v>8</v>
      </c>
      <c r="AJ53" s="475">
        <f>AVERAGE(BI2:BI23)</f>
        <v>35</v>
      </c>
      <c r="AK53" s="58">
        <f>STDEV(BI2:BI23)</f>
        <v>30.705978943149539</v>
      </c>
      <c r="AL53" s="360">
        <f>COUNT(AF2:AF23)</f>
        <v>22</v>
      </c>
      <c r="AM53" s="316">
        <f>AVERAGE(AF2:AF23)</f>
        <v>50.636363636363633</v>
      </c>
      <c r="AN53" s="57">
        <f>STDEV(AF2:AF23)</f>
        <v>18.639730875191496</v>
      </c>
      <c r="AO53" s="373">
        <f>COUNT(AN2:AN23)</f>
        <v>13</v>
      </c>
      <c r="AP53" s="316">
        <f>AVERAGE(AN2:AN23)</f>
        <v>64.030769230769224</v>
      </c>
      <c r="AQ53" s="57">
        <f>STDEV(AN2:AN23)</f>
        <v>14.675738744346393</v>
      </c>
      <c r="AR53" s="64">
        <f>COUNT(AW2:AW23)</f>
        <v>12</v>
      </c>
      <c r="AS53" s="316">
        <f>AVERAGE(AW2:AW23)</f>
        <v>65.61666666666666</v>
      </c>
      <c r="AT53" s="57">
        <f>STDEV(AW2:AW23)</f>
        <v>18.745173116072223</v>
      </c>
      <c r="AU53" s="373">
        <f>COUNT(BF2:BF23)</f>
        <v>7</v>
      </c>
      <c r="AV53" s="316">
        <f>AVERAGE(BF2:BF23)</f>
        <v>66.842857142857142</v>
      </c>
      <c r="AW53" s="58">
        <f>STDEV(BF2:BF23)</f>
        <v>19.640167781263731</v>
      </c>
      <c r="AX53" s="360">
        <f>COUNT(AG2:AG23)</f>
        <v>16</v>
      </c>
      <c r="AY53" s="316">
        <f>AVERAGE(AG2:AG23)</f>
        <v>46.125</v>
      </c>
      <c r="AZ53" s="57">
        <f>STDEV(AG2:AG23)</f>
        <v>16.812197952677096</v>
      </c>
      <c r="BA53" s="373">
        <f>COUNT(AO2:AO23)</f>
        <v>4</v>
      </c>
      <c r="BB53" s="368">
        <f>AVERAGE(AO2:AO23)</f>
        <v>20.75</v>
      </c>
      <c r="BC53" s="57">
        <f>STDEV(AO2:AO23)</f>
        <v>13.250786140200638</v>
      </c>
      <c r="BD53" s="64">
        <f>COUNT(AX2:AX23)</f>
        <v>6</v>
      </c>
      <c r="BE53" s="368">
        <f>AVERAGE(AX2:AX23)</f>
        <v>21.5</v>
      </c>
      <c r="BF53" s="57">
        <f>STDEV(AX2:AX23)</f>
        <v>13.605146085213491</v>
      </c>
      <c r="BG53" s="373">
        <f>COUNT(BG2:BG23)</f>
        <v>7</v>
      </c>
      <c r="BH53" s="368">
        <f>AVERAGE(BG2:BG23)</f>
        <v>24.857142857142858</v>
      </c>
      <c r="BI53" s="58">
        <f>STDEV(BG2:BG23)</f>
        <v>18.224786888818677</v>
      </c>
      <c r="BJ53" s="399"/>
      <c r="BK53" s="400"/>
      <c r="BL53" s="484"/>
      <c r="BM53" s="420"/>
      <c r="BN53" s="400"/>
      <c r="BO53" s="421"/>
      <c r="BP53" s="422"/>
      <c r="BQ53" s="400"/>
      <c r="BR53" s="421"/>
      <c r="BS53" s="422"/>
      <c r="BT53" s="400"/>
      <c r="BU53" s="423"/>
      <c r="BV53" s="399"/>
      <c r="BW53" s="400"/>
      <c r="BX53" s="421"/>
      <c r="BY53" s="420"/>
      <c r="BZ53" s="400"/>
      <c r="CA53" s="421"/>
      <c r="CB53" s="422"/>
      <c r="CC53" s="400"/>
      <c r="CD53" s="421"/>
      <c r="CE53" s="420"/>
      <c r="CF53" s="400"/>
      <c r="CG53" s="421"/>
      <c r="CH53" s="399"/>
      <c r="CI53" s="400"/>
      <c r="CJ53" s="421"/>
      <c r="CK53" s="420"/>
      <c r="CL53" s="400"/>
      <c r="CM53" s="421"/>
      <c r="CN53" s="422"/>
      <c r="CO53" s="400"/>
      <c r="CP53" s="421"/>
      <c r="CQ53" s="420"/>
      <c r="CR53" s="400"/>
      <c r="CS53" s="421"/>
      <c r="CT53" s="399"/>
      <c r="CU53" s="400"/>
      <c r="CV53" s="484"/>
      <c r="CW53" s="420"/>
      <c r="CX53" s="400"/>
      <c r="CY53" s="421"/>
      <c r="CZ53" s="422"/>
      <c r="DA53" s="400"/>
      <c r="DB53" s="484"/>
      <c r="DC53" s="420"/>
      <c r="DD53" s="400"/>
      <c r="DE53" s="423"/>
    </row>
    <row r="54" spans="2:109">
      <c r="B54" s="24" t="s">
        <v>26</v>
      </c>
      <c r="C54" s="35">
        <f>COUNTIF(F2:F31,"PF")</f>
        <v>4</v>
      </c>
      <c r="D54" s="360">
        <f>COUNTIFS(F2:F31,"PF",Z2:Z31,"Y")+COUNTIFS(F2:F31,"PF",Z2:Z31,"N")+COUNTIFS(F2:F31,"PF",Z2:Z31,"UK")</f>
        <v>4</v>
      </c>
      <c r="E54" s="30">
        <f>COUNTIFS(F2:F31,"PF",Z2:Z31,"Y")</f>
        <v>2</v>
      </c>
      <c r="F54" s="25">
        <f>COUNTIFS(F2:F31,"PF",Z2:Z31,"N")</f>
        <v>1</v>
      </c>
      <c r="G54" s="25">
        <f>COUNTIFS(F2:F31,"PF",Z2:Z31,"UK")</f>
        <v>1</v>
      </c>
      <c r="H54" s="198">
        <f t="shared" ref="H54:H71" si="10">E54/(F54+E54)</f>
        <v>0.66666666666666663</v>
      </c>
      <c r="I54" s="217">
        <f>COUNTIFS(F2:F31,"pf",BU2:BU31,"&lt;7")</f>
        <v>0</v>
      </c>
      <c r="J54" s="34">
        <f t="shared" si="9"/>
        <v>0</v>
      </c>
      <c r="K54" s="64">
        <f>COUNTIFS(F2:F31,"PF",AA2:AA31,"Y")+COUNTIFS(F2:F31,"PF",AA2:AA31,"N")+COUNTIFS(F2:F31,"PF",AA2:AA31,"UK")</f>
        <v>4</v>
      </c>
      <c r="L54" s="30">
        <f>COUNTIFS(F2:F31,"PF",AA2:AA31,"Y")</f>
        <v>2</v>
      </c>
      <c r="M54" s="25">
        <f>COUNTIFS(F2:F31,"PF",AA2:AA31,"N")</f>
        <v>1</v>
      </c>
      <c r="N54" s="245">
        <f>COUNTIFS(F2:F31,"PF",AA2:AA31,"UK")</f>
        <v>1</v>
      </c>
      <c r="O54" s="198">
        <f t="shared" ref="O54:O71" si="11">L54/(M54+L54)</f>
        <v>0.66666666666666663</v>
      </c>
      <c r="P54" s="243">
        <f>COUNTIFS(D2:D31,"knee",F2:F31,"pf",BU2:BU31,"&lt;13")</f>
        <v>0</v>
      </c>
      <c r="Q54" s="444">
        <f t="shared" ref="Q54:Q71" si="12">P54/(L54+M54)</f>
        <v>0</v>
      </c>
      <c r="R54" s="31">
        <f>COUNTIFS(F2:F31,"PF",AB2:AB31,"Y")+COUNTIFS(F2:F31,"PF",AB2:AB31,"N")+COUNTIFS(F2:F31,"PF",AB2:AB31,"UK")</f>
        <v>4</v>
      </c>
      <c r="S54" s="240">
        <f>COUNTIFS(F2:F31,"PF",AB2:AB31,"Y")</f>
        <v>2</v>
      </c>
      <c r="T54" s="241">
        <f>COUNTIFS(F2:F31,"PF",AB2:AB31,"N")</f>
        <v>1</v>
      </c>
      <c r="U54" s="40">
        <f>COUNTIFS(F2:F31,"PF",AB2:AB31,"UK")</f>
        <v>1</v>
      </c>
      <c r="V54" s="198">
        <f t="shared" ref="V54:V71" si="13">S54/(T54+S54)</f>
        <v>0.66666666666666663</v>
      </c>
      <c r="W54" s="30">
        <f>COUNTIFS(F2:F31,"PF",BU2:BU31,"&lt;25")</f>
        <v>0</v>
      </c>
      <c r="X54" s="34">
        <f t="shared" ref="X54:X71" si="14">W54/(S54+T54)</f>
        <v>0</v>
      </c>
      <c r="Y54" s="366"/>
      <c r="Z54" s="360">
        <f>COUNT(AH18:AH21)</f>
        <v>4</v>
      </c>
      <c r="AA54" s="316">
        <f>AVERAGE(AH18:AH21)</f>
        <v>77.5</v>
      </c>
      <c r="AB54" s="57"/>
      <c r="AC54" s="373">
        <f>COUNT(AQ18:AQ21)</f>
        <v>3</v>
      </c>
      <c r="AD54" s="316">
        <f>AVERAGE(AQ18:AQ21)</f>
        <v>34</v>
      </c>
      <c r="AE54" s="57"/>
      <c r="AF54" s="64">
        <f>COUNT(AZ18:AZ21)</f>
        <v>2</v>
      </c>
      <c r="AG54" s="475">
        <f>AVERAGE(AZ18:AZ21)</f>
        <v>7.5</v>
      </c>
      <c r="AH54" s="57"/>
      <c r="AI54" s="476">
        <f>COUNT(BI18:BI21)</f>
        <v>2</v>
      </c>
      <c r="AJ54" s="475">
        <f>AVERAGE(BI18:BI21)</f>
        <v>17.5</v>
      </c>
      <c r="AK54" s="58"/>
      <c r="AL54" s="360">
        <f>COUNT(AF18:AF21)</f>
        <v>4</v>
      </c>
      <c r="AM54" s="316">
        <f>AVERAGE(AF18:AF21)</f>
        <v>55.325000000000003</v>
      </c>
      <c r="AN54" s="57"/>
      <c r="AO54" s="373">
        <f>COUNT(AN18:AN21)</f>
        <v>3</v>
      </c>
      <c r="AP54" s="316">
        <f>AVERAGE(AN18:AN21)</f>
        <v>71.733333333333334</v>
      </c>
      <c r="AQ54" s="57"/>
      <c r="AR54" s="64">
        <f>COUNT(AW18:AW21)</f>
        <v>2</v>
      </c>
      <c r="AS54" s="316">
        <f>AVERAGE(AW18:AW21)</f>
        <v>87.55</v>
      </c>
      <c r="AT54" s="57"/>
      <c r="AU54" s="373">
        <f>COUNT(BF18:BF21)</f>
        <v>1</v>
      </c>
      <c r="AV54" s="316">
        <f>AVERAGE(BF18:BF21)</f>
        <v>100</v>
      </c>
      <c r="AW54" s="58"/>
      <c r="AX54" s="360">
        <f>COUNT(AG18:AG21)</f>
        <v>2</v>
      </c>
      <c r="AY54" s="316">
        <f>AVERAGE(AG18:AG21)</f>
        <v>46</v>
      </c>
      <c r="AZ54" s="57"/>
      <c r="BA54" s="373">
        <f>COUNT(AO18:AO21)</f>
        <v>0</v>
      </c>
      <c r="BB54" s="316" t="e">
        <f>AVERAGE(AO18:AO21)</f>
        <v>#DIV/0!</v>
      </c>
      <c r="BC54" s="57"/>
      <c r="BD54" s="64">
        <f>COUNT(AX18:AX21)</f>
        <v>1</v>
      </c>
      <c r="BE54" s="316">
        <f>AVERAGE(AX18:AX21)</f>
        <v>9</v>
      </c>
      <c r="BF54" s="57"/>
      <c r="BG54" s="373">
        <f>COUNT(BG18:BG21)</f>
        <v>1</v>
      </c>
      <c r="BH54" s="316">
        <f>AVERAGE(BG18:BG21)</f>
        <v>1</v>
      </c>
      <c r="BI54" s="58"/>
      <c r="BJ54" s="399"/>
      <c r="BK54" s="400"/>
      <c r="BL54" s="484"/>
      <c r="BM54" s="420"/>
      <c r="BN54" s="400"/>
      <c r="BO54" s="421"/>
      <c r="BP54" s="422"/>
      <c r="BQ54" s="400"/>
      <c r="BR54" s="421"/>
      <c r="BS54" s="422"/>
      <c r="BT54" s="400"/>
      <c r="BU54" s="423"/>
      <c r="BV54" s="399"/>
      <c r="BW54" s="400"/>
      <c r="BX54" s="421"/>
      <c r="BY54" s="420"/>
      <c r="BZ54" s="400"/>
      <c r="CA54" s="421"/>
      <c r="CB54" s="422"/>
      <c r="CC54" s="400"/>
      <c r="CD54" s="421"/>
      <c r="CE54" s="420"/>
      <c r="CF54" s="400"/>
      <c r="CG54" s="421"/>
      <c r="CH54" s="399"/>
      <c r="CI54" s="400"/>
      <c r="CJ54" s="421"/>
      <c r="CK54" s="420"/>
      <c r="CL54" s="400"/>
      <c r="CM54" s="421"/>
      <c r="CN54" s="422"/>
      <c r="CO54" s="400"/>
      <c r="CP54" s="421"/>
      <c r="CQ54" s="420"/>
      <c r="CR54" s="400"/>
      <c r="CS54" s="421"/>
      <c r="CT54" s="399"/>
      <c r="CU54" s="400"/>
      <c r="CV54" s="484"/>
      <c r="CW54" s="420"/>
      <c r="CX54" s="400"/>
      <c r="CY54" s="421"/>
      <c r="CZ54" s="422"/>
      <c r="DA54" s="400"/>
      <c r="DB54" s="484"/>
      <c r="DC54" s="420"/>
      <c r="DD54" s="400"/>
      <c r="DE54" s="423"/>
    </row>
    <row r="55" spans="2:109">
      <c r="B55" s="38" t="s">
        <v>17</v>
      </c>
      <c r="C55" s="35">
        <f>COUNTIF(F2:F31,"med")</f>
        <v>16</v>
      </c>
      <c r="D55" s="360">
        <f>COUNTIFS(F2:F31,"med",Z2:Z31,"Y")+COUNTIFS(F2:F31,"med",Z2:Z31,"N")+COUNTIFS(F2:F31,"med",Z2:Z31,"UK")</f>
        <v>16</v>
      </c>
      <c r="E55" s="30">
        <f>COUNTIFS(F2:F31,"med",Z2:Z31,"Y")</f>
        <v>7</v>
      </c>
      <c r="F55" s="25">
        <f>COUNTIFS(F2:F31,"med",Z2:Z31,"N")</f>
        <v>9</v>
      </c>
      <c r="G55" s="25">
        <f>COUNTIFS(F2:F31,"med",Z2:Z31,"UK")</f>
        <v>0</v>
      </c>
      <c r="H55" s="198">
        <f t="shared" si="10"/>
        <v>0.4375</v>
      </c>
      <c r="I55" s="217">
        <f>COUNTIFS(F2:F31,"med",BU2:BU31,"&lt;7")</f>
        <v>2</v>
      </c>
      <c r="J55" s="34">
        <f t="shared" si="9"/>
        <v>0.125</v>
      </c>
      <c r="K55" s="64">
        <f>COUNTIFS(F2:F31,"med",AA2:AA31,"Y")+COUNTIFS(F2:F31,"med",AA2:AA31,"N")+COUNTIFS(F2:F31,"med",AA2:AA31,"UK")</f>
        <v>16</v>
      </c>
      <c r="L55" s="30">
        <f>COUNTIFS(F2:F31,"med",AA2:AA31,"Y")</f>
        <v>4</v>
      </c>
      <c r="M55" s="25">
        <f>COUNTIFS(F2:F31,"med",AA2:AA31,"N")</f>
        <v>12</v>
      </c>
      <c r="N55" s="245">
        <f>COUNTIFS(F2:F31,"med",AA2:AA31,"UK")</f>
        <v>0</v>
      </c>
      <c r="O55" s="198">
        <f t="shared" si="11"/>
        <v>0.25</v>
      </c>
      <c r="P55" s="243">
        <f>COUNTIFS(D2:D31,"knee",F2:F31,"med",BU2:BU31,"&lt;13")</f>
        <v>6</v>
      </c>
      <c r="Q55" s="34">
        <f t="shared" si="12"/>
        <v>0.375</v>
      </c>
      <c r="R55" s="31">
        <f>COUNTIFS(F2:F31,"med",AB2:AB31,"Y")+COUNTIFS(F2:F31,"med",AB2:AB31,"N")+COUNTIFS(F2:F31,"med",AB2:AB31,"UK")</f>
        <v>16</v>
      </c>
      <c r="S55" s="240">
        <f>COUNTIFS(F2:F31,"med",AB2:AB31,"Y")</f>
        <v>4</v>
      </c>
      <c r="T55" s="241">
        <f>COUNTIFS(F2:F31,"med",AB2:AB31,"N")</f>
        <v>12</v>
      </c>
      <c r="U55" s="40">
        <f>COUNTIFS(F2:F31,"med",AB2:AB31,"UK")</f>
        <v>0</v>
      </c>
      <c r="V55" s="198">
        <f t="shared" si="13"/>
        <v>0.25</v>
      </c>
      <c r="W55" s="30">
        <f>COUNTIFS(F2:F31,"med",BU2:BU31,"&lt;25")</f>
        <v>8</v>
      </c>
      <c r="X55" s="34">
        <f t="shared" si="14"/>
        <v>0.5</v>
      </c>
      <c r="Y55" s="366"/>
      <c r="Z55" s="360">
        <f>COUNT(AH2:AH17)</f>
        <v>16</v>
      </c>
      <c r="AA55" s="316">
        <f>AVERAGE(AH2:AH17)</f>
        <v>63.75</v>
      </c>
      <c r="AB55" s="57"/>
      <c r="AC55" s="373">
        <f>COUNT(AQ2:AQ17)</f>
        <v>12</v>
      </c>
      <c r="AD55" s="316">
        <f>AVERAGE(AQ2:AQ17)</f>
        <v>47.666666666666664</v>
      </c>
      <c r="AE55" s="57"/>
      <c r="AF55" s="64">
        <f>COUNT(AZ2:AZ17)</f>
        <v>9</v>
      </c>
      <c r="AG55" s="475">
        <f>AVERAGE(AZ2:AZ17)</f>
        <v>47.222222222222221</v>
      </c>
      <c r="AH55" s="57"/>
      <c r="AI55" s="476">
        <f>COUNT(BI2:BI17)</f>
        <v>6</v>
      </c>
      <c r="AJ55" s="475">
        <f>AVERAGE(BI2:BI17)</f>
        <v>40.833333333333336</v>
      </c>
      <c r="AK55" s="58"/>
      <c r="AL55" s="360">
        <f>COUNT(AF2:AF17)</f>
        <v>16</v>
      </c>
      <c r="AM55" s="316">
        <f>AVERAGE(AF2:AF17)</f>
        <v>49.943749999999994</v>
      </c>
      <c r="AN55" s="57"/>
      <c r="AO55" s="373">
        <f>COUNT(AN2:AN17)</f>
        <v>9</v>
      </c>
      <c r="AP55" s="316">
        <f>AVERAGE(AN2:AN17)</f>
        <v>63.155555555555537</v>
      </c>
      <c r="AQ55" s="57"/>
      <c r="AR55" s="64">
        <f>COUNT(AW2:AW17)</f>
        <v>9</v>
      </c>
      <c r="AS55" s="316">
        <f>AVERAGE(AW2:AW17)</f>
        <v>61.811111111111103</v>
      </c>
      <c r="AT55" s="57"/>
      <c r="AU55" s="373">
        <f>COUNT(BF2:BF17)</f>
        <v>6</v>
      </c>
      <c r="AV55" s="316">
        <f>AVERAGE(BF2:BF17)</f>
        <v>61.31666666666667</v>
      </c>
      <c r="AW55" s="58"/>
      <c r="AX55" s="360">
        <f>COUNT(AG2:AG17)</f>
        <v>13</v>
      </c>
      <c r="AY55" s="316">
        <f>AVERAGE(AG2:AG17)</f>
        <v>45.307692307692307</v>
      </c>
      <c r="AZ55" s="57"/>
      <c r="BA55" s="373">
        <f>COUNT(AO2:AO17)</f>
        <v>4</v>
      </c>
      <c r="BB55" s="316">
        <f>AVERAGE(AO2:AO17)</f>
        <v>20.75</v>
      </c>
      <c r="BC55" s="57"/>
      <c r="BD55" s="64">
        <f>COUNT(AX2:AX17)</f>
        <v>5</v>
      </c>
      <c r="BE55" s="316">
        <f>AVERAGE(AX2:AX17)</f>
        <v>24</v>
      </c>
      <c r="BF55" s="57"/>
      <c r="BG55" s="373">
        <f>COUNT(BG2:BG17)</f>
        <v>6</v>
      </c>
      <c r="BH55" s="316">
        <f>AVERAGE(BG2:BG17)</f>
        <v>28.833333333333332</v>
      </c>
      <c r="BI55" s="58"/>
      <c r="BJ55" s="399"/>
      <c r="BK55" s="400"/>
      <c r="BL55" s="484"/>
      <c r="BM55" s="420"/>
      <c r="BN55" s="400"/>
      <c r="BO55" s="421"/>
      <c r="BP55" s="422"/>
      <c r="BQ55" s="400"/>
      <c r="BR55" s="421"/>
      <c r="BS55" s="422"/>
      <c r="BT55" s="400"/>
      <c r="BU55" s="423"/>
      <c r="BV55" s="399"/>
      <c r="BW55" s="400"/>
      <c r="BX55" s="421"/>
      <c r="BY55" s="420"/>
      <c r="BZ55" s="400"/>
      <c r="CA55" s="421"/>
      <c r="CB55" s="422"/>
      <c r="CC55" s="400"/>
      <c r="CD55" s="421"/>
      <c r="CE55" s="420"/>
      <c r="CF55" s="400"/>
      <c r="CG55" s="421"/>
      <c r="CH55" s="399"/>
      <c r="CI55" s="400"/>
      <c r="CJ55" s="421"/>
      <c r="CK55" s="420"/>
      <c r="CL55" s="400"/>
      <c r="CM55" s="421"/>
      <c r="CN55" s="422"/>
      <c r="CO55" s="400"/>
      <c r="CP55" s="421"/>
      <c r="CQ55" s="420"/>
      <c r="CR55" s="400"/>
      <c r="CS55" s="421"/>
      <c r="CT55" s="399"/>
      <c r="CU55" s="400"/>
      <c r="CV55" s="484"/>
      <c r="CW55" s="420"/>
      <c r="CX55" s="400"/>
      <c r="CY55" s="421"/>
      <c r="CZ55" s="422"/>
      <c r="DA55" s="400"/>
      <c r="DB55" s="484"/>
      <c r="DC55" s="420"/>
      <c r="DD55" s="400"/>
      <c r="DE55" s="423"/>
    </row>
    <row r="56" spans="2:109" ht="15.75" thickBot="1">
      <c r="B56" s="252" t="s">
        <v>30</v>
      </c>
      <c r="C56" s="348">
        <f>COUNTIF(F2:F31,"Lat")</f>
        <v>2</v>
      </c>
      <c r="D56" s="361">
        <f>COUNTIFS(F2:F31,"lat",Z2:Z31,"Y")+COUNTIFS(F2:F31,"lat",Z2:Z31,"N")+COUNTIFS(F2:F31,"lat",Z2:Z31,"UK")</f>
        <v>2</v>
      </c>
      <c r="E56" s="254">
        <f>COUNTIFS(F2:F31,"lat",Z2:Z31,"Y")</f>
        <v>0</v>
      </c>
      <c r="F56" s="255">
        <f>COUNTIFS(F2:F31,"lat",Z2:Z31,"N")</f>
        <v>2</v>
      </c>
      <c r="G56" s="255">
        <f>COUNTIFS(F2:F31,"lat",Z2:Z31,"UK")</f>
        <v>0</v>
      </c>
      <c r="H56" s="256">
        <f t="shared" si="10"/>
        <v>0</v>
      </c>
      <c r="I56" s="257">
        <f>COUNTIFS(F2:F31,"lat",BU2:BU31,"&lt;7")</f>
        <v>0</v>
      </c>
      <c r="J56" s="258">
        <f t="shared" si="9"/>
        <v>0</v>
      </c>
      <c r="K56" s="253">
        <f>COUNTIFS(F2:F31,"lat",AA2:AA31,"Y")+COUNTIFS(F2:F31,"lat",AA2:AA31,"N")+COUNTIFS(F2:F31,"lat",AA2:AA31,"UK")</f>
        <v>2</v>
      </c>
      <c r="L56" s="254">
        <f>COUNTIFS(F2:F31,"lat",AA2:AA31,"Y")</f>
        <v>0</v>
      </c>
      <c r="M56" s="255">
        <f>COUNTIFS(F2:F31,"lat",AA2:AA31,"N")</f>
        <v>2</v>
      </c>
      <c r="N56" s="259">
        <f>COUNTIFS(F2:F31,"lat",AA2:AA31,"UK")</f>
        <v>0</v>
      </c>
      <c r="O56" s="256">
        <f t="shared" si="11"/>
        <v>0</v>
      </c>
      <c r="P56" s="259">
        <f>COUNTIFS(D2:D31,"knee",F2:F31,"lat",BU2:BU31,"&lt;13")</f>
        <v>0</v>
      </c>
      <c r="Q56" s="258">
        <f t="shared" si="12"/>
        <v>0</v>
      </c>
      <c r="R56" s="260">
        <f>COUNTIFS(F2:F31,"lat",AB2:AB31,"Y")+COUNTIFS(F2:F31,"lat",AB2:AB31,"N")+COUNTIFS(F2:F31,"lat",AB2:AB31,"UK")</f>
        <v>2</v>
      </c>
      <c r="S56" s="261">
        <f>COUNTIFS(F2:F31,"lat",AB2:AB31,"Y")</f>
        <v>0</v>
      </c>
      <c r="T56" s="262">
        <f>COUNTIFS(F2:F31,"lat",AB2:AB31,"N")</f>
        <v>2</v>
      </c>
      <c r="U56" s="263">
        <f>COUNTIFS(F2:F31,"lat",AB2:AB31,"UK")</f>
        <v>0</v>
      </c>
      <c r="V56" s="256">
        <f t="shared" si="13"/>
        <v>0</v>
      </c>
      <c r="W56" s="254">
        <f>COUNTIFS(F2:F31,"lat",BU2:BU31,"&lt;25")</f>
        <v>1</v>
      </c>
      <c r="X56" s="258">
        <f t="shared" si="14"/>
        <v>0.5</v>
      </c>
      <c r="Y56" s="366"/>
      <c r="Z56" s="361">
        <f>COUNT(AH22:AH23)</f>
        <v>2</v>
      </c>
      <c r="AA56" s="376">
        <f>AVERAGE(AH22:AH23)</f>
        <v>86</v>
      </c>
      <c r="AB56" s="409"/>
      <c r="AC56" s="374">
        <f>COUNT(AQ22:AQ23)</f>
        <v>1</v>
      </c>
      <c r="AD56" s="376">
        <f>AVERAGE(AQ22:AQ23)</f>
        <v>78</v>
      </c>
      <c r="AE56" s="409"/>
      <c r="AF56" s="253">
        <f>COUNT(AZ22:AZ23)</f>
        <v>0</v>
      </c>
      <c r="AG56" s="477" t="e">
        <f>AVERAGE(AZ22:AZ23)</f>
        <v>#DIV/0!</v>
      </c>
      <c r="AH56" s="409"/>
      <c r="AI56" s="478">
        <f>COUNT(BI22:BI23)</f>
        <v>0</v>
      </c>
      <c r="AJ56" s="477" t="e">
        <f>AVERAGE(BI22:BI23)</f>
        <v>#DIV/0!</v>
      </c>
      <c r="AK56" s="410"/>
      <c r="AL56" s="361">
        <f>COUNT(AF22:AF23)</f>
        <v>2</v>
      </c>
      <c r="AM56" s="376">
        <f>AVERAGE(AF22:AF23)</f>
        <v>46.8</v>
      </c>
      <c r="AN56" s="409"/>
      <c r="AO56" s="374">
        <f>COUNT(AN22:AN23)</f>
        <v>1</v>
      </c>
      <c r="AP56" s="376">
        <f>AVERAGE(AN22:AN23)</f>
        <v>48.8</v>
      </c>
      <c r="AQ56" s="409"/>
      <c r="AR56" s="253">
        <f>COUNT(AW22:AW23)</f>
        <v>1</v>
      </c>
      <c r="AS56" s="376">
        <f>AVERAGE(AW22:AW23)</f>
        <v>56</v>
      </c>
      <c r="AT56" s="409"/>
      <c r="AU56" s="374">
        <f>COUNT(BF22:BF23)</f>
        <v>0</v>
      </c>
      <c r="AV56" s="376" t="e">
        <f>AVERAGE(BF22:BF23)</f>
        <v>#DIV/0!</v>
      </c>
      <c r="AW56" s="410"/>
      <c r="AX56" s="361">
        <f>COUNT(AG22:AG23)</f>
        <v>1</v>
      </c>
      <c r="AY56" s="376">
        <f>AVERAGE(AG22:AG23)</f>
        <v>57</v>
      </c>
      <c r="AZ56" s="409"/>
      <c r="BA56" s="374">
        <f>COUNT(AO22:AO23)</f>
        <v>0</v>
      </c>
      <c r="BB56" s="376" t="e">
        <f>AVERAGE(AO22:AO23)</f>
        <v>#DIV/0!</v>
      </c>
      <c r="BC56" s="409"/>
      <c r="BD56" s="253">
        <f>COUNT(AX22:AX23)</f>
        <v>0</v>
      </c>
      <c r="BE56" s="376" t="e">
        <f>AVERAGE(AX22:AX23)</f>
        <v>#DIV/0!</v>
      </c>
      <c r="BF56" s="409"/>
      <c r="BG56" s="374">
        <f>COUNT(BG22:BG23)</f>
        <v>0</v>
      </c>
      <c r="BH56" s="376" t="e">
        <f>AVERAGE(BG22:BG23)</f>
        <v>#DIV/0!</v>
      </c>
      <c r="BI56" s="410"/>
      <c r="BJ56" s="437"/>
      <c r="BK56" s="438"/>
      <c r="BL56" s="492"/>
      <c r="BM56" s="439"/>
      <c r="BN56" s="438"/>
      <c r="BO56" s="440"/>
      <c r="BP56" s="441"/>
      <c r="BQ56" s="438"/>
      <c r="BR56" s="440"/>
      <c r="BS56" s="441"/>
      <c r="BT56" s="438"/>
      <c r="BU56" s="442"/>
      <c r="BV56" s="437"/>
      <c r="BW56" s="438"/>
      <c r="BX56" s="440"/>
      <c r="BY56" s="439"/>
      <c r="BZ56" s="438"/>
      <c r="CA56" s="440"/>
      <c r="CB56" s="441"/>
      <c r="CC56" s="438"/>
      <c r="CD56" s="440"/>
      <c r="CE56" s="439"/>
      <c r="CF56" s="438"/>
      <c r="CG56" s="440"/>
      <c r="CH56" s="437"/>
      <c r="CI56" s="438"/>
      <c r="CJ56" s="440"/>
      <c r="CK56" s="439"/>
      <c r="CL56" s="438"/>
      <c r="CM56" s="440"/>
      <c r="CN56" s="441"/>
      <c r="CO56" s="438"/>
      <c r="CP56" s="440"/>
      <c r="CQ56" s="439"/>
      <c r="CR56" s="438"/>
      <c r="CS56" s="440"/>
      <c r="CT56" s="437"/>
      <c r="CU56" s="438"/>
      <c r="CV56" s="492"/>
      <c r="CW56" s="439"/>
      <c r="CX56" s="438"/>
      <c r="CY56" s="440"/>
      <c r="CZ56" s="441"/>
      <c r="DA56" s="438"/>
      <c r="DB56" s="492"/>
      <c r="DC56" s="439"/>
      <c r="DD56" s="438"/>
      <c r="DE56" s="442"/>
    </row>
    <row r="57" spans="2:109">
      <c r="B57" s="285" t="s">
        <v>65</v>
      </c>
      <c r="C57" s="349">
        <f>COUNTIFS(D2:D31,"knee",G2:G31,"&lt;2")</f>
        <v>12</v>
      </c>
      <c r="D57" s="362">
        <f>COUNTIFS(G2:G31,"&lt;2",D2:D31,"knee",Z2:Z31,"Y")+COUNTIFS(G2:G31,"&lt;2",D2:D31,"knee",Z2:Z31,"N")+COUNTIFS(G2:G31,"&lt;2",D2:D31,"knee",Z2:Z31,"UK")</f>
        <v>12</v>
      </c>
      <c r="E57" s="247">
        <f>COUNTIFS(G2:G31,"&lt;2",D2:D31,"knee",Z2:Z31,"Y")</f>
        <v>5</v>
      </c>
      <c r="F57" s="248">
        <f>COUNTIFS(G2:G31,"&lt;2",D2:D31,"knee",Z2:Z31,"N")</f>
        <v>6</v>
      </c>
      <c r="G57" s="248">
        <f>COUNTIFS(G2:G31,"&lt;2",D2:D31,"knee",Z2:Z31,"UK")</f>
        <v>1</v>
      </c>
      <c r="H57" s="198">
        <f t="shared" si="10"/>
        <v>0.45454545454545453</v>
      </c>
      <c r="I57" s="217">
        <f>COUNTIFS(BU2:BU31,"&lt;7",G2:G31,"&lt;2")</f>
        <v>2</v>
      </c>
      <c r="J57" s="34">
        <f t="shared" si="9"/>
        <v>0.18181818181818182</v>
      </c>
      <c r="K57" s="246">
        <f>COUNTIFS(G2:G31,"&lt;2",D2:D31,"knee",AA2:AA31,"Y")+COUNTIFS(G2:G31,"&lt;2",D2:D31,"knee",AA2:AA31,"N")+COUNTIFS(G2:G31,"&lt;2",D2:D31,"knee",AA2:AA31,"UK")</f>
        <v>12</v>
      </c>
      <c r="L57" s="247">
        <f>COUNTIFS(G2:G31,"&lt;2",D2:D31,"knee",AA2:AA31,"Y")</f>
        <v>2</v>
      </c>
      <c r="M57" s="248">
        <f>COUNTIFS(G2:G31,"&lt;2",D2:D31,"knee",AA2:AA31,"N")</f>
        <v>9</v>
      </c>
      <c r="N57" s="243">
        <f>COUNTIFS(G2:G31,"&lt;2",D2:D31,"knee",AA2:AA31,"UK")</f>
        <v>1</v>
      </c>
      <c r="O57" s="198">
        <f t="shared" si="11"/>
        <v>0.18181818181818182</v>
      </c>
      <c r="P57" s="243">
        <f>COUNTIFS(D2:D31,"knee",BU2:BU31,"&lt;13",G2:G31,"&lt;2")</f>
        <v>6</v>
      </c>
      <c r="Q57" s="34">
        <f t="shared" si="12"/>
        <v>0.54545454545454541</v>
      </c>
      <c r="R57" s="29">
        <f>COUNTIFS(G2:G31,"&lt;2",D2:D31,"knee",AB2:AB31,"Y")+COUNTIFS(G2:G31,"&lt;2",D2:D31,"knee",AB2:AB31,"N")+COUNTIFS(G2:G31,"&lt;2",D2:D31,"knee",AB2:AB31,"UK")</f>
        <v>12</v>
      </c>
      <c r="S57" s="249">
        <f>COUNTIFS(G2:G31,"&lt;2",D2:D31,"knee",AB2:AB31,"Y")</f>
        <v>2</v>
      </c>
      <c r="T57" s="250">
        <f>COUNTIFS(G2:G31,"&lt;2",D2:D31,"knee",AB2:AB31,"N")</f>
        <v>9</v>
      </c>
      <c r="U57" s="251">
        <f>COUNTIFS(G2:G31,"&lt;2",D2:D31,"knee",AB2:AB31,"UK")</f>
        <v>1</v>
      </c>
      <c r="V57" s="198">
        <f t="shared" si="13"/>
        <v>0.18181818181818182</v>
      </c>
      <c r="W57" s="247">
        <f>COUNTIFS(D2:D31,"knee", BU2:BU31,"&lt;25",G2:G31,"&lt;2")</f>
        <v>7</v>
      </c>
      <c r="X57" s="34">
        <f t="shared" si="14"/>
        <v>0.63636363636363635</v>
      </c>
      <c r="Y57" s="366"/>
      <c r="Z57" s="362">
        <f>COUNT(AH2:AH11)+COUNT(AH18:AH19)</f>
        <v>12</v>
      </c>
      <c r="AA57" s="377">
        <f>(SUM(AH2:AH11)+SUM(AH18:AH19))/Z57</f>
        <v>66.666666666666671</v>
      </c>
      <c r="AB57" s="414"/>
      <c r="AC57" s="356">
        <f>COUNT(AQ2:AQ11)+COUNT(AQ18:AQ19)</f>
        <v>7</v>
      </c>
      <c r="AD57" s="377">
        <f>(SUM(AQ2:AQ11)+SUM(AQ18:AQ19))/Z57</f>
        <v>29.333333333333332</v>
      </c>
      <c r="AE57" s="414"/>
      <c r="AF57" s="246">
        <f>COUNT(AZ2:AZ11)+COUNT(AZ18:AZ19)</f>
        <v>4</v>
      </c>
      <c r="AG57" s="369">
        <f>(SUM(AZ2:AZ11)+SUM(AZ18:AZ19))/Z57</f>
        <v>15.416666666666666</v>
      </c>
      <c r="AH57" s="414"/>
      <c r="AI57" s="356">
        <f>COUNT(BI2:BI11)+COUNT(BI18:BI19)</f>
        <v>3</v>
      </c>
      <c r="AJ57" s="369">
        <f>(SUM(BI2:BI11)+SUM(BI18:BI19))/Z57</f>
        <v>10.833333333333334</v>
      </c>
      <c r="AK57" s="413"/>
      <c r="AL57" s="396">
        <f>COUNT(AF2:AF11)+COUNT(AF18:AF19)</f>
        <v>12</v>
      </c>
      <c r="AM57" s="369">
        <f>(SUM(AF2:AF11)+SUM(AF18:AF19))/Z57</f>
        <v>48.291666666666664</v>
      </c>
      <c r="AN57" s="414"/>
      <c r="AO57" s="411">
        <f>COUNT(AN2:AN11)+COUNT(AN18:AN19)</f>
        <v>4</v>
      </c>
      <c r="AP57" s="377">
        <f>(SUM(AN2:AN11)+SUM(AN18:AN19))/Z57</f>
        <v>20.474999999999998</v>
      </c>
      <c r="AQ57" s="414"/>
      <c r="AR57" s="412">
        <f>COUNT(AW2:AW11)+COUNT(AW18:AW19)</f>
        <v>4</v>
      </c>
      <c r="AS57" s="369">
        <f>(SUM(AW2:AW11)+SUM(AW18:AW19))/Z57</f>
        <v>20.524999999999999</v>
      </c>
      <c r="AT57" s="414"/>
      <c r="AU57" s="411">
        <f>COUNT(BF2:BF11)+COUNT(BF18:BF19)</f>
        <v>2</v>
      </c>
      <c r="AV57" s="377">
        <f>(SUM(BF2:BF11)+SUM(BF18:BF19))/Z57</f>
        <v>8.7333333333333325</v>
      </c>
      <c r="AW57" s="413"/>
      <c r="AX57" s="362">
        <f>COUNT(AG2:AG11)+COUNT(AG18:AG19)</f>
        <v>9</v>
      </c>
      <c r="AY57" s="369">
        <f>(SUM(AG2:AG11)+SUM(AG18:AG19))/Z57</f>
        <v>37.75</v>
      </c>
      <c r="AZ57" s="414"/>
      <c r="BA57" s="356">
        <f>COUNT(AO2:AO11)+COUNT(AO18:AO19)</f>
        <v>1</v>
      </c>
      <c r="BB57" s="377">
        <f>(SUM(AO2:AO11)+SUM(AO18:AO19))/Z57</f>
        <v>3.25</v>
      </c>
      <c r="BC57" s="414"/>
      <c r="BD57" s="246">
        <f>COUNT(AX2:AX11)+COUNT(AX18:AX19)</f>
        <v>2</v>
      </c>
      <c r="BE57" s="377">
        <f>(SUM(AX2:AX11)+SUM(AX18:AX19))/Z57</f>
        <v>4</v>
      </c>
      <c r="BF57" s="414"/>
      <c r="BG57" s="356">
        <f>COUNT(BG2:BG11)+COUNT(BG18:BG19)</f>
        <v>2</v>
      </c>
      <c r="BH57" s="369">
        <f>(SUM(BG2:BG11)+SUM(BG18:BG19))/Z57</f>
        <v>6.75</v>
      </c>
      <c r="BI57" s="413"/>
      <c r="BJ57" s="397"/>
      <c r="BK57" s="418"/>
      <c r="BL57" s="490"/>
      <c r="BM57" s="415"/>
      <c r="BN57" s="418"/>
      <c r="BO57" s="416"/>
      <c r="BP57" s="417"/>
      <c r="BQ57" s="418"/>
      <c r="BR57" s="416"/>
      <c r="BS57" s="417"/>
      <c r="BT57" s="418"/>
      <c r="BU57" s="419"/>
      <c r="BV57" s="397"/>
      <c r="BW57" s="418"/>
      <c r="BX57" s="416"/>
      <c r="BY57" s="415"/>
      <c r="BZ57" s="418"/>
      <c r="CA57" s="416"/>
      <c r="CB57" s="417"/>
      <c r="CC57" s="418"/>
      <c r="CD57" s="416"/>
      <c r="CE57" s="415"/>
      <c r="CF57" s="418"/>
      <c r="CG57" s="416"/>
      <c r="CH57" s="397"/>
      <c r="CI57" s="418"/>
      <c r="CJ57" s="416"/>
      <c r="CK57" s="415"/>
      <c r="CL57" s="418"/>
      <c r="CM57" s="416"/>
      <c r="CN57" s="417"/>
      <c r="CO57" s="418"/>
      <c r="CP57" s="416"/>
      <c r="CQ57" s="415"/>
      <c r="CR57" s="418"/>
      <c r="CS57" s="416"/>
      <c r="CT57" s="397"/>
      <c r="CU57" s="418"/>
      <c r="CV57" s="490"/>
      <c r="CW57" s="415"/>
      <c r="CX57" s="418"/>
      <c r="CY57" s="416"/>
      <c r="CZ57" s="417"/>
      <c r="DA57" s="418"/>
      <c r="DB57" s="490"/>
      <c r="DC57" s="415"/>
      <c r="DD57" s="418"/>
      <c r="DE57" s="419"/>
    </row>
    <row r="58" spans="2:109">
      <c r="B58" s="63" t="s">
        <v>80</v>
      </c>
      <c r="C58" s="35">
        <f>COUNTIFS(D2:D31,"knee",G2:G31,"&gt;1")</f>
        <v>10</v>
      </c>
      <c r="D58" s="360">
        <f>COUNTIFS(G2:G31,"&gt;1",D2:D31,"knee",Z2:Z31,"Y")+COUNTIFS(G2:G31,"&gt;1",D2:D31,"knee",Z2:Z31,"N")+COUNTIFS(G2:G31,"&gt;1",D2:D31,"knee",Z2:Z31,"UK")</f>
        <v>10</v>
      </c>
      <c r="E58" s="30">
        <f>COUNTIFS(G2:G31,"&gt;1",D2:D31,"knee",Z2:Z31,"Y")</f>
        <v>4</v>
      </c>
      <c r="F58" s="25">
        <f>COUNTIFS(G2:G31,"&gt;1",D2:D31,"knee",Z2:Z31,"N")</f>
        <v>6</v>
      </c>
      <c r="G58" s="25">
        <f>COUNTIFS(G2:G31,"&gt;1",D2:D31,"knee",Z2:Z31,"UK")</f>
        <v>0</v>
      </c>
      <c r="H58" s="198">
        <f t="shared" si="10"/>
        <v>0.4</v>
      </c>
      <c r="I58" s="217">
        <f>COUNTIFS(BU2:BU31,"&lt;7",G2:G31,"&gt;1")</f>
        <v>0</v>
      </c>
      <c r="J58" s="34">
        <f t="shared" si="9"/>
        <v>0</v>
      </c>
      <c r="K58" s="64">
        <f>COUNTIFS(G2:G31,"&gt;1",D2:D31,"knee",AA2:AA31,"Y")+COUNTIFS(G2:G31,"&gt;1",D2:D31,"knee",AA2:AA31,"N")+COUNTIFS(G2:G31,"&gt;1",D2:D31,"knee",AA2:AA31,"UK")</f>
        <v>10</v>
      </c>
      <c r="L58" s="30">
        <f>COUNTIFS(G2:G31,"&gt;1",D2:D31,"knee",AA2:AA31,"Y")</f>
        <v>4</v>
      </c>
      <c r="M58" s="25">
        <f>COUNTIFS(G2:G31,"&gt;1",D2:D31,"knee",AA2:AA31,"N")</f>
        <v>6</v>
      </c>
      <c r="N58" s="245">
        <f>COUNTIFS(G2:G31,"&gt;1",D2:D31,"knee",AA2:AA31,"UK")</f>
        <v>0</v>
      </c>
      <c r="O58" s="198">
        <f t="shared" si="11"/>
        <v>0.4</v>
      </c>
      <c r="P58" s="243">
        <f>COUNTIFS(D2:D31,"knee",BU2:BU31,"&lt;13",G2:G31,"&gt;1")</f>
        <v>0</v>
      </c>
      <c r="Q58" s="34">
        <f t="shared" si="12"/>
        <v>0</v>
      </c>
      <c r="R58" s="31">
        <f>COUNTIFS(G2:G31,"&gt;1",D2:D31,"knee",AB2:AB31,"Y")+COUNTIFS(G2:G31,"&gt;1",D2:D31,"knee",AB2:AB31,"N")+COUNTIFS(G2:G31,"&gt;1",D2:D31,"knee",AB2:AB31,"UK")</f>
        <v>10</v>
      </c>
      <c r="S58" s="240">
        <f>COUNTIFS(G2:G31,"&gt;1",D2:D31,"knee",AB2:AB31,"Y")</f>
        <v>4</v>
      </c>
      <c r="T58" s="241">
        <f>COUNTIFS(G2:G31,"&gt;1",D2:D31,"knee",AB2:AB31,"N")</f>
        <v>6</v>
      </c>
      <c r="U58" s="40">
        <f>COUNTIFS(G2:G31,"&gt;1",D2:D31,"knee",AB2:AB31,"UK")</f>
        <v>0</v>
      </c>
      <c r="V58" s="198">
        <f t="shared" si="13"/>
        <v>0.4</v>
      </c>
      <c r="W58" s="30">
        <f>COUNTIFS(D2:D31,"knee", BU2:BU31,"&lt;25",G2:G31,"&gt;1")</f>
        <v>2</v>
      </c>
      <c r="X58" s="34">
        <f t="shared" si="14"/>
        <v>0.2</v>
      </c>
      <c r="Y58" s="366"/>
      <c r="Z58" s="360">
        <f>COUNT(AH12:AH17)+COUNT(AH20:AH23)</f>
        <v>10</v>
      </c>
      <c r="AA58" s="316">
        <f>(SUM(AH12:AH17)+SUM(AH20:AH23))/Z58</f>
        <v>70.2</v>
      </c>
      <c r="AB58" s="57"/>
      <c r="AC58" s="373">
        <f>COUNT(AQ12:AQ17)+COUNT(AQ20:AQ23)</f>
        <v>9</v>
      </c>
      <c r="AD58" s="316">
        <f>(SUM(AQ12:AQ17)+SUM(AQ20:AQ23))/Z58</f>
        <v>40</v>
      </c>
      <c r="AE58" s="57"/>
      <c r="AF58" s="64">
        <f>COUNT(AZ12:AZ17)+COUNT(AZ20:AZ23)</f>
        <v>7</v>
      </c>
      <c r="AG58" s="368">
        <f>(SUM(AZ12:AZ17)+SUM(AZ20:AZ23))/Z58</f>
        <v>25.5</v>
      </c>
      <c r="AH58" s="57"/>
      <c r="AI58" s="373">
        <f>COUNT(BI12:BI17)+COUNT(BI20:BI23)</f>
        <v>5</v>
      </c>
      <c r="AJ58" s="368">
        <f>(SUM(BI12:BI17)+SUM(BI20:BI23))/Z58</f>
        <v>15</v>
      </c>
      <c r="AK58" s="58"/>
      <c r="AL58" s="295">
        <f>COUNT(AF12:AF17)+COUNT(AF20:AF23)</f>
        <v>10</v>
      </c>
      <c r="AM58" s="368">
        <f>(SUM(AF12:AF17)+SUM(AF20:AF23))/Z58</f>
        <v>53.45</v>
      </c>
      <c r="AN58" s="57"/>
      <c r="AO58" s="318">
        <f>COUNT(AN12:AN17)+COUNT(AN20:AN23)</f>
        <v>9</v>
      </c>
      <c r="AP58" s="316">
        <f>(SUM(AN12:AN17)+SUM(AN20:AN23))/Z58</f>
        <v>58.67</v>
      </c>
      <c r="AQ58" s="57"/>
      <c r="AR58" s="55">
        <f>COUNT(AW12:AW17)+COUNT(AW20:AW23)</f>
        <v>8</v>
      </c>
      <c r="AS58" s="368">
        <f>(SUM(AW12:AW17)+SUM(AW20:AW23))/Z58</f>
        <v>54.11</v>
      </c>
      <c r="AT58" s="57"/>
      <c r="AU58" s="318">
        <f>COUNT(BF12:BF17)+COUNT(BF20:BF23)</f>
        <v>5</v>
      </c>
      <c r="AV58" s="316">
        <f>(SUM(BF12:BF17)+SUM(BF20:BF23))/Z58</f>
        <v>36.31</v>
      </c>
      <c r="AW58" s="58"/>
      <c r="AX58" s="360">
        <f>COUNT(AG12:AG17)+COUNT(AG20:AG23)</f>
        <v>7</v>
      </c>
      <c r="AY58" s="368">
        <f>(SUM(AG12:AG17)+SUM(AG20:AG23))/Z58</f>
        <v>28.5</v>
      </c>
      <c r="AZ58" s="57"/>
      <c r="BA58" s="373">
        <f>COUNT(AO12:AO17)+COUNT(AO20:AO23)</f>
        <v>3</v>
      </c>
      <c r="BB58" s="316">
        <f>(SUM(AO12:AO17)+SUM(AO20:AO23))/Z58</f>
        <v>4.4000000000000004</v>
      </c>
      <c r="BC58" s="57"/>
      <c r="BD58" s="64">
        <f>COUNT(AX12:AX17)+COUNT(AX20:AX23)</f>
        <v>4</v>
      </c>
      <c r="BE58" s="316">
        <f>(SUM(AX12:AX17)+SUM(AX20:AX23))/Z58</f>
        <v>8.1</v>
      </c>
      <c r="BF58" s="57"/>
      <c r="BG58" s="373">
        <f>COUNT(BG12:BG17)+COUNT(BG20:BG23)</f>
        <v>5</v>
      </c>
      <c r="BH58" s="368">
        <f>(SUM(BG12:BG17)+SUM(BG20:BG23))/Z58</f>
        <v>9.3000000000000007</v>
      </c>
      <c r="BI58" s="58"/>
      <c r="BJ58" s="399"/>
      <c r="BK58" s="400"/>
      <c r="BL58" s="484"/>
      <c r="BM58" s="420"/>
      <c r="BN58" s="400"/>
      <c r="BO58" s="421"/>
      <c r="BP58" s="422"/>
      <c r="BQ58" s="400"/>
      <c r="BR58" s="421"/>
      <c r="BS58" s="422"/>
      <c r="BT58" s="400"/>
      <c r="BU58" s="423"/>
      <c r="BV58" s="399"/>
      <c r="BW58" s="400"/>
      <c r="BX58" s="421"/>
      <c r="BY58" s="420"/>
      <c r="BZ58" s="400"/>
      <c r="CA58" s="421"/>
      <c r="CB58" s="422"/>
      <c r="CC58" s="400"/>
      <c r="CD58" s="421"/>
      <c r="CE58" s="420"/>
      <c r="CF58" s="400"/>
      <c r="CG58" s="421"/>
      <c r="CH58" s="399"/>
      <c r="CI58" s="400"/>
      <c r="CJ58" s="421"/>
      <c r="CK58" s="420"/>
      <c r="CL58" s="400"/>
      <c r="CM58" s="421"/>
      <c r="CN58" s="422"/>
      <c r="CO58" s="400"/>
      <c r="CP58" s="421"/>
      <c r="CQ58" s="420"/>
      <c r="CR58" s="400"/>
      <c r="CS58" s="421"/>
      <c r="CT58" s="399"/>
      <c r="CU58" s="400"/>
      <c r="CV58" s="484"/>
      <c r="CW58" s="420"/>
      <c r="CX58" s="400"/>
      <c r="CY58" s="421"/>
      <c r="CZ58" s="422"/>
      <c r="DA58" s="400"/>
      <c r="DB58" s="484"/>
      <c r="DC58" s="420"/>
      <c r="DD58" s="400"/>
      <c r="DE58" s="423"/>
    </row>
    <row r="59" spans="2:109" ht="15.75" thickBot="1">
      <c r="B59" s="264" t="s">
        <v>82</v>
      </c>
      <c r="C59" s="350">
        <f>COUNTIFS(D2:D31,"knee",G2:G31,"UK")</f>
        <v>0</v>
      </c>
      <c r="D59" s="363">
        <f>COUNTIFS(G2:G31,"UK",D2:D31,"knee",Z2:Z31,"Y")+COUNTIFS(G2:G31,"UK",D2:D31,"knee",Z2:Z31,"N")+COUNTIFS(G2:G31,"UK",D2:D31,"knee",Z2:Z31,"UK")</f>
        <v>0</v>
      </c>
      <c r="E59" s="266">
        <f>COUNTIFS(G2:G31,"UK",D2:D31,"knee",Z2:Z31,"Y")</f>
        <v>0</v>
      </c>
      <c r="F59" s="267">
        <f>COUNTIFS(G2:G31,"UK",D2:D31,"knee",Z2:Z31,"N")</f>
        <v>0</v>
      </c>
      <c r="G59" s="267">
        <f>COUNTIFS(G2:G31,"UK",D2:D31,"knee",Z2:Z31,"UK")</f>
        <v>0</v>
      </c>
      <c r="H59" s="268" t="e">
        <f t="shared" si="10"/>
        <v>#DIV/0!</v>
      </c>
      <c r="I59" s="269">
        <f>COUNTIFS(BU2:BU31,"&lt;7",G2:G31,"UK")</f>
        <v>0</v>
      </c>
      <c r="J59" s="270" t="e">
        <f t="shared" si="9"/>
        <v>#DIV/0!</v>
      </c>
      <c r="K59" s="265">
        <f>COUNTIFS(G2:G31,"UK",D2:D31,"knee",AA2:AA31,"Y")+COUNTIFS(G2:G31,"UK",D2:D31,"knee",AA2:AA31,"N")+COUNTIFS(G2:G31,"UK",D2:D31,"knee",AA2:AA31,"UK")</f>
        <v>0</v>
      </c>
      <c r="L59" s="266">
        <f>COUNTIFS(G2:G31,"UK",D2:D31,"knee",AA2:AA31,"Y")</f>
        <v>0</v>
      </c>
      <c r="M59" s="267">
        <f>COUNTIFS(G2:G31,"UK",D2:D31,"knee",AA2:AA31,"N")</f>
        <v>0</v>
      </c>
      <c r="N59" s="271">
        <f>COUNTIFS(G2:G31,"UK",D2:D31,"knee",AA2:AA31,"UK")</f>
        <v>0</v>
      </c>
      <c r="O59" s="445" t="e">
        <f t="shared" si="11"/>
        <v>#DIV/0!</v>
      </c>
      <c r="P59" s="271">
        <f>COUNTIFS(D2:D31,"knee",BU2:BU31,"&lt;13",G2:G31,"UK")</f>
        <v>0</v>
      </c>
      <c r="Q59" s="446" t="e">
        <f t="shared" si="12"/>
        <v>#DIV/0!</v>
      </c>
      <c r="R59" s="447">
        <f>COUNTIFS(G2:G31,"UK",D2:D31,"knee",AB2:AB31,"Y")+COUNTIFS(G2:G31,"UK",D2:D31,"knee",AB2:AB31,"N")+COUNTIFS(G2:G31,"UK",D2:D31,"knee",AB2:AB31,"UK")</f>
        <v>0</v>
      </c>
      <c r="S59" s="448">
        <f>COUNTIFS(G2:G31,"UK",D2:D31,"knee",AB2:AB31,"Y")</f>
        <v>0</v>
      </c>
      <c r="T59" s="271">
        <f>COUNTIFS(G2:G31,"UK",D2:D31,"knee",AB2:AB31,"N")</f>
        <v>0</v>
      </c>
      <c r="U59" s="449">
        <f>COUNTIFS(G2:G31,"UK",D2:D31,"knee",AB2:AB31,"UK")</f>
        <v>0</v>
      </c>
      <c r="V59" s="445" t="e">
        <f t="shared" si="13"/>
        <v>#DIV/0!</v>
      </c>
      <c r="W59" s="450">
        <f>COUNTIFS(BU2:BU31,"&lt;25",G2:G31,"UK")</f>
        <v>0</v>
      </c>
      <c r="X59" s="446" t="e">
        <f t="shared" si="14"/>
        <v>#DIV/0!</v>
      </c>
      <c r="Y59" s="366"/>
      <c r="Z59" s="363"/>
      <c r="AA59" s="378"/>
      <c r="AB59" s="394"/>
      <c r="AC59" s="375"/>
      <c r="AD59" s="378"/>
      <c r="AE59" s="394"/>
      <c r="AF59" s="265"/>
      <c r="AG59" s="370"/>
      <c r="AH59" s="394"/>
      <c r="AI59" s="375"/>
      <c r="AJ59" s="370"/>
      <c r="AK59" s="395"/>
      <c r="AL59" s="363"/>
      <c r="AM59" s="370"/>
      <c r="AN59" s="394"/>
      <c r="AO59" s="375"/>
      <c r="AP59" s="370"/>
      <c r="AQ59" s="394"/>
      <c r="AR59" s="265"/>
      <c r="AS59" s="370"/>
      <c r="AT59" s="394"/>
      <c r="AU59" s="375"/>
      <c r="AV59" s="370"/>
      <c r="AW59" s="395"/>
      <c r="AX59" s="363"/>
      <c r="AY59" s="370"/>
      <c r="AZ59" s="394"/>
      <c r="BA59" s="375"/>
      <c r="BB59" s="370"/>
      <c r="BC59" s="394"/>
      <c r="BD59" s="265"/>
      <c r="BE59" s="370"/>
      <c r="BF59" s="394"/>
      <c r="BG59" s="375"/>
      <c r="BH59" s="370"/>
      <c r="BI59" s="395"/>
      <c r="BJ59" s="402"/>
      <c r="BK59" s="404"/>
      <c r="BL59" s="487"/>
      <c r="BM59" s="424"/>
      <c r="BN59" s="404"/>
      <c r="BO59" s="425"/>
      <c r="BP59" s="426"/>
      <c r="BQ59" s="404"/>
      <c r="BR59" s="425"/>
      <c r="BS59" s="426"/>
      <c r="BT59" s="404"/>
      <c r="BU59" s="427"/>
      <c r="BV59" s="402"/>
      <c r="BW59" s="404"/>
      <c r="BX59" s="425"/>
      <c r="BY59" s="424"/>
      <c r="BZ59" s="404"/>
      <c r="CA59" s="425"/>
      <c r="CB59" s="426"/>
      <c r="CC59" s="404"/>
      <c r="CD59" s="425"/>
      <c r="CE59" s="424"/>
      <c r="CF59" s="404"/>
      <c r="CG59" s="425"/>
      <c r="CH59" s="402"/>
      <c r="CI59" s="404"/>
      <c r="CJ59" s="425"/>
      <c r="CK59" s="424"/>
      <c r="CL59" s="404"/>
      <c r="CM59" s="425"/>
      <c r="CN59" s="426"/>
      <c r="CO59" s="404"/>
      <c r="CP59" s="425"/>
      <c r="CQ59" s="424"/>
      <c r="CR59" s="404"/>
      <c r="CS59" s="425"/>
      <c r="CT59" s="402"/>
      <c r="CU59" s="404"/>
      <c r="CV59" s="487"/>
      <c r="CW59" s="424"/>
      <c r="CX59" s="404"/>
      <c r="CY59" s="425"/>
      <c r="CZ59" s="426"/>
      <c r="DA59" s="404"/>
      <c r="DB59" s="487"/>
      <c r="DC59" s="424"/>
      <c r="DD59" s="404"/>
      <c r="DE59" s="427"/>
    </row>
    <row r="60" spans="2:109" ht="15.75" thickTop="1">
      <c r="B60" s="26" t="s">
        <v>32</v>
      </c>
      <c r="C60" s="351">
        <f>COUNTIF(D2:D31,"hip")</f>
        <v>4</v>
      </c>
      <c r="D60" s="362">
        <f>COUNTIFS(D2:D31,"hip",Z2:Z31,"Y")+COUNTIFS(D2:D31,"hip",Z2:Z31,"N")+COUNTIFS(D2:D31,"hip",Z2:Z31,"UK")</f>
        <v>4</v>
      </c>
      <c r="E60" s="29">
        <f>COUNTIFS(D2:D31,"hip",Z2:Z31,"Y")</f>
        <v>2</v>
      </c>
      <c r="F60" s="27">
        <f>COUNTIFS(D2:D31,"hip",Z2:Z31,"N")</f>
        <v>2</v>
      </c>
      <c r="G60" s="27">
        <f>COUNTIFS(D2:D31,"hip",Z2:Z31,"UK")</f>
        <v>0</v>
      </c>
      <c r="H60" s="198">
        <f t="shared" si="10"/>
        <v>0.5</v>
      </c>
      <c r="I60" s="226">
        <f>COUNTIFS(D2:D31,"hip",BU2:BU31,"&lt;7")</f>
        <v>2</v>
      </c>
      <c r="J60" s="34">
        <f t="shared" si="9"/>
        <v>0.5</v>
      </c>
      <c r="K60" s="246">
        <f>COUNTIFS(D2:D31,"hip",AA2:AA31,"Y")+COUNTIFS(D2:D31,"hip",AA2:AA31,"N")+COUNTIFS(D2:D31,"hip",AA2:AA31,"UK")</f>
        <v>4</v>
      </c>
      <c r="L60" s="29">
        <f>COUNTIFS(D2:D31,"hip",AA2:AA31,"Y")</f>
        <v>1</v>
      </c>
      <c r="M60" s="27">
        <f>COUNTIFS(D2:D31,"hip",AA2:AA31,"N")</f>
        <v>3</v>
      </c>
      <c r="N60" s="238">
        <f>COUNTIFS(D2:D31,"hip",AA2:AA31,"UK")</f>
        <v>0</v>
      </c>
      <c r="O60" s="443">
        <f t="shared" si="11"/>
        <v>0.25</v>
      </c>
      <c r="P60" s="238">
        <f>COUNTIFS(D2:D31,"hip",BU2:BU31,"&lt;13")</f>
        <v>3</v>
      </c>
      <c r="Q60" s="444">
        <f t="shared" si="12"/>
        <v>0.75</v>
      </c>
      <c r="R60" s="74">
        <f>COUNTIFS(D2:D31,"hip",AB2:AB31,"Y")+COUNTIFS(D2:D31,"hip",AB2:AB31,"N")+COUNTIFS(D2:D31,"hip",AB2:AB31,"UK")</f>
        <v>4</v>
      </c>
      <c r="S60" s="451">
        <f>COUNTIFS(D2:D31,"hip",AB2:AB31,"Y")</f>
        <v>1</v>
      </c>
      <c r="T60" s="238">
        <f>COUNTIFS(D2:D31,"hip",AB2:AB31,"N")</f>
        <v>3</v>
      </c>
      <c r="U60" s="77">
        <f>COUNTIFS(D2:D31,"hip",AB2:AB31,"UK")</f>
        <v>0</v>
      </c>
      <c r="V60" s="443">
        <f t="shared" si="13"/>
        <v>0.25</v>
      </c>
      <c r="W60" s="74">
        <f>COUNTIFS(D2:D31,"hip",BU2:BU31,"&lt;25")</f>
        <v>3</v>
      </c>
      <c r="X60" s="444">
        <f t="shared" si="14"/>
        <v>0.75</v>
      </c>
      <c r="Y60" s="366"/>
      <c r="Z60" s="362">
        <f>COUNT(AH24:AH27)</f>
        <v>4</v>
      </c>
      <c r="AA60" s="377">
        <f>AVERAGE(AH24:AH27)</f>
        <v>42.5</v>
      </c>
      <c r="AB60" s="414">
        <f>STDEV(AH24:AH27)</f>
        <v>23.979157616563597</v>
      </c>
      <c r="AC60" s="356">
        <f>COUNT(AQ24:AQ27)</f>
        <v>2</v>
      </c>
      <c r="AD60" s="377">
        <f>AVERAGE(AQ24:AQ27)</f>
        <v>37.5</v>
      </c>
      <c r="AE60" s="414">
        <f>STDEV(AQ24:AQ27)</f>
        <v>38.890872965260115</v>
      </c>
      <c r="AF60" s="246">
        <f>COUNT(AZ24:AZ27)</f>
        <v>1</v>
      </c>
      <c r="AG60" s="369">
        <f>AVERAGE(AZ24:AZ27)</f>
        <v>78</v>
      </c>
      <c r="AH60" s="414"/>
      <c r="AI60" s="356">
        <f>COUNT(BI24:BI27)</f>
        <v>1</v>
      </c>
      <c r="AJ60" s="369">
        <f>AVERAGE(BI24:BI27)</f>
        <v>60</v>
      </c>
      <c r="AK60" s="413"/>
      <c r="AL60" s="397"/>
      <c r="AM60" s="398"/>
      <c r="AN60" s="483"/>
      <c r="AO60" s="415"/>
      <c r="AP60" s="416"/>
      <c r="AQ60" s="490"/>
      <c r="AR60" s="417"/>
      <c r="AS60" s="418"/>
      <c r="AT60" s="490"/>
      <c r="AU60" s="415"/>
      <c r="AV60" s="419"/>
      <c r="AW60" s="490"/>
      <c r="AX60" s="397"/>
      <c r="AY60" s="418"/>
      <c r="AZ60" s="490"/>
      <c r="BA60" s="415"/>
      <c r="BB60" s="416"/>
      <c r="BC60" s="490"/>
      <c r="BD60" s="417"/>
      <c r="BE60" s="418"/>
      <c r="BF60" s="490"/>
      <c r="BG60" s="415"/>
      <c r="BH60" s="419"/>
      <c r="BI60" s="490"/>
      <c r="BJ60" s="397"/>
      <c r="BK60" s="418"/>
      <c r="BL60" s="490"/>
      <c r="BM60" s="415"/>
      <c r="BN60" s="418"/>
      <c r="BO60" s="416"/>
      <c r="BP60" s="417"/>
      <c r="BQ60" s="418"/>
      <c r="BR60" s="416"/>
      <c r="BS60" s="417"/>
      <c r="BT60" s="418"/>
      <c r="BU60" s="419"/>
      <c r="BV60" s="397"/>
      <c r="BW60" s="418"/>
      <c r="BX60" s="416"/>
      <c r="BY60" s="415"/>
      <c r="BZ60" s="418"/>
      <c r="CA60" s="416"/>
      <c r="CB60" s="417"/>
      <c r="CC60" s="418"/>
      <c r="CD60" s="416"/>
      <c r="CE60" s="415"/>
      <c r="CF60" s="418"/>
      <c r="CG60" s="416"/>
      <c r="CH60" s="397"/>
      <c r="CI60" s="418"/>
      <c r="CJ60" s="416"/>
      <c r="CK60" s="415"/>
      <c r="CL60" s="418"/>
      <c r="CM60" s="416"/>
      <c r="CN60" s="417"/>
      <c r="CO60" s="418"/>
      <c r="CP60" s="416"/>
      <c r="CQ60" s="415"/>
      <c r="CR60" s="418"/>
      <c r="CS60" s="416"/>
      <c r="CT60" s="362">
        <f>COUNT(AE24:AE27)</f>
        <v>4</v>
      </c>
      <c r="CU60" s="369">
        <f>AVERAGE(AE24:AE27)</f>
        <v>65.25</v>
      </c>
      <c r="CV60" s="414"/>
      <c r="CW60" s="356">
        <f>COUNT(AM24:AM27)</f>
        <v>1</v>
      </c>
      <c r="CX60" s="369">
        <f>AVERAGE(AM24:AM27)</f>
        <v>35</v>
      </c>
      <c r="CY60" s="414"/>
      <c r="CZ60" s="246">
        <f>COUNT(AV24:AV27)</f>
        <v>0</v>
      </c>
      <c r="DA60" s="369" t="e">
        <f>AVERAGE(AV24:AV27)</f>
        <v>#DIV/0!</v>
      </c>
      <c r="DB60" s="414"/>
      <c r="DC60" s="356">
        <f>COUNT(BE24:BE27)</f>
        <v>1</v>
      </c>
      <c r="DD60" s="369">
        <f>AVERAGE(BE24:BE27)</f>
        <v>41</v>
      </c>
      <c r="DE60" s="413"/>
    </row>
    <row r="61" spans="2:109">
      <c r="B61" s="24" t="s">
        <v>33</v>
      </c>
      <c r="C61" s="35">
        <f>COUNTIF(G2:G31,"T1")</f>
        <v>0</v>
      </c>
      <c r="D61" s="360">
        <f>COUNTIFS(G2:G31,"T1",D2:D31,"hip",Z2:Z31,"Y")+COUNTIFS(G2:G31,"T1",D2:D31,"hip",Z2:Z31,"N")+COUNTIFS(G2:G31,"T1",D2:D31,"hip",Z2:Z31,"UK")</f>
        <v>0</v>
      </c>
      <c r="E61" s="30">
        <f>COUNTIFS(G2:G31,"T1",D2:D31,"hip",Z2:Z31,"Y")</f>
        <v>0</v>
      </c>
      <c r="F61" s="25">
        <f>COUNTIFS(G2:G31,"T1",D2:D31,"hip",Z2:Z31,"N")</f>
        <v>0</v>
      </c>
      <c r="G61" s="25">
        <f>COUNTIFS(G2:G31,"T1",D2:D31,"hip",Z2:Z31,"UK")</f>
        <v>0</v>
      </c>
      <c r="H61" s="198" t="e">
        <f t="shared" si="10"/>
        <v>#DIV/0!</v>
      </c>
      <c r="I61" s="217">
        <f>COUNTIFS(G2:G31,"T1",D2:D31,"hip",BU2:BU31,"&lt;7")</f>
        <v>0</v>
      </c>
      <c r="J61" s="34" t="e">
        <f t="shared" si="9"/>
        <v>#DIV/0!</v>
      </c>
      <c r="K61" s="64">
        <f>COUNTIFS(G2:G31,"T1",D2:D31,"hip",AA2:AA31,"Y")+COUNTIFS(G2:G31,"T1",D2:D31,"hip",AA2:AA31,"N")+COUNTIFS(G2:G31,"T1",D2:D31,"hip",AA2:AA31,"UK")</f>
        <v>0</v>
      </c>
      <c r="L61" s="30">
        <f>COUNTIFS(G2:G31,"T1",D2:D31,"hip",AA2:AA31,"Y")</f>
        <v>0</v>
      </c>
      <c r="M61" s="25">
        <f>COUNTIFS(G2:G31,"T1",D2:D31,"hip",AA2:AA31,"N")</f>
        <v>0</v>
      </c>
      <c r="N61" s="245">
        <f>COUNTIFS(G2:G31,"T1",D2:D31,"hip",AA2:AA31,"UK")</f>
        <v>0</v>
      </c>
      <c r="O61" s="443" t="e">
        <f t="shared" si="11"/>
        <v>#DIV/0!</v>
      </c>
      <c r="P61" s="243">
        <f>COUNTIFS(G2:G31,"T1",D2:D31,"hip",BU2:BU31,"&lt;13")</f>
        <v>0</v>
      </c>
      <c r="Q61" s="444" t="e">
        <f t="shared" si="12"/>
        <v>#DIV/0!</v>
      </c>
      <c r="R61" s="76">
        <f>COUNTIFS(G2:G31,"T1",D2:D31,"hip",AB2:AB31,"Y")+COUNTIFS(G2:G31,"T1",D2:D31,"hip",AB2:AB31,"N")+COUNTIFS(G2:G31,"T1",D2:D31,"hip",AB2:AB31,"UK")</f>
        <v>0</v>
      </c>
      <c r="S61" s="452">
        <f>COUNTIFS(G2:G31,"T1",D2:D31,"hip",AB2:AB31,"Y")</f>
        <v>0</v>
      </c>
      <c r="T61" s="245">
        <f>COUNTIFS(G2:G31,"T1",D2:D31,"hip",AB2:AB31,"N")</f>
        <v>0</v>
      </c>
      <c r="U61" s="75">
        <f>COUNTIFS(G2:G31,"T1",D2:D31,"hip",AB2:AB31,"UK")</f>
        <v>0</v>
      </c>
      <c r="V61" s="443" t="e">
        <f t="shared" si="13"/>
        <v>#DIV/0!</v>
      </c>
      <c r="W61" s="41">
        <f>COUNTIFS(G2:G31,"T1",D2:D31,"hip",BU2:BU31,"&lt;25")</f>
        <v>0</v>
      </c>
      <c r="X61" s="444" t="e">
        <f t="shared" si="14"/>
        <v>#DIV/0!</v>
      </c>
      <c r="Y61" s="366"/>
      <c r="Z61" s="360"/>
      <c r="AA61" s="316"/>
      <c r="AB61" s="57"/>
      <c r="AC61" s="373"/>
      <c r="AD61" s="316"/>
      <c r="AE61" s="57"/>
      <c r="AF61" s="64"/>
      <c r="AG61" s="368"/>
      <c r="AH61" s="57"/>
      <c r="AI61" s="373"/>
      <c r="AJ61" s="368"/>
      <c r="AK61" s="58"/>
      <c r="AL61" s="399"/>
      <c r="AM61" s="400"/>
      <c r="AN61" s="484"/>
      <c r="AO61" s="420"/>
      <c r="AP61" s="421"/>
      <c r="AQ61" s="484"/>
      <c r="AR61" s="422"/>
      <c r="AS61" s="400"/>
      <c r="AT61" s="484"/>
      <c r="AU61" s="420"/>
      <c r="AV61" s="423"/>
      <c r="AW61" s="484"/>
      <c r="AX61" s="399"/>
      <c r="AY61" s="400"/>
      <c r="AZ61" s="484"/>
      <c r="BA61" s="420"/>
      <c r="BB61" s="421"/>
      <c r="BC61" s="484"/>
      <c r="BD61" s="422"/>
      <c r="BE61" s="400"/>
      <c r="BF61" s="484"/>
      <c r="BG61" s="420"/>
      <c r="BH61" s="423"/>
      <c r="BI61" s="484"/>
      <c r="BJ61" s="399"/>
      <c r="BK61" s="400"/>
      <c r="BL61" s="484"/>
      <c r="BM61" s="420"/>
      <c r="BN61" s="400"/>
      <c r="BO61" s="421"/>
      <c r="BP61" s="422"/>
      <c r="BQ61" s="400"/>
      <c r="BR61" s="421"/>
      <c r="BS61" s="422"/>
      <c r="BT61" s="400"/>
      <c r="BU61" s="423"/>
      <c r="BV61" s="399"/>
      <c r="BW61" s="400"/>
      <c r="BX61" s="421"/>
      <c r="BY61" s="420"/>
      <c r="BZ61" s="400"/>
      <c r="CA61" s="421"/>
      <c r="CB61" s="422"/>
      <c r="CC61" s="400"/>
      <c r="CD61" s="421"/>
      <c r="CE61" s="420"/>
      <c r="CF61" s="400"/>
      <c r="CG61" s="421"/>
      <c r="CH61" s="399"/>
      <c r="CI61" s="400"/>
      <c r="CJ61" s="421"/>
      <c r="CK61" s="420"/>
      <c r="CL61" s="400"/>
      <c r="CM61" s="421"/>
      <c r="CN61" s="422"/>
      <c r="CO61" s="400"/>
      <c r="CP61" s="421"/>
      <c r="CQ61" s="420"/>
      <c r="CR61" s="400"/>
      <c r="CS61" s="421"/>
      <c r="CT61" s="360"/>
      <c r="CU61" s="368"/>
      <c r="CV61" s="57"/>
      <c r="CW61" s="373"/>
      <c r="CX61" s="368"/>
      <c r="CY61" s="57"/>
      <c r="CZ61" s="64"/>
      <c r="DA61" s="368"/>
      <c r="DB61" s="57"/>
      <c r="DC61" s="373"/>
      <c r="DD61" s="368"/>
      <c r="DE61" s="58"/>
    </row>
    <row r="62" spans="2:109">
      <c r="B62" s="38" t="s">
        <v>25</v>
      </c>
      <c r="C62" s="35">
        <f>COUNTIF(G2:G31,"T2")</f>
        <v>1</v>
      </c>
      <c r="D62" s="360">
        <f>COUNTIFS(G2:G31,"T2",D2:D31,"hip",Z2:Z31,"Y")+COUNTIFS(G2:G31,"T2",D2:D31,"hip",Z2:Z31,"N")+COUNTIFS(G2:G31,"T2",D2:D31,"hip",Z2:Z31,"UK")</f>
        <v>1</v>
      </c>
      <c r="E62" s="30">
        <f>COUNTIFS(G2:G31,"T2",D2:D31,"hip",Z2:Z31,"Y")</f>
        <v>1</v>
      </c>
      <c r="F62" s="25">
        <f>COUNTIFS(G2:G31,"T2",D2:D31,"hip",Z2:Z31,"N")</f>
        <v>0</v>
      </c>
      <c r="G62" s="25">
        <f>COUNTIFS(G2:G31,"T2",D2:D31,"hip",Z2:Z31,"UK")</f>
        <v>0</v>
      </c>
      <c r="H62" s="198">
        <f t="shared" si="10"/>
        <v>1</v>
      </c>
      <c r="I62" s="217">
        <f>COUNTIFS(G2:G31,"T2",D2:D31,"hip",BU2:BU31,"&lt;7")</f>
        <v>0</v>
      </c>
      <c r="J62" s="34">
        <f t="shared" si="9"/>
        <v>0</v>
      </c>
      <c r="K62" s="64">
        <f>COUNTIFS(G2:G31,"T2",D2:D31,"hip",AA2:AA31,"Y")+COUNTIFS(G2:G31,"T2",D2:D31,"hip",AA2:AA31,"N")+COUNTIFS(G2:G31,"T2",D2:D31,"hip",AA2:AA31,"UK")</f>
        <v>1</v>
      </c>
      <c r="L62" s="30">
        <f>COUNTIFS(G2:G31,"T2",D2:D31,"hip",AA2:AA31,"Y")</f>
        <v>1</v>
      </c>
      <c r="M62" s="25">
        <f>COUNTIFS(G2:G31,"T2",D2:D31,"hip",AA2:AA31,"N")</f>
        <v>0</v>
      </c>
      <c r="N62" s="245">
        <f>COUNTIFS(G2:G31,"T2",D2:D31,"hip",AA2:AA31,"UK")</f>
        <v>0</v>
      </c>
      <c r="O62" s="443">
        <f t="shared" si="11"/>
        <v>1</v>
      </c>
      <c r="P62" s="243">
        <f>COUNTIFS(G2:G31,"T2",D2:D31,"hip",BU2:BU31,"&lt;13")</f>
        <v>0</v>
      </c>
      <c r="Q62" s="444">
        <f t="shared" si="12"/>
        <v>0</v>
      </c>
      <c r="R62" s="76">
        <f>COUNTIFS(G2:G31,"T2",D2:D31,"hip",AB2:AB31,"Y")+COUNTIFS(G2:G31,"T2",D2:D31,"hip",AB2:AB31,"N")+COUNTIFS(G2:G31,"T2",D2:D31,"hip",AB2:AB31,"UK")</f>
        <v>1</v>
      </c>
      <c r="S62" s="452">
        <f>COUNTIFS(G2:G31,"T2",D2:D31,"hip",AB2:AB31,"Y")</f>
        <v>1</v>
      </c>
      <c r="T62" s="245">
        <f>COUNTIFS(G2:G31,"T2",D2:D31,"hip",AB2:AB31,"N")</f>
        <v>0</v>
      </c>
      <c r="U62" s="75">
        <f>COUNTIFS(G2:G31,"T2",D2:D31,"hip",AB2:AB31,"UK")</f>
        <v>0</v>
      </c>
      <c r="V62" s="443">
        <f t="shared" si="13"/>
        <v>1</v>
      </c>
      <c r="W62" s="41">
        <f>COUNTIFS(G2:G31,"T2",D2:D31,"hip",BU2:BU31,"&lt;25")</f>
        <v>0</v>
      </c>
      <c r="X62" s="444">
        <f t="shared" si="14"/>
        <v>0</v>
      </c>
      <c r="Y62" s="366"/>
      <c r="Z62" s="360">
        <f>COUNT(B24)</f>
        <v>1</v>
      </c>
      <c r="AA62" s="316">
        <f>AVERAGE(AH24)</f>
        <v>65</v>
      </c>
      <c r="AB62" s="57"/>
      <c r="AC62" s="373">
        <f>COUNT(B24)</f>
        <v>1</v>
      </c>
      <c r="AD62" s="316">
        <f>AVERAGE(AQ24)</f>
        <v>65</v>
      </c>
      <c r="AE62" s="57"/>
      <c r="AF62" s="64">
        <f>COUNT(B24)</f>
        <v>1</v>
      </c>
      <c r="AG62" s="316">
        <f>AVERAGE(AZ24)</f>
        <v>78</v>
      </c>
      <c r="AH62" s="57"/>
      <c r="AI62" s="373">
        <f>COUNT(B24)</f>
        <v>1</v>
      </c>
      <c r="AJ62" s="316">
        <f>AVERAGE(BI24)</f>
        <v>60</v>
      </c>
      <c r="AK62" s="58"/>
      <c r="AL62" s="399"/>
      <c r="AM62" s="401"/>
      <c r="AN62" s="485"/>
      <c r="AO62" s="420"/>
      <c r="AP62" s="421"/>
      <c r="AQ62" s="484"/>
      <c r="AR62" s="422"/>
      <c r="AS62" s="400"/>
      <c r="AT62" s="484"/>
      <c r="AU62" s="420"/>
      <c r="AV62" s="423"/>
      <c r="AW62" s="484"/>
      <c r="AX62" s="399"/>
      <c r="AY62" s="400"/>
      <c r="AZ62" s="484"/>
      <c r="BA62" s="420"/>
      <c r="BB62" s="421"/>
      <c r="BC62" s="484"/>
      <c r="BD62" s="422"/>
      <c r="BE62" s="400"/>
      <c r="BF62" s="484"/>
      <c r="BG62" s="420"/>
      <c r="BH62" s="423"/>
      <c r="BI62" s="484"/>
      <c r="BJ62" s="399"/>
      <c r="BK62" s="400"/>
      <c r="BL62" s="484"/>
      <c r="BM62" s="420"/>
      <c r="BN62" s="400"/>
      <c r="BO62" s="421"/>
      <c r="BP62" s="422"/>
      <c r="BQ62" s="400"/>
      <c r="BR62" s="421"/>
      <c r="BS62" s="422"/>
      <c r="BT62" s="400"/>
      <c r="BU62" s="423"/>
      <c r="BV62" s="399"/>
      <c r="BW62" s="400"/>
      <c r="BX62" s="421"/>
      <c r="BY62" s="420"/>
      <c r="BZ62" s="400"/>
      <c r="CA62" s="421"/>
      <c r="CB62" s="422"/>
      <c r="CC62" s="400"/>
      <c r="CD62" s="421"/>
      <c r="CE62" s="420"/>
      <c r="CF62" s="400"/>
      <c r="CG62" s="421"/>
      <c r="CH62" s="399"/>
      <c r="CI62" s="400"/>
      <c r="CJ62" s="421"/>
      <c r="CK62" s="420"/>
      <c r="CL62" s="400"/>
      <c r="CM62" s="421"/>
      <c r="CN62" s="422"/>
      <c r="CO62" s="400"/>
      <c r="CP62" s="421"/>
      <c r="CQ62" s="420"/>
      <c r="CR62" s="400"/>
      <c r="CS62" s="421"/>
      <c r="CT62" s="360">
        <f>COUNT(B24)</f>
        <v>1</v>
      </c>
      <c r="CU62" s="368">
        <f>AVERAGE(AE24)</f>
        <v>73</v>
      </c>
      <c r="CV62" s="57"/>
      <c r="CW62" s="373">
        <f>COUNT(B24)</f>
        <v>1</v>
      </c>
      <c r="CX62" s="368">
        <f>AVERAGE(AM24)</f>
        <v>35</v>
      </c>
      <c r="CY62" s="57"/>
      <c r="CZ62" s="64">
        <f>COUNT(B24)</f>
        <v>1</v>
      </c>
      <c r="DA62" s="368" t="e">
        <f>AVERAGE(AV24)</f>
        <v>#DIV/0!</v>
      </c>
      <c r="DB62" s="57"/>
      <c r="DC62" s="373">
        <f>COUNT(B24)</f>
        <v>1</v>
      </c>
      <c r="DD62" s="368">
        <f>AVERAGE(BE24)</f>
        <v>41</v>
      </c>
      <c r="DE62" s="58"/>
    </row>
    <row r="63" spans="2:109" ht="15.75" thickBot="1">
      <c r="B63" s="273" t="s">
        <v>34</v>
      </c>
      <c r="C63" s="350">
        <f>COUNTIF(G2:G31,"T3")</f>
        <v>3</v>
      </c>
      <c r="D63" s="363">
        <f>COUNTIFS(G2:G31,"T3",D2:D31,"hip",Z2:Z31,"Y")+COUNTIFS(G2:G31,"T3",D2:D31,"hip",Z2:Z31,"N")+COUNTIFS(G2:G31,"T3",D2:D31,"hip",Z2:Z31,"UK")</f>
        <v>3</v>
      </c>
      <c r="E63" s="266">
        <f>COUNTIFS(G2:G31,"T3",D2:D31,"hip",Z2:Z31,"Y")</f>
        <v>1</v>
      </c>
      <c r="F63" s="267">
        <f>COUNTIFS(G2:G31,"T3",D2:D31,"hip",Z2:Z31,"N")</f>
        <v>2</v>
      </c>
      <c r="G63" s="267">
        <f>COUNTIFS(G2:G31,"T3",D2:D31,"hip",Z2:Z31,"UK")</f>
        <v>0</v>
      </c>
      <c r="H63" s="268">
        <f t="shared" si="10"/>
        <v>0.33333333333333331</v>
      </c>
      <c r="I63" s="269">
        <f>COUNTIFS(G2:G31,"T3",D2:D31,"hip",BU2:BU31,"&lt;7")</f>
        <v>2</v>
      </c>
      <c r="J63" s="270">
        <f t="shared" si="9"/>
        <v>0.66666666666666663</v>
      </c>
      <c r="K63" s="265">
        <f>COUNTIFS(G2:G31,"T3",D2:D31,"hip",AA2:AA31,"Y")+COUNTIFS(G2:G31,"T3",D2:D31,"hip",AA2:AA31,"N")+COUNTIFS(G2:G31,"T3",D2:D31,"hip",AA2:AA31,"UK")</f>
        <v>3</v>
      </c>
      <c r="L63" s="266">
        <f>COUNTIFS(G2:G31,"T3",D2:D31,"hip",AA2:AA31,"Y")</f>
        <v>0</v>
      </c>
      <c r="M63" s="267">
        <f>COUNTIFS(G2:G31,"T3",D2:D31,"hip",AA2:AA31,"N")</f>
        <v>3</v>
      </c>
      <c r="N63" s="271">
        <f>COUNTIFS(G2:G31,"T3",D2:D31,"hip",AA2:AA31,"UK")</f>
        <v>0</v>
      </c>
      <c r="O63" s="445">
        <f t="shared" si="11"/>
        <v>0</v>
      </c>
      <c r="P63" s="271">
        <f>COUNTIFS(G2:G31,"T3",D2:D31,"hip",BU2:BU31,"&lt;13")</f>
        <v>3</v>
      </c>
      <c r="Q63" s="446">
        <f t="shared" si="12"/>
        <v>1</v>
      </c>
      <c r="R63" s="447">
        <f>COUNTIFS(G2:G31,"T3",D2:D31,"hip",AB2:AB31,"Y")+COUNTIFS(G2:G31,"T3",D2:D31,"hip",AB2:AB31,"N")+COUNTIFS(G2:G31,"T3",D2:D31,"hip",AB2:AB31,"UK")</f>
        <v>3</v>
      </c>
      <c r="S63" s="448">
        <f>COUNTIFS(G2:G31,"T3",D2:D31,"hip",AB2:AB31,"Y")</f>
        <v>0</v>
      </c>
      <c r="T63" s="271">
        <f>COUNTIFS(G2:G31,"T3",D2:D31,"hip",AB2:AB31,"N")</f>
        <v>3</v>
      </c>
      <c r="U63" s="449">
        <f>COUNTIFS(G2:G31,"T3",D2:D31,"hip",AB2:AB31,"UK")</f>
        <v>0</v>
      </c>
      <c r="V63" s="445">
        <f t="shared" si="13"/>
        <v>0</v>
      </c>
      <c r="W63" s="450">
        <f>COUNTIFS(G2:G31,"T3",D2:D31,"hip",BU2:BU31,"&lt;25")</f>
        <v>3</v>
      </c>
      <c r="X63" s="446">
        <f t="shared" si="14"/>
        <v>1</v>
      </c>
      <c r="Y63" s="366"/>
      <c r="Z63" s="363">
        <f>COUNT(AH25:AH27)</f>
        <v>3</v>
      </c>
      <c r="AA63" s="378">
        <f>AVERAGE(AH25:AH27)</f>
        <v>35</v>
      </c>
      <c r="AB63" s="394"/>
      <c r="AC63" s="375">
        <f>COUNT(AQ25:AQ27)</f>
        <v>1</v>
      </c>
      <c r="AD63" s="378">
        <f>AVERAGE(AQ25:AQ27)</f>
        <v>10</v>
      </c>
      <c r="AE63" s="394"/>
      <c r="AF63" s="265">
        <f>COUNT(AZ25:AZ27)</f>
        <v>0</v>
      </c>
      <c r="AG63" s="513" t="e">
        <f>AVERAGE(AZ25:AZ27)</f>
        <v>#DIV/0!</v>
      </c>
      <c r="AH63" s="394"/>
      <c r="AI63" s="375">
        <f>COUNT(BI25:BI27)</f>
        <v>0</v>
      </c>
      <c r="AJ63" s="378" t="e">
        <f>AVERAGE(BI25:BI27)</f>
        <v>#DIV/0!</v>
      </c>
      <c r="AK63" s="395"/>
      <c r="AL63" s="402"/>
      <c r="AM63" s="403"/>
      <c r="AN63" s="486"/>
      <c r="AO63" s="424"/>
      <c r="AP63" s="425"/>
      <c r="AQ63" s="487"/>
      <c r="AR63" s="426"/>
      <c r="AS63" s="404"/>
      <c r="AT63" s="487"/>
      <c r="AU63" s="424"/>
      <c r="AV63" s="427"/>
      <c r="AW63" s="487"/>
      <c r="AX63" s="402"/>
      <c r="AY63" s="404"/>
      <c r="AZ63" s="487"/>
      <c r="BA63" s="424"/>
      <c r="BB63" s="425"/>
      <c r="BC63" s="487"/>
      <c r="BD63" s="426"/>
      <c r="BE63" s="404"/>
      <c r="BF63" s="487"/>
      <c r="BG63" s="424"/>
      <c r="BH63" s="427"/>
      <c r="BI63" s="487"/>
      <c r="BJ63" s="402"/>
      <c r="BK63" s="404"/>
      <c r="BL63" s="487"/>
      <c r="BM63" s="424"/>
      <c r="BN63" s="404"/>
      <c r="BO63" s="425"/>
      <c r="BP63" s="426"/>
      <c r="BQ63" s="404"/>
      <c r="BR63" s="425"/>
      <c r="BS63" s="426"/>
      <c r="BT63" s="404"/>
      <c r="BU63" s="427"/>
      <c r="BV63" s="402"/>
      <c r="BW63" s="404"/>
      <c r="BX63" s="425"/>
      <c r="BY63" s="424"/>
      <c r="BZ63" s="404"/>
      <c r="CA63" s="425"/>
      <c r="CB63" s="426"/>
      <c r="CC63" s="404"/>
      <c r="CD63" s="425"/>
      <c r="CE63" s="424"/>
      <c r="CF63" s="404"/>
      <c r="CG63" s="425"/>
      <c r="CH63" s="402"/>
      <c r="CI63" s="404"/>
      <c r="CJ63" s="425"/>
      <c r="CK63" s="424"/>
      <c r="CL63" s="404"/>
      <c r="CM63" s="425"/>
      <c r="CN63" s="426"/>
      <c r="CO63" s="404"/>
      <c r="CP63" s="425"/>
      <c r="CQ63" s="424"/>
      <c r="CR63" s="404"/>
      <c r="CS63" s="425"/>
      <c r="CT63" s="363">
        <f>COUNT(AE25:AE27)</f>
        <v>3</v>
      </c>
      <c r="CU63" s="370">
        <f>AVERAGE(AE25:AE27)</f>
        <v>62.666666666666664</v>
      </c>
      <c r="CV63" s="394"/>
      <c r="CW63" s="375">
        <f>COUNT(AM25:AM27)</f>
        <v>0</v>
      </c>
      <c r="CX63" s="370" t="e">
        <f>AVERAGE(AM25:AM27)</f>
        <v>#DIV/0!</v>
      </c>
      <c r="CY63" s="394"/>
      <c r="CZ63" s="265">
        <f>COUNT(AV25:AV27)</f>
        <v>0</v>
      </c>
      <c r="DA63" s="370" t="e">
        <f>AVERAGE(AV25:AV27)</f>
        <v>#DIV/0!</v>
      </c>
      <c r="DB63" s="394"/>
      <c r="DC63" s="375">
        <f>COUNT(BE25:BE27)</f>
        <v>0</v>
      </c>
      <c r="DD63" s="370" t="e">
        <f>AVERAGE(BE25:BE27)</f>
        <v>#DIV/0!</v>
      </c>
      <c r="DE63" s="395"/>
    </row>
    <row r="64" spans="2:109" ht="15.75" thickTop="1">
      <c r="B64" s="26" t="s">
        <v>35</v>
      </c>
      <c r="C64" s="351">
        <f>COUNTIF(D2:D31,"sh")</f>
        <v>2</v>
      </c>
      <c r="D64" s="362">
        <f>COUNTIFS(D2:D31,"sh",Z2:Z31,"Y")+COUNTIFS(D2:D31,"sh",Z2:Z31,"N")+COUNTIFS(D2:D31,"sh",Z2:Z31,"UK")</f>
        <v>2</v>
      </c>
      <c r="E64" s="29">
        <f>COUNTIFS(D2:D31,"sh",Z2:Z31,"Y")</f>
        <v>0</v>
      </c>
      <c r="F64" s="27">
        <f>COUNTIFS(D2:D31,"sh",Z2:Z31,"N")</f>
        <v>1</v>
      </c>
      <c r="G64" s="27">
        <f>COUNTIFS(D2:D31,"sh",Z2:Z31,"UK")</f>
        <v>1</v>
      </c>
      <c r="H64" s="198">
        <f t="shared" si="10"/>
        <v>0</v>
      </c>
      <c r="I64" s="226">
        <f>COUNTIFS(D2:D31,"sh",BU2:BU31,"&lt;7")</f>
        <v>0</v>
      </c>
      <c r="J64" s="34">
        <f t="shared" si="9"/>
        <v>0</v>
      </c>
      <c r="K64" s="246">
        <f>COUNTIFS(D2:D31,"sh",AA2:AA31,"Y")+COUNTIFS(D2:D31,"sh",AA2:AA31,"N")+COUNTIFS(D2:D31,"sh",AA2:AA31,"UK")</f>
        <v>2</v>
      </c>
      <c r="L64" s="29">
        <f>COUNTIFS(D2:D31,"sh",AA2:AA31,"Y")</f>
        <v>0</v>
      </c>
      <c r="M64" s="27">
        <f>COUNTIFS(D2:D31,"sh",AA2:AA31,"N")</f>
        <v>1</v>
      </c>
      <c r="N64" s="238">
        <f>COUNTIFS(D2:D31,"sh",AA2:AA31,"UK")</f>
        <v>1</v>
      </c>
      <c r="O64" s="443">
        <f t="shared" si="11"/>
        <v>0</v>
      </c>
      <c r="P64" s="238">
        <f>COUNTIFS(D2:D31,"sh",BU2:BU31,"&lt;13")</f>
        <v>0</v>
      </c>
      <c r="Q64" s="444">
        <f t="shared" si="12"/>
        <v>0</v>
      </c>
      <c r="R64" s="74">
        <f>COUNTIFS(D2:D31,"sh",AB2:AB31,"Y")+COUNTIFS(D2:D31,"sh",AB2:AB31,"N")+COUNTIFS(D2:D31,"sh",AB2:AB31,"UK")</f>
        <v>2</v>
      </c>
      <c r="S64" s="451">
        <f>COUNTIFS(D2:D31,"sh",AB2:AB31,"Y")</f>
        <v>0</v>
      </c>
      <c r="T64" s="238">
        <f>COUNTIFS(D2:D31,"sh",AB2:AB31,"N")</f>
        <v>1</v>
      </c>
      <c r="U64" s="77">
        <f>COUNTIFS(D2:D31,"sh",AB2:AB31,"UK")</f>
        <v>1</v>
      </c>
      <c r="V64" s="443">
        <f t="shared" si="13"/>
        <v>0</v>
      </c>
      <c r="W64" s="74">
        <f>COUNTIFS(D2:D31,"sh",BU2:BU31,"&lt;25")</f>
        <v>1</v>
      </c>
      <c r="X64" s="444">
        <f t="shared" si="14"/>
        <v>1</v>
      </c>
      <c r="Y64" s="366"/>
      <c r="Z64" s="362">
        <f>COUNT(AH30:AH31)</f>
        <v>2</v>
      </c>
      <c r="AA64" s="377">
        <f>AVERAGE(AH30:AH31)</f>
        <v>37.5</v>
      </c>
      <c r="AB64" s="414">
        <f>STDEV(AH30:AH31)</f>
        <v>17.677669529663689</v>
      </c>
      <c r="AC64" s="356">
        <f>COUNT(AQ30:AQ31)</f>
        <v>0</v>
      </c>
      <c r="AD64" s="538" t="e">
        <f>AVERAGE(AQ30:AQ31)</f>
        <v>#DIV/0!</v>
      </c>
      <c r="AE64" s="414"/>
      <c r="AF64" s="246">
        <f>COUNT(AZ30:AZ31)</f>
        <v>0</v>
      </c>
      <c r="AG64" s="511" t="e">
        <f>AVERAGE(AZ30:AZ31)</f>
        <v>#DIV/0!</v>
      </c>
      <c r="AH64" s="414"/>
      <c r="AI64" s="356">
        <f>COUNT(BI30:BI31)</f>
        <v>0</v>
      </c>
      <c r="AJ64" s="369" t="e">
        <f>AVERAGE(BI30:BI31)</f>
        <v>#DIV/0!</v>
      </c>
      <c r="AK64" s="413"/>
      <c r="AL64" s="397"/>
      <c r="AM64" s="398"/>
      <c r="AN64" s="483"/>
      <c r="AO64" s="415"/>
      <c r="AP64" s="416"/>
      <c r="AQ64" s="490"/>
      <c r="AR64" s="417"/>
      <c r="AS64" s="418"/>
      <c r="AT64" s="490"/>
      <c r="AU64" s="415"/>
      <c r="AV64" s="419"/>
      <c r="AW64" s="490"/>
      <c r="AX64" s="397"/>
      <c r="AY64" s="418"/>
      <c r="AZ64" s="490"/>
      <c r="BA64" s="415"/>
      <c r="BB64" s="416"/>
      <c r="BC64" s="490"/>
      <c r="BD64" s="417"/>
      <c r="BE64" s="418"/>
      <c r="BF64" s="490"/>
      <c r="BG64" s="415"/>
      <c r="BH64" s="419"/>
      <c r="BI64" s="490"/>
      <c r="BJ64" s="362">
        <f>COUNT(AE30:AE31)</f>
        <v>2</v>
      </c>
      <c r="BK64" s="369">
        <f>AVERAGE(AE30:AE31)</f>
        <v>58</v>
      </c>
      <c r="BL64" s="413"/>
      <c r="BM64" s="356">
        <f>COUNT(AM30:AM31)</f>
        <v>1</v>
      </c>
      <c r="BN64" s="369">
        <f>AVERAGE(AM30:AM31)</f>
        <v>55</v>
      </c>
      <c r="BO64" s="414"/>
      <c r="BP64" s="246">
        <f>COUNT(AV30:AV31)</f>
        <v>1</v>
      </c>
      <c r="BQ64" s="369">
        <f>AVERAGE(AV30:AV31)</f>
        <v>55</v>
      </c>
      <c r="BR64" s="414"/>
      <c r="BS64" s="246">
        <f>COUNT(BE30:BE31)</f>
        <v>0</v>
      </c>
      <c r="BT64" s="369" t="e">
        <f>AVERAGE(BE30:BE31)</f>
        <v>#DIV/0!</v>
      </c>
      <c r="BU64" s="413"/>
      <c r="BV64" s="362">
        <f>COUNT(AF30:AF31)</f>
        <v>0</v>
      </c>
      <c r="BW64" s="377" t="e">
        <f>AVERAGE(AF30:AF31)</f>
        <v>#DIV/0!</v>
      </c>
      <c r="BX64" s="414"/>
      <c r="BY64" s="356">
        <f>COUNT(AN30:AN31)</f>
        <v>0</v>
      </c>
      <c r="BZ64" s="377" t="e">
        <f>AVERAGE(AN30:AN31)</f>
        <v>#DIV/0!</v>
      </c>
      <c r="CA64" s="414"/>
      <c r="CB64" s="246">
        <f>COUNT(AW30:AW31)</f>
        <v>0</v>
      </c>
      <c r="CC64" s="377" t="e">
        <f>AVERAGE(AW30:AW31)</f>
        <v>#DIV/0!</v>
      </c>
      <c r="CD64" s="414"/>
      <c r="CE64" s="356">
        <f>COUNT(BF30:BF31)</f>
        <v>0</v>
      </c>
      <c r="CF64" s="377" t="e">
        <f>AVERAGE(BF30:BF31)</f>
        <v>#DIV/0!</v>
      </c>
      <c r="CG64" s="414"/>
      <c r="CH64" s="362">
        <f>COUNT(AG30:AG31)</f>
        <v>0</v>
      </c>
      <c r="CI64" s="369" t="e">
        <f>AVERAGE(AG30:AG31)</f>
        <v>#DIV/0!</v>
      </c>
      <c r="CJ64" s="414"/>
      <c r="CK64" s="356">
        <f>COUNT(AO30:AO31)</f>
        <v>0</v>
      </c>
      <c r="CL64" s="369" t="e">
        <f>AVERAGE(AO30:AO31)</f>
        <v>#DIV/0!</v>
      </c>
      <c r="CM64" s="414"/>
      <c r="CN64" s="246">
        <f>COUNT(AX30:AX31)</f>
        <v>0</v>
      </c>
      <c r="CO64" s="369" t="e">
        <f>AVERAGE(AX30:AX31)</f>
        <v>#DIV/0!</v>
      </c>
      <c r="CP64" s="414"/>
      <c r="CQ64" s="356">
        <f>COUNT(BG30:BG31)</f>
        <v>0</v>
      </c>
      <c r="CR64" s="369" t="e">
        <f>AVERAGE(BG30:BG31)</f>
        <v>#DIV/0!</v>
      </c>
      <c r="CS64" s="414"/>
      <c r="CT64" s="397"/>
      <c r="CU64" s="418"/>
      <c r="CV64" s="490"/>
      <c r="CW64" s="415"/>
      <c r="CX64" s="418"/>
      <c r="CY64" s="416"/>
      <c r="CZ64" s="417"/>
      <c r="DA64" s="418"/>
      <c r="DB64" s="490"/>
      <c r="DC64" s="415"/>
      <c r="DD64" s="418"/>
      <c r="DE64" s="419"/>
    </row>
    <row r="65" spans="2:109">
      <c r="B65" s="67" t="s">
        <v>85</v>
      </c>
      <c r="C65" s="352">
        <f>COUNTIFS(D2:D31,"sh",G2:G31,"&lt;2")</f>
        <v>2</v>
      </c>
      <c r="D65" s="360">
        <f>COUNTIFS(G2:G31,"&lt;2",D2:D31,"sh",Z2:Z31,"Y")+COUNTIFS(G2:G31,"&lt;2",D2:D31,"sh",Z2:Z31,"N")+COUNTIFS(G2:G31,"&lt;2",D2:D31,"sh",Z2:Z31,"UK")</f>
        <v>2</v>
      </c>
      <c r="E65" s="210">
        <f>COUNTIFS(G2:G31,"&lt;2",D2:D31,"sh",Z2:Z31,"Y")</f>
        <v>0</v>
      </c>
      <c r="F65" s="65">
        <f>COUNTIFS(G2:G31,"&lt;2",D2:D31,"sh",Z2:Z31,"N")</f>
        <v>1</v>
      </c>
      <c r="G65" s="65">
        <f>COUNTIFS(G2:G31,"&lt;2",D2:D31,"sh",Z2:Z31,"UK")</f>
        <v>1</v>
      </c>
      <c r="H65" s="198">
        <f t="shared" si="10"/>
        <v>0</v>
      </c>
      <c r="I65" s="222"/>
      <c r="J65" s="34">
        <f t="shared" si="9"/>
        <v>0</v>
      </c>
      <c r="K65" s="64">
        <f>COUNTIFS(G2:G31,"&lt;2",D2:D31,"sh",AA2:AA31,"Y")+COUNTIFS(G2:G31,"&lt;2",D2:D31,"sh",AA2:AA31,"N")+COUNTIFS(G2:G31,"&lt;2",D2:D31,"sh",AA2:AA31,"UK")</f>
        <v>2</v>
      </c>
      <c r="L65" s="210">
        <f>COUNTIFS(G2:G31,"&lt;2",D2:D31,"sh",AA2:AA31,"Y")</f>
        <v>0</v>
      </c>
      <c r="M65" s="65">
        <f>COUNTIFS(G2:G31,"&lt;2",D2:D31,"sh",AA2:AA31,"N")</f>
        <v>1</v>
      </c>
      <c r="N65" s="235">
        <f>COUNTIFS(G2:G31,"&lt;2",D2:D31,"sh",AA2:AA31,"UK")</f>
        <v>1</v>
      </c>
      <c r="O65" s="443">
        <f t="shared" si="11"/>
        <v>0</v>
      </c>
      <c r="P65" s="244"/>
      <c r="Q65" s="444">
        <f t="shared" si="12"/>
        <v>0</v>
      </c>
      <c r="R65" s="76">
        <f>COUNTIFS(G2:G31,"&lt;2",D2:D31,"sh",AB2:AB31,"Y")+COUNTIFS(G2:G31,"&lt;2",D2:D31,"sh",AB2:AB31,"N")+COUNTIFS(G2:G31,"&lt;2",D2:D31,"sh",AB2:AB31,"UK")</f>
        <v>2</v>
      </c>
      <c r="S65" s="453">
        <f>COUNTIFS(G2:G31,"&lt;2",D2:D31,"sh",AB2:AB31,"Y")</f>
        <v>0</v>
      </c>
      <c r="T65" s="235">
        <f>COUNTIFS(G2:G31,"&lt;2",D2:D31,"sh",AB2:AB31,"N")</f>
        <v>1</v>
      </c>
      <c r="U65" s="102">
        <f>COUNTIFS(G2:G31,"&lt;2",D2:D31,"sh",AB2:AB31,"UK")</f>
        <v>1</v>
      </c>
      <c r="V65" s="443">
        <f t="shared" si="13"/>
        <v>0</v>
      </c>
      <c r="W65" s="69">
        <v>1</v>
      </c>
      <c r="X65" s="444">
        <f t="shared" si="14"/>
        <v>1</v>
      </c>
      <c r="Y65" s="366"/>
      <c r="Z65" s="360">
        <f>COUNT(AH30:AH31)</f>
        <v>2</v>
      </c>
      <c r="AA65" s="316">
        <f>AVERAGE(AH30:AH31)</f>
        <v>37.5</v>
      </c>
      <c r="AB65" s="57"/>
      <c r="AC65" s="373">
        <f>COUNT(AQ30:AQ31)</f>
        <v>0</v>
      </c>
      <c r="AD65" s="539" t="e">
        <f>AVERAGE(AQ30:AQ31)</f>
        <v>#DIV/0!</v>
      </c>
      <c r="AE65" s="57"/>
      <c r="AF65" s="64">
        <f>COUNT(AZ30:AZ31)</f>
        <v>0</v>
      </c>
      <c r="AG65" s="512" t="e">
        <f>AVERAGE(AZ30:AZ31)</f>
        <v>#DIV/0!</v>
      </c>
      <c r="AH65" s="57"/>
      <c r="AI65" s="373">
        <f>COUNT(BI30:BI31)</f>
        <v>0</v>
      </c>
      <c r="AJ65" s="368" t="e">
        <f>AVERAGE(BI30:BI31)</f>
        <v>#DIV/0!</v>
      </c>
      <c r="AK65" s="58"/>
      <c r="AL65" s="399"/>
      <c r="AM65" s="401"/>
      <c r="AN65" s="485"/>
      <c r="AO65" s="420"/>
      <c r="AP65" s="421"/>
      <c r="AQ65" s="484"/>
      <c r="AR65" s="422"/>
      <c r="AS65" s="400"/>
      <c r="AT65" s="484"/>
      <c r="AU65" s="420"/>
      <c r="AV65" s="423"/>
      <c r="AW65" s="484"/>
      <c r="AX65" s="399"/>
      <c r="AY65" s="400"/>
      <c r="AZ65" s="484"/>
      <c r="BA65" s="420"/>
      <c r="BB65" s="421"/>
      <c r="BC65" s="484"/>
      <c r="BD65" s="422"/>
      <c r="BE65" s="400"/>
      <c r="BF65" s="484"/>
      <c r="BG65" s="420"/>
      <c r="BH65" s="423"/>
      <c r="BI65" s="484"/>
      <c r="BJ65" s="360">
        <f>COUNT(AE30:AE31)</f>
        <v>2</v>
      </c>
      <c r="BK65" s="368">
        <f>AVERAGE(AE30:AE31)</f>
        <v>58</v>
      </c>
      <c r="BL65" s="58"/>
      <c r="BM65" s="373">
        <f>COUNT(AM30:AM31)</f>
        <v>1</v>
      </c>
      <c r="BN65" s="368">
        <f>AVERAGE(AM30:AM31)</f>
        <v>55</v>
      </c>
      <c r="BO65" s="57"/>
      <c r="BP65" s="64">
        <f>COUNT(AV30:AV31)</f>
        <v>1</v>
      </c>
      <c r="BQ65" s="368">
        <f>AVERAGE(AV30:AV31)</f>
        <v>55</v>
      </c>
      <c r="BR65" s="57"/>
      <c r="BS65" s="64">
        <f>COUNT(BE30:BE31)</f>
        <v>0</v>
      </c>
      <c r="BT65" s="368" t="e">
        <f>AVERAGE(BE30:BE31)</f>
        <v>#DIV/0!</v>
      </c>
      <c r="BU65" s="58"/>
      <c r="BV65" s="360">
        <f>COUNT(AF30:AF31)</f>
        <v>0</v>
      </c>
      <c r="BW65" s="316" t="e">
        <f>AVERAGE(AF30:AF31)</f>
        <v>#DIV/0!</v>
      </c>
      <c r="BX65" s="57"/>
      <c r="BY65" s="373">
        <f>COUNT(AN30:AN31)</f>
        <v>0</v>
      </c>
      <c r="BZ65" s="316" t="e">
        <f>AVERAGE(AN30:AN31)</f>
        <v>#DIV/0!</v>
      </c>
      <c r="CA65" s="57"/>
      <c r="CB65" s="64">
        <f>COUNT(AW30:AW31)</f>
        <v>0</v>
      </c>
      <c r="CC65" s="316" t="e">
        <f>AVERAGE(AW30:AW31)</f>
        <v>#DIV/0!</v>
      </c>
      <c r="CD65" s="57"/>
      <c r="CE65" s="373">
        <f>COUNT(BF30:BF31)</f>
        <v>0</v>
      </c>
      <c r="CF65" s="316" t="e">
        <f>AVERAGE(BF30:BF31)</f>
        <v>#DIV/0!</v>
      </c>
      <c r="CG65" s="57"/>
      <c r="CH65" s="360">
        <f>COUNT(AG30:AG31)</f>
        <v>0</v>
      </c>
      <c r="CI65" s="368" t="e">
        <f>AVERAGE(AG30:AG31)</f>
        <v>#DIV/0!</v>
      </c>
      <c r="CJ65" s="57"/>
      <c r="CK65" s="373">
        <f>COUNT(AO30:AO31)</f>
        <v>0</v>
      </c>
      <c r="CL65" s="368" t="e">
        <f>AVERAGE(AO30:AO31)</f>
        <v>#DIV/0!</v>
      </c>
      <c r="CM65" s="57"/>
      <c r="CN65" s="64">
        <f>COUNT(AX30:AX31)</f>
        <v>0</v>
      </c>
      <c r="CO65" s="368" t="e">
        <f>AVERAGE(AX30:AX31)</f>
        <v>#DIV/0!</v>
      </c>
      <c r="CP65" s="57"/>
      <c r="CQ65" s="373">
        <f>COUNT(BG30:BG31)</f>
        <v>0</v>
      </c>
      <c r="CR65" s="368" t="e">
        <f>AVERAGE(BG30:BG31)</f>
        <v>#DIV/0!</v>
      </c>
      <c r="CS65" s="57"/>
      <c r="CT65" s="399"/>
      <c r="CU65" s="400"/>
      <c r="CV65" s="484"/>
      <c r="CW65" s="420"/>
      <c r="CX65" s="400"/>
      <c r="CY65" s="421"/>
      <c r="CZ65" s="422"/>
      <c r="DA65" s="400"/>
      <c r="DB65" s="484"/>
      <c r="DC65" s="420"/>
      <c r="DD65" s="400"/>
      <c r="DE65" s="423"/>
    </row>
    <row r="66" spans="2:109" ht="15.75" thickBot="1">
      <c r="B66" s="276" t="s">
        <v>86</v>
      </c>
      <c r="C66" s="353">
        <f>COUNTIFS(D2:D31,"sh",G2:G31,"&gt;1")</f>
        <v>0</v>
      </c>
      <c r="D66" s="363">
        <f>COUNTIFS(G2:G31,"&gt;1",D2:D31,"sh",Z2:Z31,"Y")+COUNTIFS(G2:G31,"&gt;1",D2:D31,"sh",Z2:Z31,"N")+COUNTIFS(G2:G31,"&gt;1",D2:D31,"sh",Z2:Z31,"UK")</f>
        <v>0</v>
      </c>
      <c r="E66" s="277">
        <f>COUNTIFS(G2:G31,"&gt;1",D2:D31,"sh",Z2:Z31,"Y")</f>
        <v>0</v>
      </c>
      <c r="F66" s="278">
        <f>COUNTIFS(G2:G31,"&gt;1",D2:D31,"sh",Z2:Z31,"N")</f>
        <v>0</v>
      </c>
      <c r="G66" s="278">
        <f>COUNTIFS(G2:G31,"&gt;1",D2:D31,"sh",Z2:Z31,"UK")</f>
        <v>0</v>
      </c>
      <c r="H66" s="268" t="e">
        <f t="shared" si="10"/>
        <v>#DIV/0!</v>
      </c>
      <c r="I66" s="279"/>
      <c r="J66" s="270" t="e">
        <f t="shared" si="9"/>
        <v>#DIV/0!</v>
      </c>
      <c r="K66" s="265">
        <f>COUNTIFS(G2:G31,"&gt;1",D2:D31,"sh",AA2:AA31,"Y")+COUNTIFS(G2:G31,"&gt;1",D2:D31,"sh",AA2:AA31,"N")+COUNTIFS(G2:G31,"&gt;1",D2:D31,"sh",AA2:AA31,"UK")</f>
        <v>0</v>
      </c>
      <c r="L66" s="277">
        <f>COUNTIFS(G2:G31,"&gt;1",D2:D31,"sh",AA2:AA31,"Y")</f>
        <v>0</v>
      </c>
      <c r="M66" s="278">
        <f>COUNTIFS(G2:G31,"&gt;1",D2:D31,"sh",AA2:AA31,"N")</f>
        <v>0</v>
      </c>
      <c r="N66" s="280">
        <f>COUNTIFS(G2:G31,"&gt;1",D2:D31,"sh",AA2:AA31,"UK")</f>
        <v>0</v>
      </c>
      <c r="O66" s="445" t="e">
        <f t="shared" si="11"/>
        <v>#DIV/0!</v>
      </c>
      <c r="P66" s="280"/>
      <c r="Q66" s="446" t="e">
        <f t="shared" si="12"/>
        <v>#DIV/0!</v>
      </c>
      <c r="R66" s="447">
        <f>COUNTIFS(G2:G31,"&gt;1",D2:D31,"sh",AB2:AB31,"Y")+COUNTIFS(G2:G31,"&gt;1",D2:D31,"sh",AB2:AB31,"N")+COUNTIFS(G2:G31,"&gt;1",D2:D31,"sh",AB2:AB31,"UK")</f>
        <v>0</v>
      </c>
      <c r="S66" s="454">
        <f>COUNTIFS(G2:G31,"&gt;1",D2:D31,"sh",AB2:AB31,"Y")</f>
        <v>0</v>
      </c>
      <c r="T66" s="280">
        <f>COUNTIFS(G2:G31,"&gt;1",D2:D31,"sh",AB2:AB31,"N")</f>
        <v>0</v>
      </c>
      <c r="U66" s="455">
        <f>COUNTIFS(G2:G31,"&gt;1",D2:D31,"sh",AB2:AB31,"UK")</f>
        <v>0</v>
      </c>
      <c r="V66" s="445" t="e">
        <f t="shared" si="13"/>
        <v>#DIV/0!</v>
      </c>
      <c r="W66" s="456"/>
      <c r="X66" s="446" t="e">
        <f t="shared" si="14"/>
        <v>#DIV/0!</v>
      </c>
      <c r="Y66" s="366"/>
      <c r="Z66" s="363"/>
      <c r="AA66" s="378"/>
      <c r="AB66" s="394"/>
      <c r="AC66" s="375"/>
      <c r="AD66" s="378"/>
      <c r="AE66" s="394"/>
      <c r="AF66" s="265"/>
      <c r="AG66" s="370"/>
      <c r="AH66" s="394"/>
      <c r="AI66" s="375"/>
      <c r="AJ66" s="370"/>
      <c r="AK66" s="395"/>
      <c r="AL66" s="402"/>
      <c r="AM66" s="404"/>
      <c r="AN66" s="487"/>
      <c r="AO66" s="424"/>
      <c r="AP66" s="425"/>
      <c r="AQ66" s="487"/>
      <c r="AR66" s="426"/>
      <c r="AS66" s="404"/>
      <c r="AT66" s="487"/>
      <c r="AU66" s="424"/>
      <c r="AV66" s="427"/>
      <c r="AW66" s="487"/>
      <c r="AX66" s="402"/>
      <c r="AY66" s="404"/>
      <c r="AZ66" s="487"/>
      <c r="BA66" s="424"/>
      <c r="BB66" s="425"/>
      <c r="BC66" s="487"/>
      <c r="BD66" s="426"/>
      <c r="BE66" s="404"/>
      <c r="BF66" s="487"/>
      <c r="BG66" s="424"/>
      <c r="BH66" s="427"/>
      <c r="BI66" s="487"/>
      <c r="BJ66" s="363"/>
      <c r="BK66" s="370"/>
      <c r="BL66" s="395"/>
      <c r="BM66" s="375"/>
      <c r="BN66" s="370"/>
      <c r="BO66" s="394"/>
      <c r="BP66" s="265"/>
      <c r="BQ66" s="370"/>
      <c r="BR66" s="394"/>
      <c r="BS66" s="265"/>
      <c r="BT66" s="370"/>
      <c r="BU66" s="395"/>
      <c r="BV66" s="363"/>
      <c r="BW66" s="370"/>
      <c r="BX66" s="394"/>
      <c r="BY66" s="375"/>
      <c r="BZ66" s="370"/>
      <c r="CA66" s="394"/>
      <c r="CB66" s="265"/>
      <c r="CC66" s="370"/>
      <c r="CD66" s="394"/>
      <c r="CE66" s="375"/>
      <c r="CF66" s="370"/>
      <c r="CG66" s="394"/>
      <c r="CH66" s="363"/>
      <c r="CI66" s="370"/>
      <c r="CJ66" s="394"/>
      <c r="CK66" s="375"/>
      <c r="CL66" s="370"/>
      <c r="CM66" s="394"/>
      <c r="CN66" s="265"/>
      <c r="CO66" s="370"/>
      <c r="CP66" s="394"/>
      <c r="CQ66" s="375"/>
      <c r="CR66" s="370"/>
      <c r="CS66" s="394"/>
      <c r="CT66" s="402"/>
      <c r="CU66" s="404"/>
      <c r="CV66" s="487"/>
      <c r="CW66" s="424"/>
      <c r="CX66" s="404"/>
      <c r="CY66" s="425"/>
      <c r="CZ66" s="426"/>
      <c r="DA66" s="404"/>
      <c r="DB66" s="487"/>
      <c r="DC66" s="424"/>
      <c r="DD66" s="404"/>
      <c r="DE66" s="427"/>
    </row>
    <row r="67" spans="2:109" ht="15.75" thickTop="1">
      <c r="B67" s="274" t="s">
        <v>36</v>
      </c>
      <c r="C67" s="351">
        <f>COUNTIF(D2:D31,"thumb")</f>
        <v>2</v>
      </c>
      <c r="D67" s="362">
        <f>COUNTIFS(D2:D31,"thumb",Z2:Z31,"Y")+COUNTIFS(D2:D31,"thumb",Z2:Z31,"N")+COUNTIFS(D2:D31,"thumb",Z2:Z31,"UK")</f>
        <v>2</v>
      </c>
      <c r="E67" s="29">
        <f>COUNTIFS(D2:D31,"thumb",Z2:Z31,"Y")</f>
        <v>2</v>
      </c>
      <c r="F67" s="27">
        <f>COUNTIFS(D2:D31,"thumb",Z2:Z31,"N")</f>
        <v>0</v>
      </c>
      <c r="G67" s="27">
        <f>COUNTIFS(D2:D31,"thumb",Z2:Z31,"UK")</f>
        <v>0</v>
      </c>
      <c r="H67" s="198">
        <f t="shared" si="10"/>
        <v>1</v>
      </c>
      <c r="I67" s="226"/>
      <c r="J67" s="34">
        <f t="shared" si="9"/>
        <v>0</v>
      </c>
      <c r="K67" s="246">
        <f>COUNTIFS(D2:D31,"thumb",AA2:AA31,"Y")+COUNTIFS(D2:D31,"thumb",AA2:AA31,"N")+COUNTIFS(D2:D31,"thumb",AA2:AA31,"UK")</f>
        <v>2</v>
      </c>
      <c r="L67" s="29">
        <f>COUNTIFS(D2:D31,"thumb",AA2:AA31,"Y")</f>
        <v>2</v>
      </c>
      <c r="M67" s="27">
        <f>COUNTIFS(D2:D31,"thumb",AA2:AA31,"N")</f>
        <v>0</v>
      </c>
      <c r="N67" s="238">
        <f>COUNTIFS(D2:D31,"thumb",AA2:AA31,"UK")</f>
        <v>0</v>
      </c>
      <c r="O67" s="443">
        <f t="shared" si="11"/>
        <v>1</v>
      </c>
      <c r="P67" s="238"/>
      <c r="Q67" s="444">
        <f t="shared" si="12"/>
        <v>0</v>
      </c>
      <c r="R67" s="74">
        <f>COUNTIFS(D2:D31,"thumb",AB2:AB31,"Y")+COUNTIFS(D2:D31,"thumb",AB2:AB31,"N")+COUNTIFS(D2:D31,"thumb",AB2:AB31,"UK")</f>
        <v>2</v>
      </c>
      <c r="S67" s="457">
        <f>COUNTIFS(D2:D31,"thumb",AB2:AB31,"Y")</f>
        <v>2</v>
      </c>
      <c r="T67" s="243">
        <f>COUNTIFS(D2:D31,"thumb",AB2:AB31,"N")</f>
        <v>0</v>
      </c>
      <c r="U67" s="458">
        <f>COUNTIFS(D2:D31,"thumb",AB2:AB31,"UK")</f>
        <v>0</v>
      </c>
      <c r="V67" s="443">
        <f t="shared" si="13"/>
        <v>1</v>
      </c>
      <c r="W67" s="275"/>
      <c r="X67" s="444">
        <f t="shared" si="14"/>
        <v>0</v>
      </c>
      <c r="Y67" s="366"/>
      <c r="Z67" s="362">
        <f>COUNT(AH28:AH29)</f>
        <v>1</v>
      </c>
      <c r="AA67" s="377">
        <f>AVERAGE(AH28:AH29)</f>
        <v>25</v>
      </c>
      <c r="AB67" s="414"/>
      <c r="AC67" s="356">
        <f>COUNT(AQ28:AQ29)</f>
        <v>2</v>
      </c>
      <c r="AD67" s="377">
        <f>AVERAGE(AQ28:AQ29)</f>
        <v>50</v>
      </c>
      <c r="AE67" s="414"/>
      <c r="AF67" s="246">
        <f>COUNT(AZ28:AZ29)</f>
        <v>2</v>
      </c>
      <c r="AG67" s="369">
        <f>AVERAGE(AZ28:AZ29)</f>
        <v>30</v>
      </c>
      <c r="AH67" s="414"/>
      <c r="AI67" s="356">
        <f>COUNT(BI28:BI29)</f>
        <v>2</v>
      </c>
      <c r="AJ67" s="369">
        <f>AVERAGE(BI28:BI29)</f>
        <v>25</v>
      </c>
      <c r="AK67" s="413"/>
      <c r="AL67" s="397"/>
      <c r="AM67" s="398"/>
      <c r="AN67" s="483"/>
      <c r="AO67" s="415"/>
      <c r="AP67" s="416"/>
      <c r="AQ67" s="490"/>
      <c r="AR67" s="417"/>
      <c r="AS67" s="418"/>
      <c r="AT67" s="490"/>
      <c r="AU67" s="415"/>
      <c r="AV67" s="419"/>
      <c r="AW67" s="490"/>
      <c r="AX67" s="397"/>
      <c r="AY67" s="418"/>
      <c r="AZ67" s="490"/>
      <c r="BA67" s="415"/>
      <c r="BB67" s="416"/>
      <c r="BC67" s="490"/>
      <c r="BD67" s="417"/>
      <c r="BE67" s="418"/>
      <c r="BF67" s="490"/>
      <c r="BG67" s="415"/>
      <c r="BH67" s="419"/>
      <c r="BI67" s="490"/>
      <c r="BJ67" s="362">
        <f>COUNT(AH28:AH29)</f>
        <v>1</v>
      </c>
      <c r="BK67" s="377">
        <f>AVERAGE(AH28:AH29)</f>
        <v>25</v>
      </c>
      <c r="BL67" s="413"/>
      <c r="BM67" s="356">
        <f>COUNT(AH28:AH29)</f>
        <v>1</v>
      </c>
      <c r="BN67" s="369">
        <f>AVERAGE(AH28:AH29)</f>
        <v>25</v>
      </c>
      <c r="BO67" s="414"/>
      <c r="BP67" s="246">
        <f>COUNT(AH28:AH29)</f>
        <v>1</v>
      </c>
      <c r="BQ67" s="369">
        <f>AVERAGE(AH28:AH29)</f>
        <v>25</v>
      </c>
      <c r="BR67" s="414"/>
      <c r="BS67" s="246">
        <f>COUNT(AH28:AH29)</f>
        <v>1</v>
      </c>
      <c r="BT67" s="369">
        <f>AVERAGE(AH28:AH29)</f>
        <v>25</v>
      </c>
      <c r="BU67" s="413"/>
      <c r="BV67" s="362">
        <f>COUNT(AH28:AH29)</f>
        <v>1</v>
      </c>
      <c r="BW67" s="369">
        <f>AVERAGE(AH28:AH29)</f>
        <v>25</v>
      </c>
      <c r="BX67" s="414"/>
      <c r="BY67" s="356">
        <f>COUNT(AH28:AH29)</f>
        <v>1</v>
      </c>
      <c r="BZ67" s="369">
        <f>AVERAGE(AH28:AH29)</f>
        <v>25</v>
      </c>
      <c r="CA67" s="414"/>
      <c r="CB67" s="246">
        <f>COUNT(AH28:AH29)</f>
        <v>1</v>
      </c>
      <c r="CC67" s="369">
        <f>AVERAGE(AH28:AH29)</f>
        <v>25</v>
      </c>
      <c r="CD67" s="414"/>
      <c r="CE67" s="356">
        <f>COUNT(AH28:AH29)</f>
        <v>1</v>
      </c>
      <c r="CF67" s="369">
        <f>AVERAGE(AH28:AH29)</f>
        <v>25</v>
      </c>
      <c r="CG67" s="414"/>
      <c r="CH67" s="362">
        <f>COUNT(AH28:AH29)</f>
        <v>1</v>
      </c>
      <c r="CI67" s="369">
        <f>AVERAGE(AH28:AH29)</f>
        <v>25</v>
      </c>
      <c r="CJ67" s="414"/>
      <c r="CK67" s="356">
        <f>COUNT(AH28:AH29)</f>
        <v>1</v>
      </c>
      <c r="CL67" s="369">
        <f>AVERAGE(AH28:AH29)</f>
        <v>25</v>
      </c>
      <c r="CM67" s="414"/>
      <c r="CN67" s="246">
        <f>COUNT(AH28:AH29)</f>
        <v>1</v>
      </c>
      <c r="CO67" s="369">
        <f>AVERAGE(AH28:AH29)</f>
        <v>25</v>
      </c>
      <c r="CP67" s="414"/>
      <c r="CQ67" s="356">
        <f>COUNT(AH28:AH29)</f>
        <v>1</v>
      </c>
      <c r="CR67" s="369">
        <f>AVERAGE(AH28:AH29)</f>
        <v>25</v>
      </c>
      <c r="CS67" s="414"/>
      <c r="CT67" s="397"/>
      <c r="CU67" s="418"/>
      <c r="CV67" s="490"/>
      <c r="CW67" s="415"/>
      <c r="CX67" s="418"/>
      <c r="CY67" s="416"/>
      <c r="CZ67" s="417"/>
      <c r="DA67" s="418"/>
      <c r="DB67" s="490"/>
      <c r="DC67" s="415"/>
      <c r="DD67" s="418"/>
      <c r="DE67" s="419"/>
    </row>
    <row r="68" spans="2:109" ht="15.75" thickBot="1">
      <c r="B68" s="281" t="s">
        <v>77</v>
      </c>
      <c r="C68" s="354">
        <f>COUNTIF(D2:D31,"biceps")</f>
        <v>0</v>
      </c>
      <c r="D68" s="363">
        <f>COUNTIFS(D2:D31,"biceps",Z2:Z31,"Y")+COUNTIFS(D2:D31,"biceps",Z2:Z31,"N")+COUNTIFS(D2:D31,"biceps",Z2:Z31,"UK")</f>
        <v>0</v>
      </c>
      <c r="E68" s="272">
        <f>COUNTIFS(D2:D31,"biceps",Z2:Z31,"Y")</f>
        <v>0</v>
      </c>
      <c r="F68" s="282">
        <f>COUNTIFS(D2:D31,"biceps",Z2:Z31,"N")</f>
        <v>0</v>
      </c>
      <c r="G68" s="282">
        <f>COUNTIFS(D2:D31,"biceps",Z2:Z31,"UK")</f>
        <v>0</v>
      </c>
      <c r="H68" s="268" t="e">
        <f t="shared" si="10"/>
        <v>#DIV/0!</v>
      </c>
      <c r="I68" s="283"/>
      <c r="J68" s="270" t="e">
        <f t="shared" si="9"/>
        <v>#DIV/0!</v>
      </c>
      <c r="K68" s="265">
        <f>COUNTIFS(D2:D31,"biceps",AA2:AA31,"Y")+COUNTIFS(D2:D31,"biceps",AA2:AA31,"N")+COUNTIFS(D2:D31,"biceps",AA2:AA31,"UK")</f>
        <v>0</v>
      </c>
      <c r="L68" s="272">
        <f>COUNTIFS(D2:D31,"biceps",AA2:AA31,"Y")</f>
        <v>0</v>
      </c>
      <c r="M68" s="282">
        <f>COUNTIFS(D2:D31,"biceps",AA2:AA31,"N")</f>
        <v>0</v>
      </c>
      <c r="N68" s="284">
        <f>COUNTIFS(D2:D31,"biceps",AA2:AA31,"UK")</f>
        <v>0</v>
      </c>
      <c r="O68" s="445" t="e">
        <f t="shared" si="11"/>
        <v>#DIV/0!</v>
      </c>
      <c r="P68" s="284"/>
      <c r="Q68" s="446" t="e">
        <f t="shared" si="12"/>
        <v>#DIV/0!</v>
      </c>
      <c r="R68" s="447">
        <f>COUNTIFS(D2:D31,"biceps",AB2:AB31,"Y")+COUNTIFS(D2:D31,"biceps",AB2:AB31,"N")+COUNTIFS(D2:D31,"biceps",AB2:AB31,"UK")</f>
        <v>0</v>
      </c>
      <c r="S68" s="459">
        <f>COUNTIFS(D2:D31,"biceps",AB2:AB31,"Y")</f>
        <v>0</v>
      </c>
      <c r="T68" s="284">
        <f>COUNTIFS(D2:D31,"biceps",AB2:AB31,"N")</f>
        <v>0</v>
      </c>
      <c r="U68" s="460">
        <f>COUNTIFS(D2:D31,"biceps",AB2:AB31,"UK")</f>
        <v>0</v>
      </c>
      <c r="V68" s="445" t="e">
        <f t="shared" si="13"/>
        <v>#DIV/0!</v>
      </c>
      <c r="W68" s="447"/>
      <c r="X68" s="446" t="e">
        <f t="shared" si="14"/>
        <v>#DIV/0!</v>
      </c>
      <c r="Y68" s="366"/>
      <c r="Z68" s="363"/>
      <c r="AA68" s="378"/>
      <c r="AB68" s="394"/>
      <c r="AC68" s="375"/>
      <c r="AD68" s="370"/>
      <c r="AE68" s="394"/>
      <c r="AF68" s="265"/>
      <c r="AG68" s="370"/>
      <c r="AH68" s="394"/>
      <c r="AI68" s="375"/>
      <c r="AJ68" s="370"/>
      <c r="AK68" s="395"/>
      <c r="AL68" s="402"/>
      <c r="AM68" s="404"/>
      <c r="AN68" s="487"/>
      <c r="AO68" s="424"/>
      <c r="AP68" s="425"/>
      <c r="AQ68" s="487"/>
      <c r="AR68" s="426"/>
      <c r="AS68" s="404"/>
      <c r="AT68" s="487"/>
      <c r="AU68" s="424"/>
      <c r="AV68" s="427"/>
      <c r="AW68" s="487"/>
      <c r="AX68" s="402"/>
      <c r="AY68" s="404"/>
      <c r="AZ68" s="487"/>
      <c r="BA68" s="424"/>
      <c r="BB68" s="425"/>
      <c r="BC68" s="487"/>
      <c r="BD68" s="426"/>
      <c r="BE68" s="404"/>
      <c r="BF68" s="487"/>
      <c r="BG68" s="424"/>
      <c r="BH68" s="427"/>
      <c r="BI68" s="487"/>
      <c r="BJ68" s="363">
        <f>COUNT(AE28:AE29)</f>
        <v>2</v>
      </c>
      <c r="BK68" s="370">
        <f>AVERAGE(AE28:AE29)</f>
        <v>35.5</v>
      </c>
      <c r="BL68" s="395"/>
      <c r="BM68" s="375">
        <f>COUNT(AM28:AM29)</f>
        <v>2</v>
      </c>
      <c r="BN68" s="370">
        <f>AVERAGE(AM28:AM29)</f>
        <v>33</v>
      </c>
      <c r="BO68" s="394"/>
      <c r="BP68" s="265">
        <f>COUNT(AV28:AV29)</f>
        <v>2</v>
      </c>
      <c r="BQ68" s="370">
        <f>AVERAGE(AV28:AV29)</f>
        <v>26</v>
      </c>
      <c r="BR68" s="394"/>
      <c r="BS68" s="265">
        <f>COUNT(BE28:BE29)</f>
        <v>2</v>
      </c>
      <c r="BT68" s="370">
        <f>AVERAGE(BE28:BE29)</f>
        <v>20.5</v>
      </c>
      <c r="BU68" s="395"/>
      <c r="BV68" s="363">
        <f>COUNT(AF28:AF29)</f>
        <v>2</v>
      </c>
      <c r="BW68" s="378">
        <f>AVERAGE(AF28:AF29)</f>
        <v>40.5</v>
      </c>
      <c r="BX68" s="394"/>
      <c r="BY68" s="375">
        <f>COUNT(AN28:AN29)</f>
        <v>2</v>
      </c>
      <c r="BZ68" s="378">
        <f>AVERAGE(AN28:AN29)</f>
        <v>50</v>
      </c>
      <c r="CA68" s="394"/>
      <c r="CB68" s="265">
        <f>COUNT(AW28:AW29)</f>
        <v>1</v>
      </c>
      <c r="CC68" s="378">
        <f>AVERAGE(AW28:AW29)</f>
        <v>100</v>
      </c>
      <c r="CD68" s="394"/>
      <c r="CE68" s="375">
        <f>COUNT(BF28:BF29)</f>
        <v>2</v>
      </c>
      <c r="CF68" s="378">
        <f>AVERAGE(BF28:BF29)</f>
        <v>50</v>
      </c>
      <c r="CG68" s="394"/>
      <c r="CH68" s="363">
        <f>COUNT(AG28:AG29)</f>
        <v>2</v>
      </c>
      <c r="CI68" s="370">
        <f>AVERAGE(AG28:AG29)</f>
        <v>50</v>
      </c>
      <c r="CJ68" s="394"/>
      <c r="CK68" s="375">
        <f>COUNT(AO28:AO29)</f>
        <v>1</v>
      </c>
      <c r="CL68" s="370">
        <f>AVERAGE(AO28:AO29)</f>
        <v>63</v>
      </c>
      <c r="CM68" s="394"/>
      <c r="CN68" s="265">
        <f>COUNT(AX28:AX29)</f>
        <v>0</v>
      </c>
      <c r="CO68" s="370" t="e">
        <f>AVERAGE(AX28:AX29)</f>
        <v>#DIV/0!</v>
      </c>
      <c r="CP68" s="394"/>
      <c r="CQ68" s="375">
        <f>COUNT(BG28:BG29)</f>
        <v>1</v>
      </c>
      <c r="CR68" s="370">
        <f>AVERAGE(BG28:BG29)</f>
        <v>0</v>
      </c>
      <c r="CS68" s="394"/>
      <c r="CT68" s="402"/>
      <c r="CU68" s="404"/>
      <c r="CV68" s="487"/>
      <c r="CW68" s="424"/>
      <c r="CX68" s="404"/>
      <c r="CY68" s="425"/>
      <c r="CZ68" s="426"/>
      <c r="DA68" s="404"/>
      <c r="DB68" s="487"/>
      <c r="DC68" s="424"/>
      <c r="DD68" s="404"/>
      <c r="DE68" s="427"/>
    </row>
    <row r="69" spans="2:109" ht="15.75" thickTop="1">
      <c r="B69" s="286" t="s">
        <v>37</v>
      </c>
      <c r="C69" s="287">
        <f t="shared" ref="C69:I69" si="15">C53+C60+C64+SUM(C67:C67)</f>
        <v>30</v>
      </c>
      <c r="D69" s="364">
        <f>D53+D60+D64+D67</f>
        <v>30</v>
      </c>
      <c r="E69" s="288">
        <f>E53+E60+E64+E67</f>
        <v>13</v>
      </c>
      <c r="F69" s="288">
        <f t="shared" si="15"/>
        <v>15</v>
      </c>
      <c r="G69" s="288">
        <f t="shared" si="15"/>
        <v>2</v>
      </c>
      <c r="H69" s="468">
        <f t="shared" si="10"/>
        <v>0.4642857142857143</v>
      </c>
      <c r="I69" s="288">
        <f t="shared" si="15"/>
        <v>4</v>
      </c>
      <c r="J69" s="469">
        <f t="shared" si="9"/>
        <v>0.14285714285714285</v>
      </c>
      <c r="K69" s="287">
        <f t="shared" ref="K69:P69" si="16">K53+K60+K64+SUM(K67:K67)</f>
        <v>30</v>
      </c>
      <c r="L69" s="288">
        <f t="shared" si="16"/>
        <v>9</v>
      </c>
      <c r="M69" s="288">
        <f t="shared" si="16"/>
        <v>19</v>
      </c>
      <c r="N69" s="289">
        <f t="shared" si="16"/>
        <v>2</v>
      </c>
      <c r="O69" s="468">
        <f t="shared" si="11"/>
        <v>0.32142857142857145</v>
      </c>
      <c r="P69" s="461">
        <f t="shared" si="16"/>
        <v>9</v>
      </c>
      <c r="Q69" s="469">
        <f t="shared" si="12"/>
        <v>0.32142857142857145</v>
      </c>
      <c r="R69" s="462">
        <f t="shared" ref="R69:W69" si="17">R53+R60+R64+SUM(R67:R67)</f>
        <v>30</v>
      </c>
      <c r="S69" s="461">
        <f t="shared" si="17"/>
        <v>9</v>
      </c>
      <c r="T69" s="461">
        <f t="shared" si="17"/>
        <v>19</v>
      </c>
      <c r="U69" s="461">
        <f t="shared" si="17"/>
        <v>2</v>
      </c>
      <c r="V69" s="468">
        <f t="shared" si="13"/>
        <v>0.32142857142857145</v>
      </c>
      <c r="W69" s="463">
        <f t="shared" si="17"/>
        <v>13</v>
      </c>
      <c r="X69" s="469">
        <f t="shared" si="14"/>
        <v>0.4642857142857143</v>
      </c>
      <c r="Y69" s="366"/>
      <c r="Z69" s="367">
        <f>COUNT(AH2:AH31)</f>
        <v>29</v>
      </c>
      <c r="AA69" s="379">
        <f>AVERAGE(AH2:AH31)</f>
        <v>61.103448275862071</v>
      </c>
      <c r="AB69" s="479">
        <f>STDEV(AH2:AH31)</f>
        <v>24.977625455575538</v>
      </c>
      <c r="AC69" s="357">
        <f>COUNT(AQ2:AQ31)</f>
        <v>20</v>
      </c>
      <c r="AD69" s="287">
        <f>AVERAGE(AQ2:AQ31)</f>
        <v>46.35</v>
      </c>
      <c r="AE69" s="479">
        <f>STDEV(AQ2:AQ31)</f>
        <v>28.321973987106123</v>
      </c>
      <c r="AF69" s="371">
        <f>COUNT(AZ2:AZ31)</f>
        <v>14</v>
      </c>
      <c r="AG69" s="287">
        <f>AVERAGE(AZ2:AZ31)</f>
        <v>41.285714285714285</v>
      </c>
      <c r="AH69" s="479">
        <f>STDEV(AZ2:AZ31)</f>
        <v>34.161220865024873</v>
      </c>
      <c r="AI69" s="357">
        <f>COUNT(BI2:BI31)</f>
        <v>11</v>
      </c>
      <c r="AJ69" s="287">
        <f>AVERAGE(BI2:BI31)</f>
        <v>35.454545454545453</v>
      </c>
      <c r="AK69" s="481">
        <f>STDEV(BI2:BI31)</f>
        <v>29.449494516421282</v>
      </c>
      <c r="AL69" s="405"/>
      <c r="AM69" s="406"/>
      <c r="AN69" s="488"/>
      <c r="AO69" s="428"/>
      <c r="AP69" s="429"/>
      <c r="AQ69" s="491"/>
      <c r="AR69" s="430"/>
      <c r="AS69" s="431"/>
      <c r="AT69" s="491"/>
      <c r="AU69" s="428"/>
      <c r="AV69" s="432"/>
      <c r="AW69" s="491"/>
      <c r="AX69" s="405"/>
      <c r="AY69" s="431"/>
      <c r="AZ69" s="491"/>
      <c r="BA69" s="428"/>
      <c r="BB69" s="429"/>
      <c r="BC69" s="491"/>
      <c r="BD69" s="430"/>
      <c r="BE69" s="431"/>
      <c r="BF69" s="491"/>
      <c r="BG69" s="428"/>
      <c r="BH69" s="432"/>
      <c r="BI69" s="491"/>
      <c r="BJ69" s="405"/>
      <c r="BK69" s="431"/>
      <c r="BL69" s="491"/>
      <c r="BM69" s="428"/>
      <c r="BN69" s="431"/>
      <c r="BO69" s="429"/>
      <c r="BP69" s="430"/>
      <c r="BQ69" s="431"/>
      <c r="BR69" s="429"/>
      <c r="BS69" s="430"/>
      <c r="BT69" s="431"/>
      <c r="BU69" s="432"/>
      <c r="BV69" s="405"/>
      <c r="BW69" s="431"/>
      <c r="BX69" s="429"/>
      <c r="BY69" s="428"/>
      <c r="BZ69" s="431"/>
      <c r="CA69" s="429"/>
      <c r="CB69" s="430"/>
      <c r="CC69" s="431"/>
      <c r="CD69" s="429"/>
      <c r="CE69" s="428"/>
      <c r="CF69" s="431"/>
      <c r="CG69" s="429"/>
      <c r="CH69" s="405"/>
      <c r="CI69" s="431"/>
      <c r="CJ69" s="429"/>
      <c r="CK69" s="428"/>
      <c r="CL69" s="431"/>
      <c r="CM69" s="429"/>
      <c r="CN69" s="430"/>
      <c r="CO69" s="431"/>
      <c r="CP69" s="429"/>
      <c r="CQ69" s="428"/>
      <c r="CR69" s="431"/>
      <c r="CS69" s="429"/>
      <c r="CT69" s="405"/>
      <c r="CU69" s="431"/>
      <c r="CV69" s="491"/>
      <c r="CW69" s="428"/>
      <c r="CX69" s="431"/>
      <c r="CY69" s="429"/>
      <c r="CZ69" s="430"/>
      <c r="DA69" s="431"/>
      <c r="DB69" s="491"/>
      <c r="DC69" s="428"/>
      <c r="DD69" s="431"/>
      <c r="DE69" s="432"/>
    </row>
    <row r="70" spans="2:109">
      <c r="B70" s="290" t="s">
        <v>87</v>
      </c>
      <c r="C70" s="345">
        <f t="shared" ref="C70:I70" si="18">C57+C65+C63</f>
        <v>17</v>
      </c>
      <c r="D70" s="365">
        <f t="shared" si="18"/>
        <v>17</v>
      </c>
      <c r="E70" s="291">
        <f t="shared" si="18"/>
        <v>6</v>
      </c>
      <c r="F70" s="291">
        <f t="shared" si="18"/>
        <v>9</v>
      </c>
      <c r="G70" s="291">
        <f t="shared" si="18"/>
        <v>2</v>
      </c>
      <c r="H70" s="468">
        <f t="shared" si="10"/>
        <v>0.4</v>
      </c>
      <c r="I70" s="291">
        <f t="shared" si="18"/>
        <v>4</v>
      </c>
      <c r="J70" s="469">
        <f t="shared" si="9"/>
        <v>0.26666666666666666</v>
      </c>
      <c r="K70" s="291">
        <f t="shared" ref="K70:P70" si="19">K57+K65+K63</f>
        <v>17</v>
      </c>
      <c r="L70" s="291">
        <f t="shared" si="19"/>
        <v>2</v>
      </c>
      <c r="M70" s="291">
        <f t="shared" si="19"/>
        <v>13</v>
      </c>
      <c r="N70" s="292">
        <f t="shared" si="19"/>
        <v>2</v>
      </c>
      <c r="O70" s="468">
        <f t="shared" si="11"/>
        <v>0.13333333333333333</v>
      </c>
      <c r="P70" s="465">
        <f t="shared" si="19"/>
        <v>9</v>
      </c>
      <c r="Q70" s="469">
        <f t="shared" si="12"/>
        <v>0.6</v>
      </c>
      <c r="R70" s="464">
        <f t="shared" ref="R70:W70" si="20">R57+R65+R63</f>
        <v>17</v>
      </c>
      <c r="S70" s="465">
        <f t="shared" si="20"/>
        <v>2</v>
      </c>
      <c r="T70" s="465">
        <f t="shared" si="20"/>
        <v>13</v>
      </c>
      <c r="U70" s="465">
        <f t="shared" si="20"/>
        <v>2</v>
      </c>
      <c r="V70" s="468">
        <f t="shared" si="13"/>
        <v>0.13333333333333333</v>
      </c>
      <c r="W70" s="464">
        <f t="shared" si="20"/>
        <v>11</v>
      </c>
      <c r="X70" s="469">
        <f t="shared" si="14"/>
        <v>0.73333333333333328</v>
      </c>
      <c r="Y70" s="366"/>
      <c r="Z70" s="365">
        <f t="shared" ref="Z70" si="21">Z57+Z65+Z63</f>
        <v>17</v>
      </c>
      <c r="AA70" s="380">
        <f>(SUM(AH2:AH11)+SUM(AH18:AH19)+SUM(AH25:AH27)+SUM(AH30:AH31))/Z70</f>
        <v>57.647058823529413</v>
      </c>
      <c r="AB70" s="480"/>
      <c r="AC70" s="358">
        <f>Z57+Z65+Z63</f>
        <v>17</v>
      </c>
      <c r="AD70" s="345">
        <f>(SUM(AQ2:AQ11)+SUM(AQ18:AQ19)+SUM(AQ25:AQ27)+SUM(AQ30:AQ31))/Z70</f>
        <v>21.294117647058822</v>
      </c>
      <c r="AE70" s="480"/>
      <c r="AF70" s="346">
        <f>Z57+Z65+Z63</f>
        <v>17</v>
      </c>
      <c r="AG70" s="345">
        <f>(SUM(AZ2:AZ11)+SUM(AZ18:AZ19)+SUM(AZ25:AZ27)+SUM(AZ30:AZ31))/Z70</f>
        <v>10.882352941176471</v>
      </c>
      <c r="AH70" s="480"/>
      <c r="AI70" s="358">
        <f>Z57+Z65+Z63</f>
        <v>17</v>
      </c>
      <c r="AJ70" s="345">
        <f>(SUM(BI2:BI11)+SUM(BI18:BI19)+SUM(BI25:BI27)+SUM(BI30:BI31))/Z70</f>
        <v>7.6470588235294121</v>
      </c>
      <c r="AK70" s="482"/>
      <c r="AL70" s="407"/>
      <c r="AM70" s="408"/>
      <c r="AN70" s="489"/>
      <c r="AO70" s="433"/>
      <c r="AP70" s="434"/>
      <c r="AQ70" s="489"/>
      <c r="AR70" s="435"/>
      <c r="AS70" s="408"/>
      <c r="AT70" s="489"/>
      <c r="AU70" s="433"/>
      <c r="AV70" s="436"/>
      <c r="AW70" s="489"/>
      <c r="AX70" s="407"/>
      <c r="AY70" s="408"/>
      <c r="AZ70" s="489"/>
      <c r="BA70" s="433"/>
      <c r="BB70" s="434"/>
      <c r="BC70" s="489"/>
      <c r="BD70" s="435"/>
      <c r="BE70" s="408"/>
      <c r="BF70" s="489"/>
      <c r="BG70" s="433"/>
      <c r="BH70" s="436"/>
      <c r="BI70" s="489"/>
      <c r="BJ70" s="407"/>
      <c r="BK70" s="408"/>
      <c r="BL70" s="489"/>
      <c r="BM70" s="433"/>
      <c r="BN70" s="408"/>
      <c r="BO70" s="434"/>
      <c r="BP70" s="435"/>
      <c r="BQ70" s="408"/>
      <c r="BR70" s="434"/>
      <c r="BS70" s="435"/>
      <c r="BT70" s="408"/>
      <c r="BU70" s="436"/>
      <c r="BV70" s="407"/>
      <c r="BW70" s="408"/>
      <c r="BX70" s="434"/>
      <c r="BY70" s="433"/>
      <c r="BZ70" s="408"/>
      <c r="CA70" s="434"/>
      <c r="CB70" s="435"/>
      <c r="CC70" s="408"/>
      <c r="CD70" s="434"/>
      <c r="CE70" s="433"/>
      <c r="CF70" s="408"/>
      <c r="CG70" s="434"/>
      <c r="CH70" s="407"/>
      <c r="CI70" s="408"/>
      <c r="CJ70" s="434"/>
      <c r="CK70" s="433"/>
      <c r="CL70" s="408"/>
      <c r="CM70" s="434"/>
      <c r="CN70" s="435"/>
      <c r="CO70" s="408"/>
      <c r="CP70" s="434"/>
      <c r="CQ70" s="433"/>
      <c r="CR70" s="408"/>
      <c r="CS70" s="434"/>
      <c r="CT70" s="407"/>
      <c r="CU70" s="408"/>
      <c r="CV70" s="489"/>
      <c r="CW70" s="433"/>
      <c r="CX70" s="408"/>
      <c r="CY70" s="434"/>
      <c r="CZ70" s="435"/>
      <c r="DA70" s="408"/>
      <c r="DB70" s="489"/>
      <c r="DC70" s="433"/>
      <c r="DD70" s="408"/>
      <c r="DE70" s="436"/>
    </row>
    <row r="71" spans="2:109">
      <c r="B71" s="293" t="s">
        <v>79</v>
      </c>
      <c r="C71" s="294">
        <f t="shared" ref="C71:I71" si="22">C58+C61+C62+C66</f>
        <v>11</v>
      </c>
      <c r="D71" s="365">
        <f t="shared" si="22"/>
        <v>11</v>
      </c>
      <c r="E71" s="291">
        <f t="shared" si="22"/>
        <v>5</v>
      </c>
      <c r="F71" s="291">
        <f t="shared" si="22"/>
        <v>6</v>
      </c>
      <c r="G71" s="291">
        <f t="shared" si="22"/>
        <v>0</v>
      </c>
      <c r="H71" s="467">
        <f t="shared" si="10"/>
        <v>0.45454545454545453</v>
      </c>
      <c r="I71" s="294">
        <f t="shared" si="22"/>
        <v>0</v>
      </c>
      <c r="J71" s="469">
        <f t="shared" si="9"/>
        <v>0</v>
      </c>
      <c r="K71" s="294">
        <f t="shared" ref="K71:P71" si="23">K58+K61+K62+K66</f>
        <v>11</v>
      </c>
      <c r="L71" s="291">
        <f t="shared" si="23"/>
        <v>5</v>
      </c>
      <c r="M71" s="291">
        <f t="shared" si="23"/>
        <v>6</v>
      </c>
      <c r="N71" s="292">
        <f t="shared" si="23"/>
        <v>0</v>
      </c>
      <c r="O71" s="467">
        <f t="shared" si="11"/>
        <v>0.45454545454545453</v>
      </c>
      <c r="P71" s="465">
        <f t="shared" si="23"/>
        <v>0</v>
      </c>
      <c r="Q71" s="469">
        <f t="shared" si="12"/>
        <v>0</v>
      </c>
      <c r="R71" s="466">
        <f t="shared" ref="R71:W71" si="24">R58+R61+R62+R66</f>
        <v>11</v>
      </c>
      <c r="S71" s="465">
        <f t="shared" si="24"/>
        <v>5</v>
      </c>
      <c r="T71" s="465">
        <f t="shared" si="24"/>
        <v>6</v>
      </c>
      <c r="U71" s="465">
        <f t="shared" si="24"/>
        <v>0</v>
      </c>
      <c r="V71" s="468">
        <f t="shared" si="13"/>
        <v>0.45454545454545453</v>
      </c>
      <c r="W71" s="466">
        <f t="shared" si="24"/>
        <v>2</v>
      </c>
      <c r="X71" s="469">
        <f t="shared" si="14"/>
        <v>0.18181818181818182</v>
      </c>
      <c r="Y71" s="366"/>
      <c r="Z71" s="365">
        <f t="shared" ref="Z71" si="25">Z58+Z61+Z62+Z66</f>
        <v>11</v>
      </c>
      <c r="AA71" s="380">
        <f>(SUM(AH12:AH17)+SUM(AH20:AH23)+SUM(AH24))/Z71</f>
        <v>69.727272727272734</v>
      </c>
      <c r="AB71" s="480"/>
      <c r="AC71" s="358">
        <f>Z58+Z61+Z62+Z66</f>
        <v>11</v>
      </c>
      <c r="AD71" s="345">
        <f>(SUM(AQ12:AQ17)+SUM(AQ20:AQ23)+SUM(AQ24))/Z71</f>
        <v>42.272727272727273</v>
      </c>
      <c r="AE71" s="480"/>
      <c r="AF71" s="346">
        <f>Z58+Z61+Z62+Z66</f>
        <v>11</v>
      </c>
      <c r="AG71" s="345">
        <f>(SUM(AZ12:AZ17)+SUM(AZ20:AZ23)+SUM(AZ24))/Z71</f>
        <v>30.272727272727273</v>
      </c>
      <c r="AH71" s="480"/>
      <c r="AI71" s="358">
        <f>Z58+Z61+Z62+Z66</f>
        <v>11</v>
      </c>
      <c r="AJ71" s="345">
        <f>(SUM(BI12:BI17)+SUM(BI20:BI23)+SUM(BI24))/Z71</f>
        <v>19.09090909090909</v>
      </c>
      <c r="AK71" s="482"/>
      <c r="AL71" s="407"/>
      <c r="AM71" s="408"/>
      <c r="AN71" s="489"/>
      <c r="AO71" s="433"/>
      <c r="AP71" s="434"/>
      <c r="AQ71" s="489"/>
      <c r="AR71" s="435"/>
      <c r="AS71" s="408"/>
      <c r="AT71" s="489"/>
      <c r="AU71" s="433"/>
      <c r="AV71" s="436"/>
      <c r="AW71" s="489"/>
      <c r="AX71" s="407"/>
      <c r="AY71" s="408"/>
      <c r="AZ71" s="489"/>
      <c r="BA71" s="433"/>
      <c r="BB71" s="434"/>
      <c r="BC71" s="489"/>
      <c r="BD71" s="435"/>
      <c r="BE71" s="408"/>
      <c r="BF71" s="489"/>
      <c r="BG71" s="433"/>
      <c r="BH71" s="436"/>
      <c r="BI71" s="489"/>
      <c r="BJ71" s="407"/>
      <c r="BK71" s="408"/>
      <c r="BL71" s="489"/>
      <c r="BM71" s="433"/>
      <c r="BN71" s="408"/>
      <c r="BO71" s="434"/>
      <c r="BP71" s="435"/>
      <c r="BQ71" s="408"/>
      <c r="BR71" s="434"/>
      <c r="BS71" s="435"/>
      <c r="BT71" s="408"/>
      <c r="BU71" s="436"/>
      <c r="BV71" s="407"/>
      <c r="BW71" s="408"/>
      <c r="BX71" s="434"/>
      <c r="BY71" s="433"/>
      <c r="BZ71" s="408"/>
      <c r="CA71" s="434"/>
      <c r="CB71" s="435"/>
      <c r="CC71" s="408"/>
      <c r="CD71" s="434"/>
      <c r="CE71" s="433"/>
      <c r="CF71" s="408"/>
      <c r="CG71" s="434"/>
      <c r="CH71" s="407"/>
      <c r="CI71" s="408"/>
      <c r="CJ71" s="434"/>
      <c r="CK71" s="433"/>
      <c r="CL71" s="434"/>
      <c r="CM71" s="434"/>
      <c r="CN71" s="435"/>
      <c r="CO71" s="408"/>
      <c r="CP71" s="434"/>
      <c r="CQ71" s="433"/>
      <c r="CR71" s="408"/>
      <c r="CS71" s="434"/>
      <c r="CT71" s="407"/>
      <c r="CU71" s="408"/>
      <c r="CV71" s="489"/>
      <c r="CW71" s="433"/>
      <c r="CX71" s="408"/>
      <c r="CY71" s="434"/>
      <c r="CZ71" s="435"/>
      <c r="DA71" s="408"/>
      <c r="DB71" s="489"/>
      <c r="DC71" s="433"/>
      <c r="DD71" s="408"/>
      <c r="DE71" s="436"/>
    </row>
    <row r="72" spans="2:109">
      <c r="I72"/>
      <c r="J72"/>
      <c r="L72" s="213"/>
      <c r="M72" s="13"/>
      <c r="O72" s="19"/>
      <c r="Q72"/>
      <c r="R72" s="14"/>
      <c r="S72" s="14"/>
      <c r="T72" s="14"/>
      <c r="U72" s="14" t="s">
        <v>185</v>
      </c>
      <c r="W72" s="14">
        <f>COUNTIF(BT2:BT31,"Y")</f>
        <v>13</v>
      </c>
      <c r="X72" s="14"/>
      <c r="Y72" s="14"/>
      <c r="Z72" s="106"/>
      <c r="AA72" s="73"/>
      <c r="AC72" s="21"/>
      <c r="AD72" s="14"/>
      <c r="AE72" s="14"/>
      <c r="AF72" s="14"/>
      <c r="AG72" s="62"/>
      <c r="AH72" s="73"/>
      <c r="AJ72"/>
      <c r="AL72" s="99"/>
      <c r="AM72"/>
      <c r="AN72"/>
      <c r="AO72" s="148"/>
      <c r="AP72" s="99"/>
      <c r="AQ72" s="99"/>
      <c r="AS72" s="130"/>
      <c r="AV72"/>
      <c r="AX72" s="148"/>
      <c r="BB72"/>
      <c r="BD72" s="304"/>
      <c r="BE72"/>
      <c r="BG72" s="148"/>
      <c r="BJ72"/>
      <c r="BL72" s="110"/>
    </row>
    <row r="73" spans="2:109" ht="15.75" thickBot="1">
      <c r="I73"/>
      <c r="J73"/>
      <c r="L73" s="213"/>
      <c r="M73" s="13"/>
      <c r="O73" s="19"/>
      <c r="Q73"/>
      <c r="R73" s="14"/>
      <c r="S73" s="14"/>
      <c r="T73" s="14"/>
      <c r="U73" s="14" t="s">
        <v>184</v>
      </c>
      <c r="V73" s="14"/>
      <c r="W73" s="62">
        <f>AVERAGE(BU1:BU31)</f>
        <v>10.153846153846153</v>
      </c>
      <c r="X73" s="14"/>
      <c r="Y73" s="14"/>
      <c r="Z73" s="106"/>
      <c r="AA73" s="493" t="s">
        <v>189</v>
      </c>
      <c r="AB73" s="494" t="s">
        <v>190</v>
      </c>
      <c r="AC73" s="495" t="s">
        <v>191</v>
      </c>
      <c r="AD73" s="494" t="s">
        <v>192</v>
      </c>
      <c r="AE73" s="14"/>
      <c r="AF73" s="14"/>
      <c r="AG73" s="62"/>
      <c r="AH73" s="73"/>
      <c r="AJ73"/>
      <c r="AL73" s="99"/>
      <c r="AM73"/>
      <c r="AN73"/>
      <c r="AO73" s="148"/>
      <c r="AP73" s="99"/>
      <c r="AQ73" s="99"/>
      <c r="AS73" s="130"/>
      <c r="AV73"/>
      <c r="AX73" s="148"/>
      <c r="BB73"/>
      <c r="BD73" s="304"/>
      <c r="BE73"/>
      <c r="BG73" s="148"/>
      <c r="BJ73"/>
      <c r="BL73" s="110"/>
    </row>
    <row r="74" spans="2:109" ht="15.75" thickBot="1">
      <c r="I74"/>
      <c r="J74"/>
      <c r="L74" s="213"/>
      <c r="M74" s="13"/>
      <c r="O74" s="19"/>
      <c r="Q74"/>
      <c r="R74" s="14"/>
      <c r="S74" s="14"/>
      <c r="T74" s="14"/>
      <c r="U74" s="14"/>
      <c r="V74" s="14"/>
      <c r="W74" s="14"/>
      <c r="X74" s="14"/>
      <c r="Y74" s="14"/>
      <c r="Z74" s="106"/>
      <c r="AA74" s="496" t="s">
        <v>194</v>
      </c>
      <c r="AB74" s="498">
        <v>0.06</v>
      </c>
      <c r="AC74" s="499">
        <v>0.04</v>
      </c>
      <c r="AD74" s="499">
        <v>0.01</v>
      </c>
      <c r="AE74" s="14"/>
      <c r="AF74" s="14"/>
      <c r="AG74" s="62"/>
      <c r="AH74" s="73"/>
      <c r="AJ74"/>
      <c r="AL74" s="99"/>
      <c r="AM74"/>
      <c r="AN74"/>
      <c r="AO74" s="148"/>
      <c r="AP74" s="99"/>
      <c r="AQ74" s="99"/>
      <c r="AS74" s="130"/>
      <c r="AV74"/>
      <c r="AX74" s="148"/>
      <c r="BB74"/>
      <c r="BD74" s="304"/>
      <c r="BE74"/>
      <c r="BG74" s="148"/>
      <c r="BJ74"/>
      <c r="BL74" s="110"/>
    </row>
    <row r="75" spans="2:109">
      <c r="I75"/>
      <c r="J75"/>
      <c r="L75" s="213"/>
      <c r="M75" s="13"/>
      <c r="O75" s="19"/>
      <c r="Q75"/>
      <c r="R75" s="14"/>
      <c r="S75" s="14"/>
      <c r="T75" s="14"/>
      <c r="U75" s="14"/>
      <c r="V75" s="14"/>
      <c r="W75" s="14"/>
      <c r="X75" s="14"/>
      <c r="Y75" s="14"/>
      <c r="Z75" s="106"/>
      <c r="AA75" s="496" t="s">
        <v>193</v>
      </c>
      <c r="AB75" s="498">
        <v>0.02</v>
      </c>
      <c r="AC75" s="499">
        <v>0.01</v>
      </c>
      <c r="AD75" s="499">
        <v>3.0000000000000001E-3</v>
      </c>
      <c r="AE75" s="14"/>
      <c r="AF75" s="14"/>
      <c r="AG75" s="62"/>
      <c r="AH75" s="73"/>
      <c r="AJ75"/>
      <c r="AL75" s="99"/>
      <c r="AM75"/>
      <c r="AN75"/>
      <c r="AO75" s="148"/>
      <c r="AP75" s="99"/>
      <c r="AQ75" s="99"/>
      <c r="AS75" s="130"/>
      <c r="AV75"/>
      <c r="AX75" s="148"/>
      <c r="BB75"/>
      <c r="BD75" s="304"/>
      <c r="BE75"/>
      <c r="BG75" s="148"/>
      <c r="BJ75"/>
      <c r="BL75" s="110"/>
    </row>
    <row r="76" spans="2:109">
      <c r="I76"/>
      <c r="J76"/>
      <c r="L76" s="213"/>
      <c r="M76" s="13"/>
      <c r="O76" s="19"/>
      <c r="Q76"/>
      <c r="R76" s="14"/>
      <c r="S76" s="14"/>
      <c r="T76" s="14"/>
      <c r="U76" s="14"/>
      <c r="V76" s="14"/>
      <c r="W76" s="14"/>
      <c r="X76" s="14"/>
      <c r="Y76" s="14"/>
      <c r="Z76" s="106"/>
      <c r="AA76" s="497" t="s">
        <v>187</v>
      </c>
      <c r="AB76" s="500">
        <v>0.03</v>
      </c>
      <c r="AC76" s="501">
        <v>0.03</v>
      </c>
      <c r="AD76" s="501">
        <v>0.06</v>
      </c>
      <c r="AE76" s="14"/>
      <c r="AF76" s="14"/>
      <c r="AG76" s="62"/>
      <c r="AH76" s="73"/>
      <c r="AJ76"/>
      <c r="AL76" s="99"/>
      <c r="AM76"/>
      <c r="AN76"/>
      <c r="AO76" s="148"/>
      <c r="AP76" s="99"/>
      <c r="AQ76" s="99"/>
      <c r="AS76" s="130"/>
      <c r="AV76"/>
      <c r="AX76" s="148"/>
      <c r="BB76"/>
      <c r="BD76" s="304"/>
      <c r="BE76"/>
      <c r="BG76" s="148"/>
      <c r="BJ76"/>
      <c r="BL76" s="110"/>
    </row>
    <row r="77" spans="2:109">
      <c r="I77"/>
      <c r="J77"/>
      <c r="L77" s="213"/>
      <c r="M77" s="13"/>
      <c r="O77" s="19"/>
      <c r="Q77"/>
      <c r="R77" s="14"/>
      <c r="S77" s="14"/>
      <c r="T77" s="14"/>
      <c r="U77" s="14"/>
      <c r="V77" s="14"/>
      <c r="W77" s="14"/>
      <c r="X77" s="14"/>
      <c r="Y77" s="14"/>
      <c r="Z77" s="106"/>
      <c r="AA77" s="497" t="s">
        <v>188</v>
      </c>
      <c r="AB77" s="500">
        <v>0.01</v>
      </c>
      <c r="AC77" s="501">
        <v>5.0000000000000001E-3</v>
      </c>
      <c r="AD77" s="501">
        <v>0.01</v>
      </c>
      <c r="AE77" s="14"/>
      <c r="AF77" s="14"/>
      <c r="AG77" s="62"/>
      <c r="AH77" s="73"/>
      <c r="AJ77"/>
      <c r="AL77" s="99"/>
      <c r="AM77"/>
      <c r="AN77"/>
      <c r="AO77" s="148"/>
      <c r="AP77" s="99"/>
      <c r="AQ77" s="99"/>
      <c r="AS77" s="130"/>
      <c r="AV77"/>
      <c r="AX77" s="148"/>
      <c r="BB77"/>
      <c r="BD77" s="304"/>
      <c r="BE77"/>
      <c r="BG77" s="148"/>
      <c r="BJ77"/>
      <c r="BL77" s="110"/>
    </row>
    <row r="78" spans="2:109">
      <c r="I78"/>
      <c r="J78"/>
      <c r="L78" s="213"/>
      <c r="M78" s="13"/>
      <c r="O78" s="19"/>
      <c r="Q78"/>
      <c r="R78" s="14"/>
      <c r="S78" s="14"/>
      <c r="T78" s="14"/>
      <c r="U78" s="14"/>
      <c r="V78" s="14"/>
      <c r="W78" s="14"/>
      <c r="X78" s="14"/>
      <c r="Y78" s="14"/>
      <c r="Z78" s="106"/>
      <c r="AA78" s="73"/>
      <c r="AC78" s="21"/>
      <c r="AD78" s="14"/>
      <c r="AE78" s="14"/>
      <c r="AF78" s="14"/>
      <c r="AG78" s="62"/>
      <c r="AH78" s="73"/>
      <c r="AJ78"/>
      <c r="AL78" s="99"/>
      <c r="AM78"/>
      <c r="AN78"/>
      <c r="AO78" s="148"/>
      <c r="AP78" s="99"/>
      <c r="AQ78" s="99"/>
      <c r="AS78" s="130"/>
      <c r="AV78"/>
      <c r="AX78" s="148"/>
      <c r="BB78"/>
      <c r="BD78" s="304"/>
      <c r="BE78"/>
      <c r="BG78" s="148"/>
      <c r="BJ78"/>
      <c r="BL78" s="110"/>
    </row>
    <row r="79" spans="2:109">
      <c r="I79"/>
      <c r="J79"/>
      <c r="L79" s="213"/>
      <c r="M79" s="13"/>
      <c r="O79" s="19"/>
      <c r="Q79"/>
      <c r="R79" s="14"/>
      <c r="S79" s="14"/>
      <c r="T79" s="14"/>
      <c r="U79" s="14"/>
      <c r="V79" s="14"/>
      <c r="W79" s="14"/>
      <c r="X79" s="14"/>
      <c r="Y79" s="14"/>
      <c r="Z79" s="106"/>
      <c r="AA79" s="73"/>
      <c r="AC79" s="21"/>
      <c r="AD79" s="14"/>
      <c r="AE79" s="14"/>
      <c r="AF79" s="14"/>
      <c r="AG79" s="62"/>
      <c r="AH79" s="73"/>
      <c r="AJ79"/>
      <c r="AL79" s="99"/>
      <c r="AM79"/>
      <c r="AN79"/>
      <c r="AO79" s="148"/>
      <c r="AP79" s="99"/>
      <c r="AQ79" s="99"/>
      <c r="AS79" s="130"/>
      <c r="AV79"/>
      <c r="AX79" s="148"/>
      <c r="BB79"/>
      <c r="BD79" s="304"/>
      <c r="BE79"/>
      <c r="BG79" s="148"/>
      <c r="BJ79"/>
      <c r="BL79" s="110"/>
    </row>
    <row r="80" spans="2:109">
      <c r="P80" s="14"/>
      <c r="Q80" s="14"/>
      <c r="R80" s="14"/>
      <c r="S80" s="14"/>
      <c r="T80" s="14"/>
      <c r="U80" s="14"/>
      <c r="V80" s="14"/>
      <c r="W80" s="14"/>
      <c r="X80" s="106"/>
      <c r="AD80" s="14"/>
      <c r="AE80" s="62"/>
      <c r="AF80" s="73"/>
    </row>
    <row r="81" spans="16:32">
      <c r="P81" s="14"/>
      <c r="Q81" s="14"/>
      <c r="R81" s="14"/>
      <c r="S81" s="14"/>
      <c r="T81" s="14"/>
      <c r="U81" s="14"/>
      <c r="V81" s="14"/>
      <c r="W81" s="14"/>
      <c r="X81" s="106"/>
      <c r="AD81" s="14"/>
      <c r="AE81" s="62"/>
      <c r="AF81" s="73"/>
    </row>
    <row r="82" spans="16:32">
      <c r="P82" s="14"/>
      <c r="Q82" s="14"/>
      <c r="R82" s="14"/>
      <c r="S82" s="14"/>
      <c r="T82" s="14"/>
      <c r="U82" s="14"/>
      <c r="V82" s="14"/>
      <c r="W82" s="14"/>
      <c r="X82" s="106"/>
      <c r="AD82" s="14"/>
      <c r="AE82" s="62"/>
      <c r="AF82" s="73"/>
    </row>
    <row r="83" spans="16:32">
      <c r="P83" s="14"/>
      <c r="Q83" s="14"/>
      <c r="R83" s="14"/>
      <c r="S83" s="14"/>
      <c r="T83" s="14"/>
      <c r="U83" s="14"/>
      <c r="V83" s="14"/>
      <c r="W83" s="14"/>
      <c r="X83" s="106"/>
      <c r="AD83" s="14"/>
      <c r="AE83" s="62"/>
      <c r="AF83" s="73"/>
    </row>
    <row r="84" spans="16:32">
      <c r="P84" s="14"/>
      <c r="Q84" s="14"/>
      <c r="R84" s="14"/>
      <c r="S84" s="14"/>
      <c r="T84" s="14"/>
      <c r="U84" s="14"/>
      <c r="V84" s="14"/>
      <c r="W84" s="14"/>
      <c r="X84" s="106"/>
      <c r="AD84" s="14"/>
      <c r="AE84" s="62"/>
      <c r="AF84" s="73"/>
    </row>
    <row r="85" spans="16:32">
      <c r="P85" s="14"/>
      <c r="Q85" s="14"/>
      <c r="R85" s="14"/>
      <c r="S85" s="14"/>
      <c r="T85" s="14"/>
      <c r="U85" s="14"/>
      <c r="V85" s="14"/>
      <c r="W85" s="14"/>
      <c r="X85" s="106"/>
      <c r="AD85" s="14"/>
      <c r="AE85" s="62"/>
      <c r="AF85" s="73"/>
    </row>
    <row r="86" spans="16:32">
      <c r="P86" s="14"/>
      <c r="Q86" s="14"/>
      <c r="R86" s="14"/>
      <c r="S86" s="14"/>
      <c r="T86" s="14"/>
      <c r="U86" s="14"/>
      <c r="V86" s="14"/>
      <c r="W86" s="14"/>
      <c r="X86" s="106"/>
    </row>
    <row r="87" spans="16:32">
      <c r="P87" s="14"/>
      <c r="Q87" s="14"/>
      <c r="R87" s="14"/>
      <c r="S87" s="14"/>
      <c r="T87" s="14"/>
      <c r="U87" s="14"/>
      <c r="V87" s="14"/>
      <c r="W87" s="14"/>
      <c r="X87" s="106"/>
    </row>
    <row r="88" spans="16:32">
      <c r="P88" s="14"/>
      <c r="Q88" s="14"/>
      <c r="R88" s="14"/>
      <c r="S88" s="14"/>
      <c r="T88" s="14"/>
      <c r="U88" s="14"/>
      <c r="V88" s="14"/>
      <c r="W88" s="14"/>
      <c r="X88" s="106"/>
    </row>
    <row r="89" spans="16:32">
      <c r="P89" s="14"/>
      <c r="Q89" s="14"/>
      <c r="R89" s="14"/>
      <c r="S89" s="14"/>
      <c r="T89" s="14"/>
      <c r="U89" s="14"/>
      <c r="V89" s="14"/>
      <c r="W89" s="14"/>
      <c r="X89" s="106"/>
    </row>
    <row r="90" spans="16:32">
      <c r="P90" s="14"/>
      <c r="Q90" s="14"/>
      <c r="R90" s="14"/>
      <c r="S90" s="14"/>
      <c r="T90" s="14"/>
      <c r="U90" s="14"/>
      <c r="V90" s="14"/>
      <c r="W90" s="14"/>
      <c r="X90" s="106"/>
    </row>
    <row r="91" spans="16:32">
      <c r="P91" s="14"/>
      <c r="Q91" s="14"/>
      <c r="R91" s="14"/>
      <c r="S91" s="14"/>
      <c r="T91" s="14"/>
      <c r="U91" s="14"/>
      <c r="V91" s="14"/>
      <c r="W91" s="14"/>
      <c r="X91" s="106"/>
    </row>
    <row r="92" spans="16:32">
      <c r="P92" s="14"/>
      <c r="Q92" s="14"/>
      <c r="R92" s="14"/>
      <c r="S92" s="14"/>
      <c r="T92" s="14"/>
      <c r="U92" s="14"/>
      <c r="V92" s="14"/>
      <c r="W92" s="14"/>
      <c r="X92" s="106"/>
    </row>
    <row r="93" spans="16:32">
      <c r="P93" s="14"/>
      <c r="Q93" s="14"/>
      <c r="R93" s="14"/>
      <c r="S93" s="14"/>
      <c r="T93" s="14"/>
      <c r="U93" s="14"/>
      <c r="V93" s="14"/>
      <c r="W93" s="14"/>
      <c r="X93" s="106"/>
    </row>
    <row r="94" spans="16:32">
      <c r="P94" s="14"/>
      <c r="Q94" s="14"/>
      <c r="R94" s="14"/>
      <c r="S94" s="14"/>
      <c r="T94" s="14"/>
      <c r="U94" s="14"/>
      <c r="V94" s="14"/>
      <c r="W94" s="14"/>
      <c r="X94" s="106"/>
    </row>
    <row r="95" spans="16:32">
      <c r="P95" s="14"/>
      <c r="Q95" s="14"/>
      <c r="R95" s="14"/>
      <c r="S95" s="14"/>
      <c r="T95" s="14"/>
      <c r="U95" s="14"/>
      <c r="V95" s="14"/>
      <c r="W95" s="14"/>
      <c r="X95" s="106"/>
    </row>
    <row r="96" spans="16:32">
      <c r="P96" s="14"/>
      <c r="Q96" s="14"/>
      <c r="R96" s="14"/>
      <c r="S96" s="14"/>
      <c r="T96" s="14"/>
      <c r="U96" s="14"/>
      <c r="V96" s="14"/>
      <c r="W96" s="14"/>
      <c r="X96" s="106"/>
    </row>
    <row r="97" spans="16:24">
      <c r="P97" s="14"/>
      <c r="Q97" s="14"/>
      <c r="R97" s="14"/>
      <c r="S97" s="14"/>
      <c r="T97" s="14"/>
      <c r="U97" s="14"/>
      <c r="V97" s="14"/>
      <c r="W97" s="14"/>
      <c r="X97" s="106"/>
    </row>
    <row r="98" spans="16:24">
      <c r="P98" s="14"/>
      <c r="Q98" s="14"/>
      <c r="R98" s="14"/>
      <c r="S98" s="14"/>
      <c r="T98" s="14"/>
      <c r="U98" s="14"/>
      <c r="V98" s="14"/>
      <c r="W98" s="14"/>
      <c r="X98" s="106"/>
    </row>
    <row r="99" spans="16:24">
      <c r="P99" s="14"/>
      <c r="Q99" s="14"/>
      <c r="R99" s="14"/>
      <c r="S99" s="14"/>
      <c r="T99" s="14"/>
      <c r="U99" s="14"/>
      <c r="V99" s="14"/>
      <c r="W99" s="14"/>
      <c r="X99" s="106"/>
    </row>
    <row r="100" spans="16:24">
      <c r="P100" s="14"/>
      <c r="Q100" s="14"/>
      <c r="R100" s="14"/>
      <c r="S100" s="14"/>
      <c r="T100" s="14"/>
      <c r="U100" s="14"/>
      <c r="V100" s="14"/>
      <c r="W100" s="14"/>
      <c r="X100" s="106"/>
    </row>
    <row r="101" spans="16:24">
      <c r="P101" s="14"/>
      <c r="Q101" s="14"/>
      <c r="R101" s="14"/>
      <c r="S101" s="14"/>
      <c r="T101" s="14"/>
      <c r="U101" s="14"/>
      <c r="V101" s="14"/>
      <c r="W101" s="14"/>
      <c r="X101" s="106"/>
    </row>
    <row r="102" spans="16:24">
      <c r="P102" s="14"/>
      <c r="Q102" s="14"/>
      <c r="R102" s="14"/>
      <c r="S102" s="14"/>
      <c r="T102" s="14"/>
      <c r="U102" s="14"/>
      <c r="V102" s="14"/>
      <c r="W102" s="14"/>
      <c r="X102" s="106"/>
    </row>
    <row r="103" spans="16:24">
      <c r="P103" s="14"/>
      <c r="Q103" s="14"/>
      <c r="R103" s="14"/>
      <c r="S103" s="14"/>
      <c r="T103" s="14"/>
      <c r="U103" s="14"/>
      <c r="V103" s="14"/>
      <c r="W103" s="14"/>
      <c r="X103" s="106"/>
    </row>
    <row r="104" spans="16:24">
      <c r="P104" s="14"/>
      <c r="Q104" s="14"/>
      <c r="R104" s="14"/>
      <c r="S104" s="14"/>
      <c r="T104" s="14"/>
      <c r="U104" s="14"/>
      <c r="V104" s="14"/>
      <c r="W104" s="14"/>
      <c r="X104" s="106"/>
    </row>
    <row r="105" spans="16:24">
      <c r="P105" s="14"/>
      <c r="Q105" s="14"/>
      <c r="R105" s="14"/>
      <c r="S105" s="14"/>
      <c r="T105" s="14"/>
      <c r="U105" s="14"/>
      <c r="V105" s="14"/>
      <c r="W105" s="14"/>
      <c r="X105" s="106"/>
    </row>
    <row r="106" spans="16:24">
      <c r="P106" s="14"/>
      <c r="Q106" s="14"/>
      <c r="R106" s="14"/>
      <c r="S106" s="14"/>
      <c r="T106" s="14"/>
      <c r="U106" s="14"/>
      <c r="V106" s="14"/>
      <c r="W106" s="14"/>
      <c r="X106" s="106"/>
    </row>
    <row r="107" spans="16:24">
      <c r="P107" s="14"/>
      <c r="Q107" s="14"/>
      <c r="R107" s="14"/>
      <c r="S107" s="14"/>
      <c r="T107" s="14"/>
      <c r="U107" s="14"/>
      <c r="V107" s="14"/>
      <c r="W107" s="14"/>
      <c r="X107" s="106"/>
    </row>
    <row r="108" spans="16:24">
      <c r="P108" s="14"/>
      <c r="Q108" s="14"/>
      <c r="R108" s="14"/>
      <c r="S108" s="14"/>
      <c r="T108" s="14"/>
      <c r="U108" s="14"/>
      <c r="V108" s="14"/>
      <c r="W108" s="14"/>
      <c r="X108" s="106"/>
    </row>
    <row r="109" spans="16:24">
      <c r="P109" s="14"/>
      <c r="Q109" s="14"/>
      <c r="R109" s="14"/>
      <c r="S109" s="14"/>
      <c r="T109" s="14"/>
      <c r="U109" s="14"/>
      <c r="V109" s="14"/>
      <c r="W109" s="14"/>
      <c r="X109" s="106"/>
    </row>
    <row r="110" spans="16:24">
      <c r="P110" s="14"/>
      <c r="Q110" s="14"/>
      <c r="R110" s="14"/>
      <c r="S110" s="14"/>
      <c r="T110" s="14"/>
      <c r="U110" s="14"/>
      <c r="V110" s="14"/>
      <c r="W110" s="14"/>
      <c r="X110" s="106"/>
    </row>
    <row r="111" spans="16:24">
      <c r="P111" s="14"/>
      <c r="Q111" s="14"/>
      <c r="R111" s="14"/>
      <c r="S111" s="14"/>
      <c r="T111" s="14"/>
      <c r="U111" s="14"/>
      <c r="V111" s="14"/>
      <c r="W111" s="14"/>
      <c r="X111" s="106"/>
    </row>
    <row r="112" spans="16:24">
      <c r="P112" s="14"/>
      <c r="Q112" s="14"/>
      <c r="R112" s="14"/>
      <c r="S112" s="14"/>
      <c r="T112" s="14"/>
      <c r="U112" s="14"/>
      <c r="V112" s="14"/>
      <c r="W112" s="14"/>
      <c r="X112" s="106"/>
    </row>
    <row r="113" spans="16:24">
      <c r="P113" s="14"/>
      <c r="Q113" s="14"/>
      <c r="R113" s="14"/>
      <c r="S113" s="14"/>
      <c r="T113" s="14"/>
      <c r="U113" s="14"/>
      <c r="V113" s="14"/>
      <c r="W113" s="14"/>
      <c r="X113" s="106"/>
    </row>
    <row r="114" spans="16:24">
      <c r="P114" s="14"/>
      <c r="Q114" s="14"/>
      <c r="R114" s="14"/>
      <c r="S114" s="14"/>
      <c r="T114" s="14"/>
      <c r="U114" s="14"/>
      <c r="V114" s="14"/>
      <c r="W114" s="14"/>
      <c r="X114" s="106"/>
    </row>
    <row r="115" spans="16:24">
      <c r="P115" s="14"/>
      <c r="Q115" s="14"/>
      <c r="R115" s="14"/>
      <c r="S115" s="14"/>
      <c r="T115" s="14"/>
      <c r="U115" s="14"/>
      <c r="V115" s="14"/>
      <c r="W115" s="14"/>
      <c r="X115" s="106"/>
    </row>
    <row r="116" spans="16:24">
      <c r="P116" s="14"/>
      <c r="Q116" s="14"/>
      <c r="R116" s="14"/>
      <c r="S116" s="14"/>
      <c r="T116" s="14"/>
      <c r="U116" s="14"/>
      <c r="V116" s="14"/>
      <c r="W116" s="14"/>
      <c r="X116" s="106"/>
    </row>
    <row r="117" spans="16:24">
      <c r="P117" s="14"/>
      <c r="Q117" s="14"/>
      <c r="R117" s="14"/>
      <c r="S117" s="14"/>
      <c r="T117" s="14"/>
      <c r="U117" s="14"/>
      <c r="V117" s="14"/>
      <c r="W117" s="14"/>
      <c r="X117" s="106"/>
    </row>
    <row r="118" spans="16:24">
      <c r="W118" s="14"/>
      <c r="X118" s="106"/>
    </row>
    <row r="119" spans="16:24">
      <c r="W119" s="14"/>
      <c r="X119" s="106"/>
    </row>
    <row r="120" spans="16:24">
      <c r="W120" s="14"/>
      <c r="X120" s="106"/>
    </row>
    <row r="121" spans="16:24">
      <c r="W121" s="14"/>
      <c r="X121" s="106"/>
    </row>
    <row r="122" spans="16:24">
      <c r="W122" s="14"/>
      <c r="X122" s="106"/>
    </row>
    <row r="123" spans="16:24">
      <c r="W123" s="14"/>
      <c r="X123" s="106"/>
    </row>
    <row r="124" spans="16:24">
      <c r="W124" s="14"/>
      <c r="X124" s="106"/>
    </row>
  </sheetData>
  <mergeCells count="7">
    <mergeCell ref="CT51:DE51"/>
    <mergeCell ref="CH51:CS51"/>
    <mergeCell ref="BV51:CG51"/>
    <mergeCell ref="BJ51:BU51"/>
    <mergeCell ref="AX51:BI51"/>
    <mergeCell ref="AL51:AW51"/>
    <mergeCell ref="Z51:AK51"/>
  </mergeCells>
  <pageMargins left="0.26" right="0.17" top="0.28000000000000003" bottom="0.27" header="0.3" footer="0.3"/>
  <pageSetup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Patients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sintern</dc:creator>
  <cp:lastModifiedBy>suef</cp:lastModifiedBy>
  <cp:lastPrinted>2019-05-13T16:58:15Z</cp:lastPrinted>
  <dcterms:created xsi:type="dcterms:W3CDTF">2017-07-07T14:15:08Z</dcterms:created>
  <dcterms:modified xsi:type="dcterms:W3CDTF">2019-05-28T15:07:04Z</dcterms:modified>
</cp:coreProperties>
</file>