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W:\research\thermal\paper\"/>
    </mc:Choice>
  </mc:AlternateContent>
  <xr:revisionPtr revIDLastSave="0" documentId="13_ncr:1_{D162DA2A-68C5-4D4A-93B3-2AA19F3D55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ex" sheetId="18" r:id="rId1"/>
    <sheet name="Theoretical Geometry" sheetId="16" r:id="rId2"/>
    <sheet name="Mobility Ratio" sheetId="14" r:id="rId3"/>
    <sheet name="Reynolds Number" sheetId="9" r:id="rId4"/>
    <sheet name="Peclet Number" sheetId="13" r:id="rId5"/>
    <sheet name="Image Analysis" sheetId="10" r:id="rId6"/>
  </sheets>
  <definedNames>
    <definedName name="_xlnm.Print_Area" localSheetId="5">'Image Analysis'!$A$1:$S$166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2" i="10" l="1"/>
  <c r="AA12" i="10"/>
  <c r="AA11" i="10"/>
  <c r="Y11" i="10"/>
  <c r="AA8" i="10"/>
  <c r="Y8" i="10"/>
  <c r="AA7" i="10"/>
  <c r="Y7" i="10"/>
  <c r="AC4" i="10"/>
  <c r="AA4" i="10"/>
  <c r="Y4" i="10"/>
  <c r="Y3" i="10"/>
  <c r="W4" i="10"/>
  <c r="W3" i="10"/>
  <c r="R2" i="10"/>
  <c r="R1" i="10"/>
  <c r="B8" i="16" l="1"/>
  <c r="B9" i="16" s="1"/>
  <c r="C8" i="16"/>
  <c r="C9" i="16" s="1"/>
  <c r="B30" i="13"/>
  <c r="C30" i="13" s="1"/>
  <c r="D30" i="13" s="1"/>
  <c r="B31" i="13"/>
  <c r="C31" i="13" s="1"/>
  <c r="D31" i="13" s="1"/>
  <c r="B40" i="13"/>
  <c r="C40" i="13" s="1"/>
  <c r="D40" i="13" s="1"/>
  <c r="B39" i="13"/>
  <c r="C39" i="13" s="1"/>
  <c r="D39" i="13" s="1"/>
  <c r="B38" i="13"/>
  <c r="C38" i="13" s="1"/>
  <c r="D38" i="13" s="1"/>
  <c r="B37" i="13"/>
  <c r="C37" i="13" s="1"/>
  <c r="D37" i="13" s="1"/>
  <c r="B36" i="13"/>
  <c r="C36" i="13" s="1"/>
  <c r="D36" i="13" s="1"/>
  <c r="B35" i="13"/>
  <c r="C35" i="13" s="1"/>
  <c r="D35" i="13" s="1"/>
  <c r="B29" i="13"/>
  <c r="C29" i="13" s="1"/>
  <c r="D29" i="13" s="1"/>
  <c r="B28" i="13"/>
  <c r="C28" i="13" s="1"/>
  <c r="D28" i="13" s="1"/>
  <c r="B27" i="13"/>
  <c r="C27" i="13" s="1"/>
  <c r="D27" i="13" s="1"/>
  <c r="B26" i="13"/>
  <c r="C26" i="13" s="1"/>
  <c r="D26" i="13" s="1"/>
  <c r="B25" i="13"/>
  <c r="C25" i="13" s="1"/>
  <c r="D25" i="13" s="1"/>
  <c r="B24" i="13"/>
  <c r="C24" i="13" s="1"/>
  <c r="D24" i="13" s="1"/>
  <c r="B20" i="13"/>
  <c r="C20" i="13" s="1"/>
  <c r="D20" i="13" s="1"/>
  <c r="B19" i="13"/>
  <c r="C19" i="13" s="1"/>
  <c r="D19" i="13" s="1"/>
  <c r="B18" i="13"/>
  <c r="C18" i="13" s="1"/>
  <c r="D18" i="13" s="1"/>
  <c r="B17" i="13"/>
  <c r="C17" i="13" s="1"/>
  <c r="D17" i="13" s="1"/>
  <c r="B16" i="13"/>
  <c r="C16" i="13" s="1"/>
  <c r="D16" i="13" s="1"/>
  <c r="B15" i="13"/>
  <c r="C15" i="13" s="1"/>
  <c r="D15" i="13" s="1"/>
  <c r="B7" i="13"/>
  <c r="C7" i="13" s="1"/>
  <c r="D7" i="13" s="1"/>
  <c r="B8" i="13"/>
  <c r="C8" i="13" s="1"/>
  <c r="D8" i="13" s="1"/>
  <c r="F8" i="13" s="1"/>
  <c r="B9" i="13"/>
  <c r="C9" i="13" s="1"/>
  <c r="D9" i="13" s="1"/>
  <c r="F9" i="13" s="1"/>
  <c r="B10" i="13"/>
  <c r="C10" i="13" s="1"/>
  <c r="D10" i="13" s="1"/>
  <c r="B11" i="13"/>
  <c r="C11" i="13" s="1"/>
  <c r="D11" i="13" s="1"/>
  <c r="B6" i="13"/>
  <c r="C6" i="13" s="1"/>
  <c r="D6" i="13" s="1"/>
  <c r="B22" i="14"/>
  <c r="B20" i="14"/>
  <c r="B23" i="14" s="1"/>
  <c r="B14" i="14"/>
  <c r="B12" i="14"/>
  <c r="B15" i="14" s="1"/>
  <c r="C10" i="16" l="1"/>
  <c r="C11" i="16"/>
  <c r="B10" i="16"/>
  <c r="B11" i="16"/>
  <c r="E10" i="13"/>
  <c r="G10" i="13" s="1"/>
  <c r="H10" i="13" s="1"/>
  <c r="F10" i="13"/>
  <c r="F7" i="13"/>
  <c r="E7" i="13"/>
  <c r="G7" i="13" s="1"/>
  <c r="H7" i="13" s="1"/>
  <c r="F11" i="13"/>
  <c r="E11" i="13"/>
  <c r="G11" i="13" s="1"/>
  <c r="H11" i="13" s="1"/>
  <c r="F6" i="13"/>
  <c r="E6" i="13"/>
  <c r="G6" i="13" s="1"/>
  <c r="H6" i="13" s="1"/>
  <c r="E9" i="13"/>
  <c r="G9" i="13" s="1"/>
  <c r="H9" i="13" s="1"/>
  <c r="E8" i="13"/>
  <c r="G8" i="13" s="1"/>
  <c r="H8" i="13" s="1"/>
  <c r="E31" i="13"/>
  <c r="G31" i="13" s="1"/>
  <c r="H31" i="13" s="1"/>
  <c r="F31" i="13"/>
  <c r="E30" i="13"/>
  <c r="G30" i="13" s="1"/>
  <c r="H30" i="13" s="1"/>
  <c r="F30" i="13"/>
  <c r="E39" i="13"/>
  <c r="G39" i="13" s="1"/>
  <c r="H39" i="13" s="1"/>
  <c r="F39" i="13"/>
  <c r="F35" i="13"/>
  <c r="E35" i="13"/>
  <c r="G35" i="13" s="1"/>
  <c r="H35" i="13" s="1"/>
  <c r="F40" i="13"/>
  <c r="E40" i="13"/>
  <c r="G40" i="13" s="1"/>
  <c r="H40" i="13" s="1"/>
  <c r="F36" i="13"/>
  <c r="E36" i="13"/>
  <c r="G36" i="13" s="1"/>
  <c r="H36" i="13" s="1"/>
  <c r="F37" i="13"/>
  <c r="E37" i="13"/>
  <c r="G37" i="13" s="1"/>
  <c r="H37" i="13" s="1"/>
  <c r="F38" i="13"/>
  <c r="E38" i="13"/>
  <c r="G38" i="13" s="1"/>
  <c r="H38" i="13" s="1"/>
  <c r="F24" i="13"/>
  <c r="E24" i="13"/>
  <c r="G24" i="13" s="1"/>
  <c r="H24" i="13" s="1"/>
  <c r="F29" i="13"/>
  <c r="E29" i="13"/>
  <c r="G29" i="13" s="1"/>
  <c r="H29" i="13" s="1"/>
  <c r="E27" i="13"/>
  <c r="G27" i="13" s="1"/>
  <c r="H27" i="13" s="1"/>
  <c r="F27" i="13"/>
  <c r="F25" i="13"/>
  <c r="E25" i="13"/>
  <c r="G25" i="13" s="1"/>
  <c r="H25" i="13" s="1"/>
  <c r="F26" i="13"/>
  <c r="E26" i="13"/>
  <c r="G26" i="13" s="1"/>
  <c r="H26" i="13" s="1"/>
  <c r="F28" i="13"/>
  <c r="E28" i="13"/>
  <c r="G28" i="13" s="1"/>
  <c r="H28" i="13" s="1"/>
  <c r="F15" i="13"/>
  <c r="E15" i="13"/>
  <c r="G15" i="13" s="1"/>
  <c r="H15" i="13" s="1"/>
  <c r="E19" i="13"/>
  <c r="G19" i="13" s="1"/>
  <c r="H19" i="13" s="1"/>
  <c r="F19" i="13"/>
  <c r="F20" i="13"/>
  <c r="E20" i="13"/>
  <c r="G20" i="13" s="1"/>
  <c r="H20" i="13" s="1"/>
  <c r="F17" i="13"/>
  <c r="E17" i="13"/>
  <c r="G17" i="13" s="1"/>
  <c r="H17" i="13" s="1"/>
  <c r="E16" i="13"/>
  <c r="G16" i="13" s="1"/>
  <c r="H16" i="13" s="1"/>
  <c r="F16" i="13"/>
  <c r="F18" i="13"/>
  <c r="E18" i="13"/>
  <c r="G18" i="13" s="1"/>
  <c r="H18" i="13" s="1"/>
  <c r="I2" i="10"/>
  <c r="O1" i="10" s="1"/>
  <c r="O2" i="10" s="1"/>
  <c r="O16" i="10" s="1"/>
  <c r="D25" i="9"/>
  <c r="C16" i="9"/>
  <c r="B37" i="9" s="1"/>
  <c r="C14" i="9"/>
  <c r="B29" i="9" s="1"/>
  <c r="C15" i="9"/>
  <c r="B34" i="9" s="1"/>
  <c r="C13" i="9"/>
  <c r="B26" i="9" s="1"/>
  <c r="D8" i="16" l="1"/>
  <c r="D9" i="16" s="1"/>
  <c r="H15" i="10"/>
  <c r="E43" i="10"/>
  <c r="E62" i="10"/>
  <c r="O47" i="10"/>
  <c r="O9" i="10"/>
  <c r="R24" i="10"/>
  <c r="R43" i="10"/>
  <c r="R62" i="10"/>
  <c r="H28" i="10"/>
  <c r="E10" i="10"/>
  <c r="E33" i="10"/>
  <c r="E63" i="10"/>
  <c r="O48" i="10"/>
  <c r="O18" i="10"/>
  <c r="R33" i="10"/>
  <c r="R63" i="10"/>
  <c r="H29" i="10"/>
  <c r="E17" i="10"/>
  <c r="E26" i="10"/>
  <c r="E45" i="10"/>
  <c r="O60" i="10"/>
  <c r="O30" i="10"/>
  <c r="O19" i="10"/>
  <c r="R26" i="10"/>
  <c r="R56" i="10"/>
  <c r="H30" i="10"/>
  <c r="E16" i="10"/>
  <c r="H8" i="10"/>
  <c r="H12" i="10"/>
  <c r="E27" i="10"/>
  <c r="E38" i="10"/>
  <c r="E46" i="10"/>
  <c r="E57" i="10"/>
  <c r="O53" i="10"/>
  <c r="O61" i="10"/>
  <c r="O42" i="10"/>
  <c r="O23" i="10"/>
  <c r="O31" i="10"/>
  <c r="O12" i="10"/>
  <c r="R8" i="10"/>
  <c r="R16" i="10"/>
  <c r="R27" i="10"/>
  <c r="R38" i="10"/>
  <c r="R46" i="10"/>
  <c r="R57" i="10"/>
  <c r="H53" i="10"/>
  <c r="H61" i="10"/>
  <c r="H42" i="10"/>
  <c r="H23" i="10"/>
  <c r="H31" i="10"/>
  <c r="E11" i="10"/>
  <c r="E24" i="10"/>
  <c r="E54" i="10"/>
  <c r="O58" i="10"/>
  <c r="O28" i="10"/>
  <c r="O17" i="10"/>
  <c r="R32" i="10"/>
  <c r="R54" i="10"/>
  <c r="H58" i="10"/>
  <c r="H47" i="10"/>
  <c r="H14" i="10"/>
  <c r="E44" i="10"/>
  <c r="O59" i="10"/>
  <c r="O29" i="10"/>
  <c r="R14" i="10"/>
  <c r="R44" i="10"/>
  <c r="H59" i="10"/>
  <c r="H48" i="10"/>
  <c r="E9" i="10"/>
  <c r="E34" i="10"/>
  <c r="E64" i="10"/>
  <c r="O41" i="10"/>
  <c r="O11" i="10"/>
  <c r="R34" i="10"/>
  <c r="R64" i="10"/>
  <c r="H49" i="10"/>
  <c r="E15" i="10"/>
  <c r="H19" i="10"/>
  <c r="H11" i="10"/>
  <c r="E28" i="10"/>
  <c r="E39" i="10"/>
  <c r="E47" i="10"/>
  <c r="E58" i="10"/>
  <c r="O54" i="10"/>
  <c r="O62" i="10"/>
  <c r="O43" i="10"/>
  <c r="O24" i="10"/>
  <c r="O32" i="10"/>
  <c r="O13" i="10"/>
  <c r="R9" i="10"/>
  <c r="R17" i="10"/>
  <c r="R28" i="10"/>
  <c r="R39" i="10"/>
  <c r="R47" i="10"/>
  <c r="R58" i="10"/>
  <c r="H54" i="10"/>
  <c r="H62" i="10"/>
  <c r="H43" i="10"/>
  <c r="H24" i="10"/>
  <c r="H32" i="10"/>
  <c r="E19" i="10"/>
  <c r="E32" i="10"/>
  <c r="O39" i="10"/>
  <c r="R13" i="10"/>
  <c r="H39" i="10"/>
  <c r="E18" i="10"/>
  <c r="E25" i="10"/>
  <c r="E55" i="10"/>
  <c r="O40" i="10"/>
  <c r="O10" i="10"/>
  <c r="R25" i="10"/>
  <c r="R55" i="10"/>
  <c r="H40" i="10"/>
  <c r="H13" i="10"/>
  <c r="E56" i="10"/>
  <c r="O49" i="10"/>
  <c r="R15" i="10"/>
  <c r="R45" i="10"/>
  <c r="H60" i="10"/>
  <c r="H41" i="10"/>
  <c r="E14" i="10"/>
  <c r="H18" i="10"/>
  <c r="H10" i="10"/>
  <c r="E29" i="10"/>
  <c r="E40" i="10"/>
  <c r="E48" i="10"/>
  <c r="E59" i="10"/>
  <c r="O55" i="10"/>
  <c r="O63" i="10"/>
  <c r="O44" i="10"/>
  <c r="O25" i="10"/>
  <c r="O33" i="10"/>
  <c r="O14" i="10"/>
  <c r="R10" i="10"/>
  <c r="R18" i="10"/>
  <c r="R29" i="10"/>
  <c r="R40" i="10"/>
  <c r="R48" i="10"/>
  <c r="R59" i="10"/>
  <c r="H55" i="10"/>
  <c r="H63" i="10"/>
  <c r="H44" i="10"/>
  <c r="H25" i="10"/>
  <c r="H33" i="10"/>
  <c r="E13" i="10"/>
  <c r="H17" i="10"/>
  <c r="H9" i="10"/>
  <c r="E30" i="10"/>
  <c r="E41" i="10"/>
  <c r="E49" i="10"/>
  <c r="E60" i="10"/>
  <c r="O56" i="10"/>
  <c r="O64" i="10"/>
  <c r="O45" i="10"/>
  <c r="O26" i="10"/>
  <c r="O34" i="10"/>
  <c r="O15" i="10"/>
  <c r="R11" i="10"/>
  <c r="R19" i="10"/>
  <c r="R30" i="10"/>
  <c r="R41" i="10"/>
  <c r="R49" i="10"/>
  <c r="R60" i="10"/>
  <c r="H56" i="10"/>
  <c r="H64" i="10"/>
  <c r="H45" i="10"/>
  <c r="H26" i="10"/>
  <c r="H34" i="10"/>
  <c r="E8" i="10"/>
  <c r="E12" i="10"/>
  <c r="H16" i="10"/>
  <c r="E23" i="10"/>
  <c r="E31" i="10"/>
  <c r="E42" i="10"/>
  <c r="E53" i="10"/>
  <c r="E61" i="10"/>
  <c r="O57" i="10"/>
  <c r="O38" i="10"/>
  <c r="O46" i="10"/>
  <c r="O27" i="10"/>
  <c r="O8" i="10"/>
  <c r="R12" i="10"/>
  <c r="R23" i="10"/>
  <c r="R31" i="10"/>
  <c r="R42" i="10"/>
  <c r="R53" i="10"/>
  <c r="R61" i="10"/>
  <c r="H57" i="10"/>
  <c r="H38" i="10"/>
  <c r="H46" i="10"/>
  <c r="H27" i="10"/>
  <c r="B25" i="9"/>
  <c r="E25" i="9" s="1"/>
  <c r="F25" i="9" s="1"/>
  <c r="B32" i="9"/>
  <c r="B40" i="9"/>
  <c r="B39" i="9"/>
  <c r="B28" i="9"/>
  <c r="B36" i="9"/>
  <c r="B30" i="9"/>
  <c r="B33" i="9"/>
  <c r="B27" i="9"/>
  <c r="B35" i="9"/>
  <c r="B38" i="9"/>
  <c r="B31" i="9"/>
  <c r="AA3" i="10" l="1"/>
  <c r="AC3" i="10"/>
  <c r="E8" i="16"/>
  <c r="E9" i="16" s="1"/>
  <c r="D11" i="16"/>
  <c r="D10" i="16"/>
  <c r="I62" i="10"/>
  <c r="E11" i="16" l="1"/>
  <c r="E10" i="16"/>
  <c r="F8" i="16"/>
  <c r="F9" i="16" s="1"/>
  <c r="P24" i="10"/>
  <c r="F30" i="10"/>
  <c r="F34" i="10"/>
  <c r="F60" i="10"/>
  <c r="G8" i="16" l="1"/>
  <c r="G9" i="16" s="1"/>
  <c r="F11" i="16"/>
  <c r="F10" i="16"/>
  <c r="P17" i="10"/>
  <c r="P64" i="10"/>
  <c r="F13" i="10"/>
  <c r="P60" i="10"/>
  <c r="P28" i="10"/>
  <c r="F56" i="10"/>
  <c r="F62" i="10"/>
  <c r="F41" i="10"/>
  <c r="P62" i="10"/>
  <c r="F45" i="10"/>
  <c r="P26" i="10"/>
  <c r="F32" i="10"/>
  <c r="F49" i="10"/>
  <c r="P13" i="10"/>
  <c r="P32" i="10"/>
  <c r="P9" i="10"/>
  <c r="F17" i="10"/>
  <c r="P58" i="10"/>
  <c r="F28" i="10"/>
  <c r="P19" i="10"/>
  <c r="F11" i="10"/>
  <c r="F58" i="10"/>
  <c r="P30" i="10"/>
  <c r="F24" i="10"/>
  <c r="P56" i="10"/>
  <c r="F47" i="10"/>
  <c r="P11" i="10"/>
  <c r="P34" i="10"/>
  <c r="F9" i="10"/>
  <c r="F39" i="10"/>
  <c r="P15" i="10"/>
  <c r="P39" i="10"/>
  <c r="P43" i="10"/>
  <c r="P41" i="10"/>
  <c r="F15" i="10"/>
  <c r="F19" i="10"/>
  <c r="P47" i="10"/>
  <c r="P45" i="10"/>
  <c r="F54" i="10"/>
  <c r="F64" i="10"/>
  <c r="F26" i="10"/>
  <c r="P54" i="10"/>
  <c r="S64" i="10"/>
  <c r="P49" i="10"/>
  <c r="F43" i="10"/>
  <c r="I28" i="10"/>
  <c r="I19" i="10"/>
  <c r="I64" i="10"/>
  <c r="I34" i="10"/>
  <c r="I49" i="10"/>
  <c r="I43" i="10"/>
  <c r="G10" i="16" l="1"/>
  <c r="G11" i="16"/>
  <c r="H8" i="16"/>
  <c r="H9" i="16" s="1"/>
  <c r="S58" i="10"/>
  <c r="I58" i="10"/>
  <c r="S54" i="10"/>
  <c r="I13" i="10"/>
  <c r="I9" i="10"/>
  <c r="I39" i="10"/>
  <c r="I60" i="10"/>
  <c r="I15" i="10"/>
  <c r="I32" i="10"/>
  <c r="I56" i="10"/>
  <c r="I26" i="10"/>
  <c r="S56" i="10"/>
  <c r="I17" i="10"/>
  <c r="I24" i="10"/>
  <c r="I45" i="10"/>
  <c r="I54" i="10"/>
  <c r="I11" i="10"/>
  <c r="S39" i="10"/>
  <c r="I41" i="10"/>
  <c r="S28" i="10"/>
  <c r="I30" i="10"/>
  <c r="S47" i="10"/>
  <c r="S62" i="10"/>
  <c r="I47" i="10"/>
  <c r="S60" i="10"/>
  <c r="S13" i="10"/>
  <c r="S24" i="10"/>
  <c r="S32" i="10"/>
  <c r="S43" i="10"/>
  <c r="S17" i="10"/>
  <c r="S15" i="10"/>
  <c r="S41" i="10"/>
  <c r="S49" i="10"/>
  <c r="S30" i="10"/>
  <c r="S9" i="10"/>
  <c r="S11" i="10"/>
  <c r="S19" i="10"/>
  <c r="S45" i="10"/>
  <c r="S26" i="10"/>
  <c r="S34" i="10"/>
  <c r="D40" i="9"/>
  <c r="E40" i="9" s="1"/>
  <c r="D39" i="9"/>
  <c r="E39" i="9" s="1"/>
  <c r="D38" i="9"/>
  <c r="E38" i="9" s="1"/>
  <c r="D37" i="9"/>
  <c r="E37" i="9" s="1"/>
  <c r="D36" i="9"/>
  <c r="E36" i="9" s="1"/>
  <c r="D35" i="9"/>
  <c r="E35" i="9" s="1"/>
  <c r="D34" i="9"/>
  <c r="E34" i="9" s="1"/>
  <c r="D33" i="9"/>
  <c r="E33" i="9" s="1"/>
  <c r="I8" i="16" l="1"/>
  <c r="I9" i="16" s="1"/>
  <c r="H10" i="16"/>
  <c r="H11" i="16"/>
  <c r="F34" i="9"/>
  <c r="F36" i="9"/>
  <c r="F33" i="9"/>
  <c r="F37" i="9"/>
  <c r="F35" i="9"/>
  <c r="F38" i="9"/>
  <c r="F39" i="9"/>
  <c r="F40" i="9"/>
  <c r="D32" i="9"/>
  <c r="E32" i="9" s="1"/>
  <c r="D31" i="9"/>
  <c r="E31" i="9" s="1"/>
  <c r="D30" i="9"/>
  <c r="E30" i="9" s="1"/>
  <c r="D29" i="9"/>
  <c r="E29" i="9" s="1"/>
  <c r="D28" i="9"/>
  <c r="E28" i="9" s="1"/>
  <c r="D27" i="9"/>
  <c r="E27" i="9" s="1"/>
  <c r="D26" i="9"/>
  <c r="E26" i="9" s="1"/>
  <c r="B7" i="9"/>
  <c r="C7" i="9" s="1"/>
  <c r="J8" i="16" l="1"/>
  <c r="J9" i="16" s="1"/>
  <c r="I10" i="16"/>
  <c r="I11" i="16"/>
  <c r="F26" i="9"/>
  <c r="F29" i="9"/>
  <c r="F27" i="9"/>
  <c r="F30" i="9"/>
  <c r="F31" i="9"/>
  <c r="F28" i="9"/>
  <c r="F32" i="9"/>
  <c r="D13" i="9"/>
  <c r="E13" i="9" s="1"/>
  <c r="D15" i="9"/>
  <c r="E15" i="9" s="1"/>
  <c r="D16" i="9"/>
  <c r="E16" i="9" s="1"/>
  <c r="D14" i="9"/>
  <c r="E14" i="9" s="1"/>
  <c r="J11" i="16" l="1"/>
  <c r="J10" i="16"/>
</calcChain>
</file>

<file path=xl/sharedStrings.xml><?xml version="1.0" encoding="utf-8"?>
<sst xmlns="http://schemas.openxmlformats.org/spreadsheetml/2006/main" count="426" uniqueCount="147">
  <si>
    <t>cm</t>
  </si>
  <si>
    <t>Area</t>
  </si>
  <si>
    <t>Q</t>
  </si>
  <si>
    <t>Reynolds Number</t>
  </si>
  <si>
    <r>
      <t>Q [mm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/min]</t>
    </r>
  </si>
  <si>
    <t>mm</t>
  </si>
  <si>
    <t>r [mm]</t>
  </si>
  <si>
    <r>
      <t>A [mm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</si>
  <si>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q [mm/s]</t>
  </si>
  <si>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[-]</t>
    </r>
  </si>
  <si>
    <t>in</t>
  </si>
  <si>
    <t>Pe [-]</t>
  </si>
  <si>
    <t>V</t>
  </si>
  <si>
    <t>Scenario</t>
  </si>
  <si>
    <t>TR</t>
  </si>
  <si>
    <t>BL</t>
  </si>
  <si>
    <t>Perimeter</t>
  </si>
  <si>
    <t>b</t>
  </si>
  <si>
    <t>n</t>
  </si>
  <si>
    <t>-</t>
  </si>
  <si>
    <t>L</t>
  </si>
  <si>
    <t>D</t>
  </si>
  <si>
    <r>
      <t>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/s</t>
    </r>
  </si>
  <si>
    <t>Experiment 1</t>
  </si>
  <si>
    <t>mL/min</t>
  </si>
  <si>
    <r>
      <rPr>
        <b/>
        <sz val="10"/>
        <rFont val="Calibri"/>
        <family val="2"/>
      </rPr>
      <t>←</t>
    </r>
    <r>
      <rPr>
        <b/>
        <sz val="10"/>
        <rFont val="Arial"/>
        <family val="2"/>
      </rPr>
      <t xml:space="preserve"> thus injection time 1 minute</t>
    </r>
  </si>
  <si>
    <t>V [mL]</t>
  </si>
  <si>
    <t>r [cm]</t>
  </si>
  <si>
    <r>
      <t>A [cm</t>
    </r>
    <r>
      <rPr>
        <i/>
        <vertAlign val="superscript"/>
        <sz val="10"/>
        <rFont val="Arial"/>
        <family val="2"/>
      </rPr>
      <t>2</t>
    </r>
    <r>
      <rPr>
        <i/>
        <sz val="10"/>
        <rFont val="Arial"/>
        <family val="2"/>
      </rPr>
      <t>]</t>
    </r>
  </si>
  <si>
    <t>q [cm/min]</t>
  </si>
  <si>
    <t>q [cm/s]</t>
  </si>
  <si>
    <t>v [cm/min]</t>
  </si>
  <si>
    <t>v [cm/s]</t>
  </si>
  <si>
    <t>Experiment 2</t>
  </si>
  <si>
    <r>
      <rPr>
        <b/>
        <sz val="10"/>
        <rFont val="Calibri"/>
        <family val="2"/>
      </rPr>
      <t>←</t>
    </r>
    <r>
      <rPr>
        <b/>
        <sz val="10"/>
        <rFont val="Arial"/>
        <family val="2"/>
      </rPr>
      <t xml:space="preserve"> thus injection time 2 minutes</t>
    </r>
  </si>
  <si>
    <t>Experiment 3</t>
  </si>
  <si>
    <r>
      <rPr>
        <b/>
        <sz val="10"/>
        <rFont val="Calibri"/>
        <family val="2"/>
      </rPr>
      <t>←</t>
    </r>
    <r>
      <rPr>
        <b/>
        <sz val="10"/>
        <rFont val="Arial"/>
        <family val="2"/>
      </rPr>
      <t xml:space="preserve"> thus injection time 4 minutes</t>
    </r>
  </si>
  <si>
    <t>Experiment 4</t>
  </si>
  <si>
    <r>
      <rPr>
        <b/>
        <sz val="10"/>
        <rFont val="Calibri"/>
        <family val="2"/>
      </rPr>
      <t>←</t>
    </r>
    <r>
      <rPr>
        <b/>
        <sz val="10"/>
        <rFont val="Arial"/>
        <family val="2"/>
      </rPr>
      <t xml:space="preserve"> thus injection time 8 minutes</t>
    </r>
  </si>
  <si>
    <t>defending temperature</t>
  </si>
  <si>
    <t>C</t>
  </si>
  <si>
    <t>defending viscosity</t>
  </si>
  <si>
    <t>kg/m/s</t>
  </si>
  <si>
    <t>invading temperature</t>
  </si>
  <si>
    <t>invading viscosity</t>
  </si>
  <si>
    <t>mobility ratio</t>
  </si>
  <si>
    <t>theoretical maximum</t>
  </si>
  <si>
    <r>
      <t>R = qL/</t>
    </r>
    <r>
      <rPr>
        <sz val="11"/>
        <color theme="1"/>
        <rFont val="Calibri"/>
        <family val="2"/>
      </rPr>
      <t>ν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</si>
  <si>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</si>
  <si>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/sec</t>
    </r>
  </si>
  <si>
    <t>PART 1: IN THE SUPPLY TUBES</t>
  </si>
  <si>
    <t>A</t>
  </si>
  <si>
    <r>
      <t>mm</t>
    </r>
    <r>
      <rPr>
        <vertAlign val="superscript"/>
        <sz val="11"/>
        <rFont val="Calibri"/>
        <family val="2"/>
        <scheme val="minor"/>
      </rPr>
      <t>2</t>
    </r>
  </si>
  <si>
    <t>q = Q/A</t>
  </si>
  <si>
    <t>Δt</t>
  </si>
  <si>
    <t>V =</t>
  </si>
  <si>
    <t>mL</t>
  </si>
  <si>
    <t>ν</t>
  </si>
  <si>
    <t>R</t>
  </si>
  <si>
    <t>run</t>
  </si>
  <si>
    <t>min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</si>
  <si>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/min</t>
    </r>
  </si>
  <si>
    <t>mm/sec</t>
  </si>
  <si>
    <r>
      <t>assumes T = 20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</si>
  <si>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PART 2: IN THE QUASI-2D APPARATUS</t>
  </si>
  <si>
    <t>h =</t>
  </si>
  <si>
    <t>d =</t>
  </si>
  <si>
    <t>Image Analysis</t>
  </si>
  <si>
    <t>BL = baseline</t>
  </si>
  <si>
    <t>TR = thermal remediation</t>
  </si>
  <si>
    <t>Method 1: Binary Image Analysis</t>
  </si>
  <si>
    <t>Method 2: Morphological Image Analysis</t>
  </si>
  <si>
    <t>pixels per 2 in</t>
  </si>
  <si>
    <t>pixels per 1 mm</t>
  </si>
  <si>
    <t>mm per pixel</t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</si>
  <si>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pixel</t>
    </r>
  </si>
  <si>
    <t>pixels</t>
  </si>
  <si>
    <t>ΔA</t>
  </si>
  <si>
    <t>%</t>
  </si>
  <si>
    <t>ΔP</t>
  </si>
  <si>
    <t>Run</t>
  </si>
  <si>
    <t>Plots for Run 1</t>
  </si>
  <si>
    <t>Plots for Run 2</t>
  </si>
  <si>
    <t>Plots for Run 3</t>
  </si>
  <si>
    <t>Plots for Run 4</t>
  </si>
  <si>
    <t>dcm 8/26/2022</t>
  </si>
  <si>
    <t>Mobility Ratio</t>
  </si>
  <si>
    <t>Using correlation from Sharqawy (2010)</t>
  </si>
  <si>
    <t>Peclet Number</t>
  </si>
  <si>
    <t>estimated from Dullien (1992)</t>
  </si>
  <si>
    <t>Q =</t>
  </si>
  <si>
    <t>from Dahal and Adhikari (2012)</t>
  </si>
  <si>
    <t>Péclet number TOO HIGH</t>
  </si>
  <si>
    <t>Péclet number LOW ENOUGH</t>
  </si>
  <si>
    <r>
      <t>mobility ratio R = ln(</t>
    </r>
    <r>
      <rPr>
        <sz val="11"/>
        <color theme="1"/>
        <rFont val="Calibri"/>
        <family val="2"/>
      </rPr>
      <t>μ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/μ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), where 1 = defending fluid, 2 = invading fluid</t>
    </r>
  </si>
  <si>
    <t>← end experiment</t>
  </si>
  <si>
    <t>theoretical match Pe for run 4 at 30 mL</t>
  </si>
  <si>
    <t>theoretical match Pe for run 4 at 40 mL</t>
  </si>
  <si>
    <r>
      <t>V [mm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</si>
  <si>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n =</t>
  </si>
  <si>
    <t>b =</t>
  </si>
  <si>
    <t>P [mm]</t>
  </si>
  <si>
    <t>Theoretical Geometry</t>
  </si>
  <si>
    <t>dcm 8/30/2022</t>
  </si>
  <si>
    <t>Experiment</t>
  </si>
  <si>
    <r>
      <t>Nominal
P</t>
    </r>
    <r>
      <rPr>
        <b/>
        <sz val="11"/>
        <color theme="1"/>
        <rFont val="Calibri"/>
        <family val="2"/>
      </rPr>
      <t>éclet
Number</t>
    </r>
  </si>
  <si>
    <t xml:space="preserve">Ryan G. Tigera,  Whitney L. Benson, and David C. Mays </t>
  </si>
  <si>
    <t>University of Colorado Denver</t>
  </si>
  <si>
    <t>Department of Civil Engineering</t>
  </si>
  <si>
    <t>Campus Box 113</t>
  </si>
  <si>
    <t>PO Box 173364</t>
  </si>
  <si>
    <t>Denver, CO 80217-3364</t>
  </si>
  <si>
    <t>Tab</t>
  </si>
  <si>
    <t>Description</t>
  </si>
  <si>
    <r>
      <t>P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clet Number</t>
    </r>
  </si>
  <si>
    <t>Theoretical plume radius, area, and perimeter versus injection volume.</t>
  </si>
  <si>
    <t>Actual and theoretical mobility ratio for invading and defending fluids.</t>
  </si>
  <si>
    <t>Reynolds number estimates in the supply tubes and the porous media.</t>
  </si>
  <si>
    <t>Peclet number estimates for each experiment versus injection volume.</t>
  </si>
  <si>
    <t>Measured plume area and perimeter for each experiment versus injection volume.</t>
  </si>
  <si>
    <t>final area</t>
  </si>
  <si>
    <t>SE</t>
  </si>
  <si>
    <t>control</t>
  </si>
  <si>
    <t>test</t>
  </si>
  <si>
    <t>±</t>
  </si>
  <si>
    <t>binary</t>
  </si>
  <si>
    <t>morphological</t>
  </si>
  <si>
    <t>A:</t>
  </si>
  <si>
    <t>B:</t>
  </si>
  <si>
    <t>C:</t>
  </si>
  <si>
    <t>D:</t>
  </si>
  <si>
    <t>Comparing image analysis methods:</t>
  </si>
  <si>
    <t>|A-C|</t>
  </si>
  <si>
    <r>
      <t>s</t>
    </r>
    <r>
      <rPr>
        <vertAlign val="subscript"/>
        <sz val="11"/>
        <color theme="1"/>
        <rFont val="Calibri"/>
        <family val="2"/>
      </rPr>
      <t>Δ</t>
    </r>
  </si>
  <si>
    <t>=</t>
  </si>
  <si>
    <t>|B-D|</t>
  </si>
  <si>
    <t>|A-B|</t>
  </si>
  <si>
    <t>|C-D|</t>
  </si>
  <si>
    <t>image analysis method</t>
  </si>
  <si>
    <t>dcm 10/14/2022</t>
  </si>
  <si>
    <t>inner
diameter</t>
  </si>
  <si>
    <t>dcm 11/29/2022</t>
  </si>
  <si>
    <t>Comparing controls and tests:</t>
  </si>
  <si>
    <t>between final areas of invading fluid plumes.</t>
  </si>
  <si>
    <r>
      <t>Conclusion, no significant differences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&lt; 0.05)</t>
    </r>
  </si>
  <si>
    <t>Thermally Enhanced Spreading of Miscible Plumes in Porous Media</t>
  </si>
  <si>
    <t>26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</si>
</sst>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0.0000"/>
    <numFmt numFmtId="166" formatCode="0.000"/>
    <numFmt numFmtId="167" formatCode="_(* #,##0_);_(* \(#,##0\);_(* &quot;-&quot;??_);_(@_)"/>
    <numFmt numFmtId="168" formatCode="0.00000"/>
    <numFmt numFmtId="169" formatCode="0.0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0"/>
      <color rgb="FF0070C0"/>
      <name val="Arial"/>
      <family val="2"/>
    </font>
    <font>
      <i/>
      <vertAlign val="superscript"/>
      <sz val="10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0070C0"/>
      <name val="Arial"/>
      <family val="2"/>
    </font>
    <font>
      <vertAlign val="subscript"/>
      <sz val="11"/>
      <color theme="1"/>
      <name val="Calibri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1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3" fillId="0" borderId="0" xfId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1" applyFont="1" applyAlignment="1">
      <alignment horizontal="left"/>
    </xf>
    <xf numFmtId="0" fontId="13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5" fillId="0" borderId="0" xfId="0" applyFont="1"/>
    <xf numFmtId="0" fontId="0" fillId="0" borderId="5" xfId="0" applyBorder="1"/>
    <xf numFmtId="11" fontId="0" fillId="0" borderId="0" xfId="0" applyNumberFormat="1" applyAlignment="1">
      <alignment horizontal="center"/>
    </xf>
    <xf numFmtId="167" fontId="0" fillId="0" borderId="0" xfId="2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168" fontId="0" fillId="0" borderId="0" xfId="0" applyNumberFormat="1"/>
    <xf numFmtId="167" fontId="0" fillId="0" borderId="0" xfId="2" applyNumberFormat="1" applyFont="1"/>
    <xf numFmtId="167" fontId="0" fillId="2" borderId="3" xfId="2" applyNumberFormat="1" applyFont="1" applyFill="1" applyBorder="1" applyAlignment="1">
      <alignment horizontal="center"/>
    </xf>
    <xf numFmtId="167" fontId="0" fillId="0" borderId="1" xfId="2" applyNumberFormat="1" applyFont="1" applyBorder="1" applyAlignment="1">
      <alignment horizontal="center" vertical="center" wrapText="1"/>
    </xf>
    <xf numFmtId="167" fontId="0" fillId="0" borderId="1" xfId="2" applyNumberFormat="1" applyFont="1" applyBorder="1" applyAlignment="1">
      <alignment horizontal="center"/>
    </xf>
    <xf numFmtId="167" fontId="0" fillId="0" borderId="4" xfId="2" applyNumberFormat="1" applyFont="1" applyFill="1" applyBorder="1" applyAlignment="1">
      <alignment horizontal="center"/>
    </xf>
    <xf numFmtId="167" fontId="0" fillId="0" borderId="0" xfId="2" applyNumberFormat="1" applyFont="1" applyAlignment="1">
      <alignment horizontal="center" vertical="center" wrapText="1"/>
    </xf>
    <xf numFmtId="167" fontId="0" fillId="0" borderId="0" xfId="2" applyNumberFormat="1" applyFont="1" applyAlignment="1">
      <alignment vertical="center" wrapText="1"/>
    </xf>
    <xf numFmtId="167" fontId="0" fillId="0" borderId="0" xfId="2" applyNumberFormat="1" applyFont="1" applyAlignment="1">
      <alignment horizontal="center"/>
    </xf>
    <xf numFmtId="0" fontId="0" fillId="0" borderId="0" xfId="2" applyNumberFormat="1" applyFont="1"/>
    <xf numFmtId="0" fontId="0" fillId="2" borderId="3" xfId="2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167" fontId="0" fillId="0" borderId="1" xfId="2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6" fillId="0" borderId="1" xfId="0" applyFont="1" applyBorder="1" applyAlignment="1">
      <alignment horizontal="center"/>
    </xf>
    <xf numFmtId="167" fontId="16" fillId="0" borderId="1" xfId="2" applyNumberFormat="1" applyFont="1" applyBorder="1" applyAlignment="1">
      <alignment horizontal="center" vertical="center" wrapText="1"/>
    </xf>
    <xf numFmtId="167" fontId="16" fillId="0" borderId="1" xfId="2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6" fillId="0" borderId="0" xfId="0" applyFont="1"/>
    <xf numFmtId="1" fontId="16" fillId="0" borderId="1" xfId="0" applyNumberFormat="1" applyFont="1" applyBorder="1" applyAlignment="1">
      <alignment horizontal="center"/>
    </xf>
    <xf numFmtId="169" fontId="0" fillId="0" borderId="0" xfId="0" applyNumberFormat="1"/>
    <xf numFmtId="0" fontId="5" fillId="0" borderId="1" xfId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2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2" fontId="8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right"/>
    </xf>
    <xf numFmtId="0" fontId="5" fillId="0" borderId="4" xfId="1" applyFont="1" applyBorder="1" applyAlignment="1">
      <alignment horizontal="left"/>
    </xf>
    <xf numFmtId="167" fontId="5" fillId="0" borderId="0" xfId="2" applyNumberFormat="1" applyFont="1" applyFill="1" applyAlignment="1">
      <alignment horizontal="center"/>
    </xf>
    <xf numFmtId="167" fontId="8" fillId="0" borderId="0" xfId="2" applyNumberFormat="1" applyFont="1" applyFill="1" applyAlignment="1">
      <alignment horizontal="center"/>
    </xf>
    <xf numFmtId="0" fontId="13" fillId="0" borderId="0" xfId="0" applyFont="1"/>
    <xf numFmtId="167" fontId="17" fillId="0" borderId="8" xfId="2" applyNumberFormat="1" applyFont="1" applyFill="1" applyBorder="1" applyAlignment="1">
      <alignment horizontal="center"/>
    </xf>
    <xf numFmtId="167" fontId="4" fillId="0" borderId="8" xfId="2" applyNumberFormat="1" applyFont="1" applyFill="1" applyBorder="1" applyAlignment="1">
      <alignment horizontal="center"/>
    </xf>
    <xf numFmtId="0" fontId="3" fillId="0" borderId="0" xfId="1" applyAlignment="1">
      <alignment horizontal="center"/>
    </xf>
    <xf numFmtId="0" fontId="12" fillId="0" borderId="0" xfId="0" applyFont="1"/>
    <xf numFmtId="0" fontId="19" fillId="0" borderId="0" xfId="1" applyFont="1" applyAlignment="1">
      <alignment horizontal="right"/>
    </xf>
    <xf numFmtId="164" fontId="19" fillId="0" borderId="0" xfId="1" applyNumberFormat="1" applyFont="1" applyAlignment="1">
      <alignment horizontal="center"/>
    </xf>
    <xf numFmtId="166" fontId="19" fillId="0" borderId="0" xfId="1" applyNumberFormat="1" applyFont="1" applyAlignment="1">
      <alignment horizontal="center"/>
    </xf>
    <xf numFmtId="2" fontId="19" fillId="0" borderId="0" xfId="1" applyNumberFormat="1" applyFont="1" applyAlignment="1">
      <alignment horizontal="center"/>
    </xf>
    <xf numFmtId="167" fontId="19" fillId="0" borderId="0" xfId="2" applyNumberFormat="1" applyFont="1" applyFill="1" applyAlignment="1">
      <alignment horizontal="center"/>
    </xf>
    <xf numFmtId="0" fontId="19" fillId="0" borderId="0" xfId="1" applyFont="1" applyAlignment="1">
      <alignment horizontal="left"/>
    </xf>
    <xf numFmtId="0" fontId="20" fillId="0" borderId="0" xfId="0" applyFont="1"/>
    <xf numFmtId="1" fontId="0" fillId="0" borderId="0" xfId="0" applyNumberFormat="1"/>
    <xf numFmtId="0" fontId="0" fillId="0" borderId="1" xfId="0" applyBorder="1"/>
    <xf numFmtId="2" fontId="0" fillId="0" borderId="0" xfId="0" applyNumberFormat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8" fontId="0" fillId="0" borderId="0" xfId="0" applyNumberFormat="1" applyAlignment="1">
      <alignment horizontal="left"/>
    </xf>
    <xf numFmtId="165" fontId="0" fillId="0" borderId="0" xfId="0" applyNumberFormat="1" applyAlignment="1">
      <alignment horizontal="left" vertical="top"/>
    </xf>
    <xf numFmtId="166" fontId="0" fillId="0" borderId="1" xfId="0" applyNumberFormat="1" applyBorder="1" applyAlignment="1">
      <alignment horizontal="center"/>
    </xf>
    <xf numFmtId="11" fontId="5" fillId="0" borderId="1" xfId="1" applyNumberFormat="1" applyFont="1" applyBorder="1" applyAlignment="1">
      <alignment horizontal="center"/>
    </xf>
    <xf numFmtId="49" fontId="0" fillId="0" borderId="0" xfId="0" applyNumberFormat="1"/>
    <xf numFmtId="0" fontId="22" fillId="0" borderId="5" xfId="0" applyFont="1" applyBorder="1"/>
    <xf numFmtId="167" fontId="0" fillId="0" borderId="0" xfId="0" applyNumberFormat="1"/>
    <xf numFmtId="167" fontId="0" fillId="0" borderId="6" xfId="0" applyNumberFormat="1" applyBorder="1"/>
    <xf numFmtId="0" fontId="12" fillId="0" borderId="9" xfId="0" applyFont="1" applyBorder="1"/>
    <xf numFmtId="167" fontId="0" fillId="0" borderId="7" xfId="0" applyNumberFormat="1" applyBorder="1"/>
    <xf numFmtId="167" fontId="0" fillId="0" borderId="10" xfId="0" applyNumberFormat="1" applyBorder="1"/>
    <xf numFmtId="0" fontId="12" fillId="0" borderId="5" xfId="0" applyFont="1" applyBorder="1"/>
    <xf numFmtId="167" fontId="0" fillId="0" borderId="11" xfId="0" applyNumberFormat="1" applyBorder="1"/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Alignment="1">
      <alignment horizontal="center"/>
    </xf>
    <xf numFmtId="0" fontId="0" fillId="0" borderId="0" xfId="0" quotePrefix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7" fontId="0" fillId="2" borderId="6" xfId="2" applyNumberFormat="1" applyFont="1" applyFill="1" applyBorder="1" applyAlignment="1">
      <alignment horizontal="center"/>
    </xf>
    <xf numFmtId="167" fontId="0" fillId="2" borderId="7" xfId="2" applyNumberFormat="1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'Theoretical Geometry'!$A$9</c:f>
              <c:strCache>
                <c:ptCount val="1"/>
                <c:pt idx="0">
                  <c:v>r [mm]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Geometry'!$B$7:$N$7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Geometry'!$B$9:$N$9</c:f>
              <c:numCache>
                <c:formatCode>0</c:formatCode>
                <c:ptCount val="13"/>
                <c:pt idx="0">
                  <c:v>0</c:v>
                </c:pt>
                <c:pt idx="1">
                  <c:v>6.0697135032893286</c:v>
                </c:pt>
                <c:pt idx="2">
                  <c:v>8.5838711560708809</c:v>
                </c:pt>
                <c:pt idx="3">
                  <c:v>12.139427006578657</c:v>
                </c:pt>
                <c:pt idx="4">
                  <c:v>17.167742312141762</c:v>
                </c:pt>
                <c:pt idx="5">
                  <c:v>24.278854013157314</c:v>
                </c:pt>
                <c:pt idx="6">
                  <c:v>34.335484624283524</c:v>
                </c:pt>
                <c:pt idx="7">
                  <c:v>48.557708026314629</c:v>
                </c:pt>
                <c:pt idx="8">
                  <c:v>66.490380066905445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5B-4DC7-A3D2-62ABF1848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07279"/>
        <c:axId val="1328313935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'Theoretical Geometry'!$A$10</c15:sqref>
                        </c15:formulaRef>
                      </c:ext>
                    </c:extLst>
                    <c:strCache>
                      <c:ptCount val="1"/>
                      <c:pt idx="0">
                        <c:v>A [mm2]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'Theoretical Geometry'!$B$10:$N$10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3"/>
                      <c:pt idx="0">
                        <c:v>0</c:v>
                      </c:pt>
                      <c:pt idx="1">
                        <c:v>115.74074074074075</c:v>
                      </c:pt>
                      <c:pt idx="2">
                        <c:v>231.48148148148155</c:v>
                      </c:pt>
                      <c:pt idx="3">
                        <c:v>462.96296296296299</c:v>
                      </c:pt>
                      <c:pt idx="4">
                        <c:v>925.92592592592621</c:v>
                      </c:pt>
                      <c:pt idx="5">
                        <c:v>1851.851851851852</c:v>
                      </c:pt>
                      <c:pt idx="6">
                        <c:v>3703.7037037037048</c:v>
                      </c:pt>
                      <c:pt idx="7">
                        <c:v>7407.4074074074078</c:v>
                      </c:pt>
                      <c:pt idx="8">
                        <c:v>13888.888888888887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FF5B-4DC7-A3D2-62ABF18482DA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Geometry'!$A$11</c15:sqref>
                        </c15:formulaRef>
                      </c:ext>
                    </c:extLst>
                    <c:strCache>
                      <c:ptCount val="1"/>
                      <c:pt idx="0">
                        <c:v>P [mm]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Geometry'!$B$11:$N$11</c15:sqref>
                        </c15:formulaRef>
                      </c:ext>
                    </c:extLst>
                    <c:numCache>
                      <c:formatCode>0</c:formatCode>
                      <c:ptCount val="13"/>
                      <c:pt idx="0">
                        <c:v>0</c:v>
                      </c:pt>
                      <c:pt idx="1">
                        <c:v>38.137134702657043</c:v>
                      </c:pt>
                      <c:pt idx="2">
                        <c:v>53.934053126547205</c:v>
                      </c:pt>
                      <c:pt idx="3">
                        <c:v>76.274269405314087</c:v>
                      </c:pt>
                      <c:pt idx="4">
                        <c:v>107.86810625309441</c:v>
                      </c:pt>
                      <c:pt idx="5">
                        <c:v>152.54853881062817</c:v>
                      </c:pt>
                      <c:pt idx="6">
                        <c:v>215.73621250618882</c:v>
                      </c:pt>
                      <c:pt idx="7">
                        <c:v>305.09707762125635</c:v>
                      </c:pt>
                      <c:pt idx="8">
                        <c:v>417.77137910516672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F5B-4DC7-A3D2-62ABF18482DA}"/>
                  </c:ext>
                </c:extLst>
              </c15:ser>
            </c15:filteredScatterSeries>
          </c:ext>
        </c:extLst>
      </c:scatterChart>
      <c:valAx>
        <c:axId val="1328307279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13935"/>
        <c:crosses val="autoZero"/>
        <c:crossBetween val="midCat"/>
      </c:valAx>
      <c:valAx>
        <c:axId val="1328313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Radius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07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2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Analysis'!$H$23,'Image Analysis'!$H$25,'Image Analysis'!$H$27,'Image Analysis'!$H$29,'Image Analysis'!$H$31,'Image Analysis'!$H$33)</c:f>
              <c:numCache>
                <c:formatCode>_(* #,##0_);_(* \(#,##0\);_(* "-"??_);_(@_)</c:formatCode>
                <c:ptCount val="6"/>
                <c:pt idx="0">
                  <c:v>1629.2952526799386</c:v>
                </c:pt>
                <c:pt idx="1">
                  <c:v>2290.0064318529858</c:v>
                </c:pt>
                <c:pt idx="2">
                  <c:v>3328.2557427258803</c:v>
                </c:pt>
                <c:pt idx="3">
                  <c:v>3355.4839203675342</c:v>
                </c:pt>
                <c:pt idx="4">
                  <c:v>3565.3742725880547</c:v>
                </c:pt>
                <c:pt idx="5">
                  <c:v>3121.0882082695248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F4-49B0-AFBE-D019B526CF96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Analysis'!$H$24,'Image Analysis'!$H$26,'Image Analysis'!$H$28,'Image Analysis'!$H$30,'Image Analysis'!$H$32,'Image Analysis'!$H$34)</c:f>
              <c:numCache>
                <c:formatCode>_(* #,##0_);_(* \(#,##0\);_(* "-"??_);_(@_)</c:formatCode>
                <c:ptCount val="6"/>
                <c:pt idx="0">
                  <c:v>753.73430321592639</c:v>
                </c:pt>
                <c:pt idx="1">
                  <c:v>2081.8275650842265</c:v>
                </c:pt>
                <c:pt idx="2">
                  <c:v>3255.4009188361406</c:v>
                </c:pt>
                <c:pt idx="3">
                  <c:v>3849.1307810107191</c:v>
                </c:pt>
                <c:pt idx="4">
                  <c:v>3341.0918836140886</c:v>
                </c:pt>
                <c:pt idx="5">
                  <c:v>3307.251148545176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F4-49B0-AFBE-D019B526C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2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Analysis'!$O$23,'Image Analysis'!$O$25,'Image Analysis'!$O$27,'Image Analysis'!$O$29,'Image Analysis'!$O$31,'Image Analysis'!$O$33)</c:f>
              <c:numCache>
                <c:formatCode>_(* #,##0_);_(* \(#,##0\);_(* "-"??_);_(@_)</c:formatCode>
                <c:ptCount val="6"/>
                <c:pt idx="0">
                  <c:v>1824.1377806753605</c:v>
                </c:pt>
                <c:pt idx="1">
                  <c:v>2845.3240128608913</c:v>
                </c:pt>
                <c:pt idx="2">
                  <c:v>3902.9510298328591</c:v>
                </c:pt>
                <c:pt idx="3">
                  <c:v>4743.1376920280754</c:v>
                </c:pt>
                <c:pt idx="4">
                  <c:v>5831.8222132272058</c:v>
                </c:pt>
                <c:pt idx="5">
                  <c:v>6556.3137336219443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FA-44EE-9BCE-0C85A6893E51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Analysis'!$O$24,'Image Analysis'!$O$26,'Image Analysis'!$O$28,'Image Analysis'!$O$30,'Image Analysis'!$O$32,'Image Analysis'!$O$34)</c:f>
              <c:numCache>
                <c:formatCode>_(* #,##0_);_(* \(#,##0\);_(* "-"??_);_(@_)</c:formatCode>
                <c:ptCount val="6"/>
                <c:pt idx="0">
                  <c:v>1045.0297168211739</c:v>
                </c:pt>
                <c:pt idx="1">
                  <c:v>2378.3387979146778</c:v>
                </c:pt>
                <c:pt idx="2">
                  <c:v>3816.1966948164782</c:v>
                </c:pt>
                <c:pt idx="3">
                  <c:v>4614.2264300237557</c:v>
                </c:pt>
                <c:pt idx="4">
                  <c:v>5352.1625347495001</c:v>
                </c:pt>
                <c:pt idx="5">
                  <c:v>6457.6157176795041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FA-44EE-9BCE-0C85A6893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2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theory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Geometry'!$B$7:$J$7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Geometry'!$B$11:$J$11</c:f>
              <c:numCache>
                <c:formatCode>0</c:formatCode>
                <c:ptCount val="9"/>
                <c:pt idx="0">
                  <c:v>0</c:v>
                </c:pt>
                <c:pt idx="1">
                  <c:v>38.137134702657043</c:v>
                </c:pt>
                <c:pt idx="2">
                  <c:v>53.934053126547205</c:v>
                </c:pt>
                <c:pt idx="3">
                  <c:v>76.274269405314087</c:v>
                </c:pt>
                <c:pt idx="4">
                  <c:v>107.86810625309441</c:v>
                </c:pt>
                <c:pt idx="5">
                  <c:v>152.54853881062817</c:v>
                </c:pt>
                <c:pt idx="6">
                  <c:v>215.73621250618882</c:v>
                </c:pt>
                <c:pt idx="7">
                  <c:v>305.09707762125635</c:v>
                </c:pt>
                <c:pt idx="8">
                  <c:v>417.77137910516672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D3-442A-86AB-73D019FE56B6}"/>
            </c:ext>
          </c:extLst>
        </c:ser>
        <c:ser>
          <c:idx val="0"/>
          <c:order val="1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Analysis'!$R$23,'Image Analysis'!$R$25,'Image Analysis'!$R$27,'Image Analysis'!$R$29,'Image Analysis'!$R$31,'Image Analysis'!$R$33)</c:f>
              <c:numCache>
                <c:formatCode>_(* #,##0_);_(* \(#,##0\);_(* "-"??_);_(@_)</c:formatCode>
                <c:ptCount val="6"/>
                <c:pt idx="0">
                  <c:v>310.01614088820827</c:v>
                </c:pt>
                <c:pt idx="1">
                  <c:v>333.08618683001532</c:v>
                </c:pt>
                <c:pt idx="2">
                  <c:v>358.84793261868299</c:v>
                </c:pt>
                <c:pt idx="3">
                  <c:v>425.26523736600302</c:v>
                </c:pt>
                <c:pt idx="4">
                  <c:v>440.04624808575801</c:v>
                </c:pt>
                <c:pt idx="5">
                  <c:v>433.78376722817762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42-486C-955E-BFAC06BC847A}"/>
            </c:ext>
          </c:extLst>
        </c:ser>
        <c:ser>
          <c:idx val="1"/>
          <c:order val="2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Analysis'!$R$24,'Image Analysis'!$R$26,'Image Analysis'!$R$28,'Image Analysis'!$R$30,'Image Analysis'!$R$32,'Image Analysis'!$R$34)</c:f>
              <c:numCache>
                <c:formatCode>_(* #,##0_);_(* \(#,##0\);_(* "-"??_);_(@_)</c:formatCode>
                <c:ptCount val="6"/>
                <c:pt idx="0">
                  <c:v>247.02180704441039</c:v>
                </c:pt>
                <c:pt idx="1">
                  <c:v>55.028147013782537</c:v>
                </c:pt>
                <c:pt idx="2">
                  <c:v>383.95231240428785</c:v>
                </c:pt>
                <c:pt idx="3">
                  <c:v>411.33996937212862</c:v>
                </c:pt>
                <c:pt idx="4">
                  <c:v>403.404900459418</c:v>
                </c:pt>
                <c:pt idx="5">
                  <c:v>411.690045941807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42-486C-955E-BFAC06BC8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3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Analysis'!$E$38,'Image Analysis'!$E$40,'Image Analysis'!$E$42,'Image Analysis'!$E$44,'Image Analysis'!$E$46,'Image Analysis'!$E$48)</c:f>
              <c:numCache>
                <c:formatCode>_(* #,##0_);_(* \(#,##0\);_(* "-"??_);_(@_)</c:formatCode>
                <c:ptCount val="6"/>
                <c:pt idx="0">
                  <c:v>1435.5929247271984</c:v>
                </c:pt>
                <c:pt idx="1">
                  <c:v>2634.6982437049869</c:v>
                </c:pt>
                <c:pt idx="2">
                  <c:v>3683.6753970014697</c:v>
                </c:pt>
                <c:pt idx="3">
                  <c:v>4817.7516551479912</c:v>
                </c:pt>
                <c:pt idx="4">
                  <c:v>5716.1770006730612</c:v>
                </c:pt>
                <c:pt idx="5">
                  <c:v>6488.1482083164274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06-4E4B-BB75-8242ACAF3377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Analysis'!$E$39,'Image Analysis'!$E$41,'Image Analysis'!$E$43,'Image Analysis'!$E$45,'Image Analysis'!$E$47,'Image Analysis'!$E$49)</c:f>
              <c:numCache>
                <c:formatCode>_(* #,##0_);_(* \(#,##0\);_(* "-"??_);_(@_)</c:formatCode>
                <c:ptCount val="6"/>
                <c:pt idx="0">
                  <c:v>1006.0591835538179</c:v>
                </c:pt>
                <c:pt idx="1">
                  <c:v>1965.7719224500418</c:v>
                </c:pt>
                <c:pt idx="2">
                  <c:v>3412.0678619822747</c:v>
                </c:pt>
                <c:pt idx="3">
                  <c:v>5393.8428643860698</c:v>
                </c:pt>
                <c:pt idx="4">
                  <c:v>4371.5385196841526</c:v>
                </c:pt>
                <c:pt idx="5">
                  <c:v>4162.9885967697674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06-4E4B-BB75-8242ACAF3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3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Analysis'!$H$38,'Image Analysis'!$H$40,'Image Analysis'!$H$42,'Image Analysis'!$H$44,'Image Analysis'!$H$46,'Image Analysis'!$H$48)</c:f>
              <c:numCache>
                <c:formatCode>_(* #,##0_);_(* \(#,##0\);_(* "-"??_);_(@_)</c:formatCode>
                <c:ptCount val="6"/>
                <c:pt idx="0">
                  <c:v>1326.6851761102603</c:v>
                </c:pt>
                <c:pt idx="1">
                  <c:v>2268.4183767228174</c:v>
                </c:pt>
                <c:pt idx="2">
                  <c:v>3348.2879019908114</c:v>
                </c:pt>
                <c:pt idx="3">
                  <c:v>3894.0183767228173</c:v>
                </c:pt>
                <c:pt idx="4">
                  <c:v>3976.4808575803977</c:v>
                </c:pt>
                <c:pt idx="5">
                  <c:v>3686.2284839203671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AE-4429-8DB9-65E21AF45B42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Analysis'!$H$39,'Image Analysis'!$H$41,'Image Analysis'!$H$43,'Image Analysis'!$H$45,'Image Analysis'!$H$47,'Image Analysis'!$H$49)</c:f>
              <c:numCache>
                <c:formatCode>_(* #,##0_);_(* \(#,##0\);_(* "-"??_);_(@_)</c:formatCode>
                <c:ptCount val="6"/>
                <c:pt idx="0">
                  <c:v>966.28912710566601</c:v>
                </c:pt>
                <c:pt idx="1">
                  <c:v>1824.6768759571207</c:v>
                </c:pt>
                <c:pt idx="2">
                  <c:v>3168.2707503828478</c:v>
                </c:pt>
                <c:pt idx="3">
                  <c:v>2902.8738131699843</c:v>
                </c:pt>
                <c:pt idx="4">
                  <c:v>3391.5807044410408</c:v>
                </c:pt>
                <c:pt idx="5">
                  <c:v>2443.028790199081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AE-4429-8DB9-65E21AF45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3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Analysis'!$O$38,'Image Analysis'!$O$40,'Image Analysis'!$O$42,'Image Analysis'!$O$44,'Image Analysis'!$O$46,'Image Analysis'!$O$48)</c:f>
              <c:numCache>
                <c:formatCode>_(* #,##0_);_(* \(#,##0\);_(* "-"??_);_(@_)</c:formatCode>
                <c:ptCount val="6"/>
                <c:pt idx="0">
                  <c:v>1483.9214091635024</c:v>
                </c:pt>
                <c:pt idx="1">
                  <c:v>2491.5798416074704</c:v>
                </c:pt>
                <c:pt idx="2">
                  <c:v>3379.1841577452628</c:v>
                </c:pt>
                <c:pt idx="3">
                  <c:v>4444.6924306006667</c:v>
                </c:pt>
                <c:pt idx="4">
                  <c:v>5282.4189426583389</c:v>
                </c:pt>
                <c:pt idx="5">
                  <c:v>6555.8099021362104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42-44BF-8688-116EED6B4C1D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Analysis'!$O$39,'Image Analysis'!$O$41,'Image Analysis'!$O$43,'Image Analysis'!$O$45,'Image Analysis'!$O$47,'Image Analysis'!$O$49)</c:f>
              <c:numCache>
                <c:formatCode>_(* #,##0_);_(* \(#,##0\);_(* "-"??_);_(@_)</c:formatCode>
                <c:ptCount val="6"/>
                <c:pt idx="0">
                  <c:v>1043.7875376926845</c:v>
                </c:pt>
                <c:pt idx="1">
                  <c:v>1878.3790982835724</c:v>
                </c:pt>
                <c:pt idx="2">
                  <c:v>3166.0059449964701</c:v>
                </c:pt>
                <c:pt idx="3">
                  <c:v>3635.714573379079</c:v>
                </c:pt>
                <c:pt idx="4">
                  <c:v>3987.7278640929239</c:v>
                </c:pt>
                <c:pt idx="5">
                  <c:v>3882.077578850352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42-44BF-8688-116EED6B4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3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theory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Geometry'!$B$7:$J$7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Geometry'!$B$11:$J$11</c:f>
              <c:numCache>
                <c:formatCode>0</c:formatCode>
                <c:ptCount val="9"/>
                <c:pt idx="0">
                  <c:v>0</c:v>
                </c:pt>
                <c:pt idx="1">
                  <c:v>38.137134702657043</c:v>
                </c:pt>
                <c:pt idx="2">
                  <c:v>53.934053126547205</c:v>
                </c:pt>
                <c:pt idx="3">
                  <c:v>76.274269405314087</c:v>
                </c:pt>
                <c:pt idx="4">
                  <c:v>107.86810625309441</c:v>
                </c:pt>
                <c:pt idx="5">
                  <c:v>152.54853881062817</c:v>
                </c:pt>
                <c:pt idx="6">
                  <c:v>215.73621250618882</c:v>
                </c:pt>
                <c:pt idx="7">
                  <c:v>305.09707762125635</c:v>
                </c:pt>
                <c:pt idx="8">
                  <c:v>417.77137910516672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8-4817-ADEA-FF3A45425847}"/>
            </c:ext>
          </c:extLst>
        </c:ser>
        <c:ser>
          <c:idx val="0"/>
          <c:order val="1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Analysis'!$R$38,'Image Analysis'!$R$40,'Image Analysis'!$R$42,'Image Analysis'!$R$44,'Image Analysis'!$R$46,'Image Analysis'!$R$48)</c:f>
              <c:numCache>
                <c:formatCode>_(* #,##0_);_(* \(#,##0\);_(* "-"??_);_(@_)</c:formatCode>
                <c:ptCount val="6"/>
                <c:pt idx="0">
                  <c:v>290.02676875957115</c:v>
                </c:pt>
                <c:pt idx="1">
                  <c:v>339.08805513016841</c:v>
                </c:pt>
                <c:pt idx="2">
                  <c:v>384.90140888208265</c:v>
                </c:pt>
                <c:pt idx="3">
                  <c:v>455.87748851454819</c:v>
                </c:pt>
                <c:pt idx="4">
                  <c:v>429.42725880551296</c:v>
                </c:pt>
                <c:pt idx="5">
                  <c:v>506.79418070444098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A5-4064-A132-F99E1B407BB2}"/>
            </c:ext>
          </c:extLst>
        </c:ser>
        <c:ser>
          <c:idx val="1"/>
          <c:order val="2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Analysis'!$R$39,'Image Analysis'!$R$41,'Image Analysis'!$R$43,'Image Analysis'!$R$45,'Image Analysis'!$R$47,'Image Analysis'!$R$49)</c:f>
              <c:numCache>
                <c:formatCode>_(* #,##0_);_(* \(#,##0\);_(* "-"??_);_(@_)</c:formatCode>
                <c:ptCount val="6"/>
                <c:pt idx="0">
                  <c:v>247.9164471669219</c:v>
                </c:pt>
                <c:pt idx="1">
                  <c:v>297.7051148545176</c:v>
                </c:pt>
                <c:pt idx="2">
                  <c:v>371.81243491577328</c:v>
                </c:pt>
                <c:pt idx="3">
                  <c:v>378.79840735068905</c:v>
                </c:pt>
                <c:pt idx="4">
                  <c:v>400.40980091883608</c:v>
                </c:pt>
                <c:pt idx="5">
                  <c:v>378.172159264931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A5-4064-A132-F99E1B40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4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Analysis'!$E$53,'Image Analysis'!$E$55,'Image Analysis'!$E$57,'Image Analysis'!$E$59,'Image Analysis'!$E$61,'Image Analysis'!$E$63)</c:f>
              <c:numCache>
                <c:formatCode>_(* #,##0_);_(* \(#,##0\);_(* "-"??_);_(@_)</c:formatCode>
                <c:ptCount val="6"/>
                <c:pt idx="0">
                  <c:v>1487.1138549139439</c:v>
                </c:pt>
                <c:pt idx="1">
                  <c:v>2599.1834194869239</c:v>
                </c:pt>
                <c:pt idx="2">
                  <c:v>3545.3002733056755</c:v>
                </c:pt>
                <c:pt idx="3">
                  <c:v>4526.261689035643</c:v>
                </c:pt>
                <c:pt idx="4">
                  <c:v>5463.1083461183971</c:v>
                </c:pt>
                <c:pt idx="5">
                  <c:v>6288.5991668093302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75-4031-9212-DA126D6E66DA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Analysis'!$E$54,'Image Analysis'!$E$56,'Image Analysis'!$E$58,'Image Analysis'!$E$60,'Image Analysis'!$E$62,'Image Analysis'!$E$64)</c:f>
              <c:numCache>
                <c:formatCode>_(* #,##0_);_(* \(#,##0\);_(* "-"??_);_(@_)</c:formatCode>
                <c:ptCount val="6"/>
                <c:pt idx="0">
                  <c:v>771.22075594089233</c:v>
                </c:pt>
                <c:pt idx="1">
                  <c:v>1049.998433335131</c:v>
                </c:pt>
                <c:pt idx="2">
                  <c:v>2163.7459231864241</c:v>
                </c:pt>
                <c:pt idx="3">
                  <c:v>4421.4617139882121</c:v>
                </c:pt>
                <c:pt idx="4">
                  <c:v>5946.1526222945567</c:v>
                </c:pt>
                <c:pt idx="5">
                  <c:v>6987.6812398424972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75-4031-9212-DA126D6E6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4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Analysis'!$H$53,'Image Analysis'!$H$55,'Image Analysis'!$H$57,'Image Analysis'!$H$59,'Image Analysis'!$H$61,'Image Analysis'!$H$63)</c:f>
              <c:numCache>
                <c:formatCode>_(* #,##0_);_(* \(#,##0\);_(* "-"??_);_(@_)</c:formatCode>
                <c:ptCount val="6"/>
                <c:pt idx="0">
                  <c:v>1336.1644716692188</c:v>
                </c:pt>
                <c:pt idx="1">
                  <c:v>1974.5096477794791</c:v>
                </c:pt>
                <c:pt idx="2">
                  <c:v>2735.2649310872894</c:v>
                </c:pt>
                <c:pt idx="3">
                  <c:v>3604.3494640122508</c:v>
                </c:pt>
                <c:pt idx="4">
                  <c:v>4005.2649310872889</c:v>
                </c:pt>
                <c:pt idx="5">
                  <c:v>3480.5779479326184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6-445C-B354-88D4488472C2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Analysis'!$H$54,'Image Analysis'!$H$56,'Image Analysis'!$H$58,'Image Analysis'!$H$60,'Image Analysis'!$H$62,'Image Analysis'!$H$64)</c:f>
              <c:numCache>
                <c:formatCode>_(* #,##0_);_(* \(#,##0\);_(* "-"??_);_(@_)</c:formatCode>
                <c:ptCount val="6"/>
                <c:pt idx="0">
                  <c:v>437.70851454823884</c:v>
                </c:pt>
                <c:pt idx="1">
                  <c:v>888.5176722817763</c:v>
                </c:pt>
                <c:pt idx="2">
                  <c:v>2836.3903828483917</c:v>
                </c:pt>
                <c:pt idx="3">
                  <c:v>5135.234303215926</c:v>
                </c:pt>
                <c:pt idx="4">
                  <c:v>5882.8422664624804</c:v>
                </c:pt>
                <c:pt idx="5">
                  <c:v>5021.2649310872885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A6-445C-B354-88D448847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4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Analysis'!$O$53,'Image Analysis'!$O$55,'Image Analysis'!$O$57,'Image Analysis'!$O$59,'Image Analysis'!$O$61,'Image Analysis'!$O$63)</c:f>
              <c:numCache>
                <c:formatCode>_(* #,##0_);_(* \(#,##0\);_(* "-"??_);_(@_)</c:formatCode>
                <c:ptCount val="6"/>
                <c:pt idx="0">
                  <c:v>1532.756751100469</c:v>
                </c:pt>
                <c:pt idx="1">
                  <c:v>2526.13995811533</c:v>
                </c:pt>
                <c:pt idx="2">
                  <c:v>3362.5047634548046</c:v>
                </c:pt>
                <c:pt idx="3">
                  <c:v>4120.0146457509099</c:v>
                </c:pt>
                <c:pt idx="4">
                  <c:v>5185.879988367974</c:v>
                </c:pt>
                <c:pt idx="5">
                  <c:v>6029.9308716279429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AC-4A37-AC9E-7C86A328EB8E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Analysis'!$O$54,'Image Analysis'!$O$56,'Image Analysis'!$O$58,'Image Analysis'!$O$60,'Image Analysis'!$O$62,'Image Analysis'!$O$64)</c:f>
              <c:numCache>
                <c:formatCode>_(* #,##0_);_(* \(#,##0\);_(* "-"??_);_(@_)</c:formatCode>
                <c:ptCount val="6"/>
                <c:pt idx="0">
                  <c:v>784.5942289210592</c:v>
                </c:pt>
                <c:pt idx="1">
                  <c:v>1059.5954396834961</c:v>
                </c:pt>
                <c:pt idx="2">
                  <c:v>1922.4484667068468</c:v>
                </c:pt>
                <c:pt idx="3">
                  <c:v>3526.3241336838569</c:v>
                </c:pt>
                <c:pt idx="4">
                  <c:v>5554.5212311184787</c:v>
                </c:pt>
                <c:pt idx="5">
                  <c:v>7127.1411898904562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AC-4A37-AC9E-7C86A328E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1"/>
          <c:tx>
            <c:strRef>
              <c:f>'Theoretical Geometry'!$A$10</c:f>
              <c:strCache>
                <c:ptCount val="1"/>
                <c:pt idx="0">
                  <c:v>A [mm2]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Geometry'!$B$7:$N$7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Geometry'!$B$10:$N$10</c:f>
              <c:numCache>
                <c:formatCode>_(* #,##0_);_(* \(#,##0\);_(* "-"??_);_(@_)</c:formatCode>
                <c:ptCount val="13"/>
                <c:pt idx="0">
                  <c:v>0</c:v>
                </c:pt>
                <c:pt idx="1">
                  <c:v>115.74074074074075</c:v>
                </c:pt>
                <c:pt idx="2">
                  <c:v>231.48148148148155</c:v>
                </c:pt>
                <c:pt idx="3">
                  <c:v>462.96296296296299</c:v>
                </c:pt>
                <c:pt idx="4">
                  <c:v>925.92592592592621</c:v>
                </c:pt>
                <c:pt idx="5">
                  <c:v>1851.851851851852</c:v>
                </c:pt>
                <c:pt idx="6">
                  <c:v>3703.7037037037048</c:v>
                </c:pt>
                <c:pt idx="7">
                  <c:v>7407.4074074074078</c:v>
                </c:pt>
                <c:pt idx="8">
                  <c:v>13888.888888888887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64-4413-A748-95F303125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07279"/>
        <c:axId val="1328313935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'Theoretical Geometry'!$A$9</c15:sqref>
                        </c15:formulaRef>
                      </c:ext>
                    </c:extLst>
                    <c:strCache>
                      <c:ptCount val="1"/>
                      <c:pt idx="0">
                        <c:v>r [mm]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'Theoretical Geometry'!$B$9:$N$9</c15:sqref>
                        </c15:formulaRef>
                      </c:ext>
                    </c:extLst>
                    <c:numCache>
                      <c:formatCode>0</c:formatCode>
                      <c:ptCount val="13"/>
                      <c:pt idx="0">
                        <c:v>0</c:v>
                      </c:pt>
                      <c:pt idx="1">
                        <c:v>6.0697135032893286</c:v>
                      </c:pt>
                      <c:pt idx="2">
                        <c:v>8.5838711560708809</c:v>
                      </c:pt>
                      <c:pt idx="3">
                        <c:v>12.139427006578657</c:v>
                      </c:pt>
                      <c:pt idx="4">
                        <c:v>17.167742312141762</c:v>
                      </c:pt>
                      <c:pt idx="5">
                        <c:v>24.278854013157314</c:v>
                      </c:pt>
                      <c:pt idx="6">
                        <c:v>34.335484624283524</c:v>
                      </c:pt>
                      <c:pt idx="7">
                        <c:v>48.557708026314629</c:v>
                      </c:pt>
                      <c:pt idx="8">
                        <c:v>66.490380066905445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464-4413-A748-95F303125841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Geometry'!$A$11</c15:sqref>
                        </c15:formulaRef>
                      </c:ext>
                    </c:extLst>
                    <c:strCache>
                      <c:ptCount val="1"/>
                      <c:pt idx="0">
                        <c:v>P [mm]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Geometry'!$B$11:$N$11</c15:sqref>
                        </c15:formulaRef>
                      </c:ext>
                    </c:extLst>
                    <c:numCache>
                      <c:formatCode>0</c:formatCode>
                      <c:ptCount val="13"/>
                      <c:pt idx="0">
                        <c:v>0</c:v>
                      </c:pt>
                      <c:pt idx="1">
                        <c:v>38.137134702657043</c:v>
                      </c:pt>
                      <c:pt idx="2">
                        <c:v>53.934053126547205</c:v>
                      </c:pt>
                      <c:pt idx="3">
                        <c:v>76.274269405314087</c:v>
                      </c:pt>
                      <c:pt idx="4">
                        <c:v>107.86810625309441</c:v>
                      </c:pt>
                      <c:pt idx="5">
                        <c:v>152.54853881062817</c:v>
                      </c:pt>
                      <c:pt idx="6">
                        <c:v>215.73621250618882</c:v>
                      </c:pt>
                      <c:pt idx="7">
                        <c:v>305.09707762125635</c:v>
                      </c:pt>
                      <c:pt idx="8">
                        <c:v>417.77137910516672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464-4413-A748-95F303125841}"/>
                  </c:ext>
                </c:extLst>
              </c15:ser>
            </c15:filteredScatterSeries>
          </c:ext>
        </c:extLst>
      </c:scatterChart>
      <c:valAx>
        <c:axId val="1328307279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13935"/>
        <c:crosses val="autoZero"/>
        <c:crossBetween val="midCat"/>
      </c:valAx>
      <c:valAx>
        <c:axId val="1328313935"/>
        <c:scaling>
          <c:orientation val="minMax"/>
          <c:max val="1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Pume Area</a:t>
                </a:r>
                <a:r>
                  <a:rPr lang="en-US" baseline="0"/>
                  <a:t> [mm</a:t>
                </a:r>
                <a:r>
                  <a:rPr lang="en-US" baseline="30000"/>
                  <a:t>2</a:t>
                </a:r>
                <a:r>
                  <a:rPr lang="en-US" baseline="0"/>
                  <a:t>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07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4 </a:t>
            </a:r>
            <a:r>
              <a:rPr lang="en-US" b="0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theory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Geometry'!$B$7:$J$7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Geometry'!$B$11:$J$11</c:f>
              <c:numCache>
                <c:formatCode>0</c:formatCode>
                <c:ptCount val="9"/>
                <c:pt idx="0">
                  <c:v>0</c:v>
                </c:pt>
                <c:pt idx="1">
                  <c:v>38.137134702657043</c:v>
                </c:pt>
                <c:pt idx="2">
                  <c:v>53.934053126547205</c:v>
                </c:pt>
                <c:pt idx="3">
                  <c:v>76.274269405314087</c:v>
                </c:pt>
                <c:pt idx="4">
                  <c:v>107.86810625309441</c:v>
                </c:pt>
                <c:pt idx="5">
                  <c:v>152.54853881062817</c:v>
                </c:pt>
                <c:pt idx="6">
                  <c:v>215.73621250618882</c:v>
                </c:pt>
                <c:pt idx="7">
                  <c:v>305.09707762125635</c:v>
                </c:pt>
                <c:pt idx="8">
                  <c:v>417.77137910516672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C-4B67-84C1-587D6FC7ECBB}"/>
            </c:ext>
          </c:extLst>
        </c:ser>
        <c:ser>
          <c:idx val="0"/>
          <c:order val="1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Analysis'!$R$53,'Image Analysis'!$R$55,'Image Analysis'!$R$57,'Image Analysis'!$R$59,'Image Analysis'!$R$61,'Image Analysis'!$R$63)</c:f>
              <c:numCache>
                <c:formatCode>_(* #,##0_);_(* \(#,##0\);_(* "-"??_);_(@_)</c:formatCode>
                <c:ptCount val="6"/>
                <c:pt idx="0">
                  <c:v>279.76174578866767</c:v>
                </c:pt>
                <c:pt idx="1">
                  <c:v>329.79546707503829</c:v>
                </c:pt>
                <c:pt idx="2">
                  <c:v>381.87130168453285</c:v>
                </c:pt>
                <c:pt idx="3">
                  <c:v>404.64961715160791</c:v>
                </c:pt>
                <c:pt idx="4">
                  <c:v>416.20214395099538</c:v>
                </c:pt>
                <c:pt idx="5">
                  <c:v>401.42113323124039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A-4C7D-8A45-5E4AD71EC914}"/>
            </c:ext>
          </c:extLst>
        </c:ser>
        <c:ser>
          <c:idx val="1"/>
          <c:order val="2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Analysis'!$R$54,'Image Analysis'!$R$56,'Image Analysis'!$R$58,'Image Analysis'!$R$60,'Image Analysis'!$R$62,'Image Analysis'!$R$64)</c:f>
              <c:numCache>
                <c:formatCode>_(* #,##0_);_(* \(#,##0\);_(* "-"??_);_(@_)</c:formatCode>
                <c:ptCount val="6"/>
                <c:pt idx="0">
                  <c:v>216.2422970903522</c:v>
                </c:pt>
                <c:pt idx="1">
                  <c:v>259.41062787136292</c:v>
                </c:pt>
                <c:pt idx="2">
                  <c:v>309.99669218989277</c:v>
                </c:pt>
                <c:pt idx="3">
                  <c:v>535.65604900459414</c:v>
                </c:pt>
                <c:pt idx="4">
                  <c:v>648.65298621745785</c:v>
                </c:pt>
                <c:pt idx="5">
                  <c:v>581.04931087289424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4A-4C7D-8A45-5E4AD71EC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3"/>
          <c:order val="2"/>
          <c:tx>
            <c:strRef>
              <c:f>'Theoretical Geometry'!$A$11</c:f>
              <c:strCache>
                <c:ptCount val="1"/>
                <c:pt idx="0">
                  <c:v>P [mm]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Geometry'!$B$7:$N$7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Geometry'!$B$11:$N$11</c:f>
              <c:numCache>
                <c:formatCode>0</c:formatCode>
                <c:ptCount val="13"/>
                <c:pt idx="0">
                  <c:v>0</c:v>
                </c:pt>
                <c:pt idx="1">
                  <c:v>38.137134702657043</c:v>
                </c:pt>
                <c:pt idx="2">
                  <c:v>53.934053126547205</c:v>
                </c:pt>
                <c:pt idx="3">
                  <c:v>76.274269405314087</c:v>
                </c:pt>
                <c:pt idx="4">
                  <c:v>107.86810625309441</c:v>
                </c:pt>
                <c:pt idx="5">
                  <c:v>152.54853881062817</c:v>
                </c:pt>
                <c:pt idx="6">
                  <c:v>215.73621250618882</c:v>
                </c:pt>
                <c:pt idx="7">
                  <c:v>305.09707762125635</c:v>
                </c:pt>
                <c:pt idx="8">
                  <c:v>417.77137910516672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AAB-4E11-AFA7-B8FD030C4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07279"/>
        <c:axId val="1328313935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'Theoretical Geometry'!$A$9</c15:sqref>
                        </c15:formulaRef>
                      </c:ext>
                    </c:extLst>
                    <c:strCache>
                      <c:ptCount val="1"/>
                      <c:pt idx="0">
                        <c:v>r [mm]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'Theoretical Geometry'!$B$9:$N$9</c15:sqref>
                        </c15:formulaRef>
                      </c:ext>
                    </c:extLst>
                    <c:numCache>
                      <c:formatCode>0</c:formatCode>
                      <c:ptCount val="13"/>
                      <c:pt idx="0">
                        <c:v>0</c:v>
                      </c:pt>
                      <c:pt idx="1">
                        <c:v>6.0697135032893286</c:v>
                      </c:pt>
                      <c:pt idx="2">
                        <c:v>8.5838711560708809</c:v>
                      </c:pt>
                      <c:pt idx="3">
                        <c:v>12.139427006578657</c:v>
                      </c:pt>
                      <c:pt idx="4">
                        <c:v>17.167742312141762</c:v>
                      </c:pt>
                      <c:pt idx="5">
                        <c:v>24.278854013157314</c:v>
                      </c:pt>
                      <c:pt idx="6">
                        <c:v>34.335484624283524</c:v>
                      </c:pt>
                      <c:pt idx="7">
                        <c:v>48.557708026314629</c:v>
                      </c:pt>
                      <c:pt idx="8">
                        <c:v>66.490380066905445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AAB-4E11-AFA7-B8FD030C4B31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Geometry'!$A$10</c15:sqref>
                        </c15:formulaRef>
                      </c:ext>
                    </c:extLst>
                    <c:strCache>
                      <c:ptCount val="1"/>
                      <c:pt idx="0">
                        <c:v>A [mm2]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Geometry'!$B$7:$N$7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2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16</c:v>
                      </c:pt>
                      <c:pt idx="7">
                        <c:v>32</c:v>
                      </c:pt>
                      <c:pt idx="8">
                        <c:v>60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'Theoretical Geometry'!$B$10:$N$10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3"/>
                      <c:pt idx="0">
                        <c:v>0</c:v>
                      </c:pt>
                      <c:pt idx="1">
                        <c:v>115.74074074074075</c:v>
                      </c:pt>
                      <c:pt idx="2">
                        <c:v>231.48148148148155</c:v>
                      </c:pt>
                      <c:pt idx="3">
                        <c:v>462.96296296296299</c:v>
                      </c:pt>
                      <c:pt idx="4">
                        <c:v>925.92592592592621</c:v>
                      </c:pt>
                      <c:pt idx="5">
                        <c:v>1851.851851851852</c:v>
                      </c:pt>
                      <c:pt idx="6">
                        <c:v>3703.7037037037048</c:v>
                      </c:pt>
                      <c:pt idx="7">
                        <c:v>7407.4074074074078</c:v>
                      </c:pt>
                      <c:pt idx="8">
                        <c:v>13888.888888888887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AAB-4E11-AFA7-B8FD030C4B31}"/>
                  </c:ext>
                </c:extLst>
              </c15:ser>
            </c15:filteredScatterSeries>
          </c:ext>
        </c:extLst>
      </c:scatterChart>
      <c:valAx>
        <c:axId val="1328307279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13935"/>
        <c:crosses val="autoZero"/>
        <c:crossBetween val="midCat"/>
      </c:valAx>
      <c:valAx>
        <c:axId val="1328313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Plume Perimeter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307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run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'Reynolds Number'!$C$25:$C$28</c:f>
              <c:numCache>
                <c:formatCode>General</c:formatCode>
                <c:ptCount val="4"/>
                <c:pt idx="0">
                  <c:v>8</c:v>
                </c:pt>
                <c:pt idx="1">
                  <c:v>16</c:v>
                </c:pt>
                <c:pt idx="2">
                  <c:v>32</c:v>
                </c:pt>
                <c:pt idx="3">
                  <c:v>64</c:v>
                </c:pt>
              </c:numCache>
            </c:numRef>
          </c:xVal>
          <c:yVal>
            <c:numRef>
              <c:f>'Reynolds Number'!$F$25:$F$28</c:f>
              <c:numCache>
                <c:formatCode>0.0</c:formatCode>
                <c:ptCount val="4"/>
                <c:pt idx="0">
                  <c:v>1.6529052747164275</c:v>
                </c:pt>
                <c:pt idx="1">
                  <c:v>0.82645263735821373</c:v>
                </c:pt>
                <c:pt idx="2">
                  <c:v>0.41322631867910686</c:v>
                </c:pt>
                <c:pt idx="3">
                  <c:v>0.20661315933955343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0-4F27-9A37-62A01D3B4CCE}"/>
            </c:ext>
          </c:extLst>
        </c:ser>
        <c:ser>
          <c:idx val="0"/>
          <c:order val="1"/>
          <c:tx>
            <c:v>run 2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'Reynolds Number'!$C$29:$C$32</c:f>
              <c:numCache>
                <c:formatCode>General</c:formatCode>
                <c:ptCount val="4"/>
                <c:pt idx="0">
                  <c:v>8</c:v>
                </c:pt>
                <c:pt idx="1">
                  <c:v>16</c:v>
                </c:pt>
                <c:pt idx="2">
                  <c:v>32</c:v>
                </c:pt>
                <c:pt idx="3">
                  <c:v>64</c:v>
                </c:pt>
              </c:numCache>
            </c:numRef>
          </c:xVal>
          <c:yVal>
            <c:numRef>
              <c:f>'Reynolds Number'!$F$29:$F$32</c:f>
              <c:numCache>
                <c:formatCode>0.0</c:formatCode>
                <c:ptCount val="4"/>
                <c:pt idx="0">
                  <c:v>0.82645263735821373</c:v>
                </c:pt>
                <c:pt idx="1">
                  <c:v>0.41322631867910686</c:v>
                </c:pt>
                <c:pt idx="2">
                  <c:v>0.20661315933955343</c:v>
                </c:pt>
                <c:pt idx="3">
                  <c:v>0.10330657966977672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0-4F27-9A37-62A01D3B4CCE}"/>
            </c:ext>
          </c:extLst>
        </c:ser>
        <c:ser>
          <c:idx val="1"/>
          <c:order val="2"/>
          <c:tx>
            <c:v>run 3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'Reynolds Number'!$C$33:$C$36</c:f>
              <c:numCache>
                <c:formatCode>General</c:formatCode>
                <c:ptCount val="4"/>
                <c:pt idx="0">
                  <c:v>8</c:v>
                </c:pt>
                <c:pt idx="1">
                  <c:v>16</c:v>
                </c:pt>
                <c:pt idx="2">
                  <c:v>32</c:v>
                </c:pt>
                <c:pt idx="3">
                  <c:v>64</c:v>
                </c:pt>
              </c:numCache>
            </c:numRef>
          </c:xVal>
          <c:yVal>
            <c:numRef>
              <c:f>'Reynolds Number'!$F$33:$F$36</c:f>
              <c:numCache>
                <c:formatCode>0.0</c:formatCode>
                <c:ptCount val="4"/>
                <c:pt idx="0">
                  <c:v>0.41322631867910686</c:v>
                </c:pt>
                <c:pt idx="1">
                  <c:v>0.20661315933955343</c:v>
                </c:pt>
                <c:pt idx="2">
                  <c:v>0.10330657966977672</c:v>
                </c:pt>
                <c:pt idx="3" formatCode="0.00">
                  <c:v>5.1653289834888358E-2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0-4F27-9A37-62A01D3B4CCE}"/>
            </c:ext>
          </c:extLst>
        </c:ser>
        <c:ser>
          <c:idx val="3"/>
          <c:order val="3"/>
          <c:tx>
            <c:v>run 4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'Reynolds Number'!$C$37:$C$40</c:f>
              <c:numCache>
                <c:formatCode>General</c:formatCode>
                <c:ptCount val="4"/>
                <c:pt idx="0">
                  <c:v>8</c:v>
                </c:pt>
                <c:pt idx="1">
                  <c:v>16</c:v>
                </c:pt>
                <c:pt idx="2">
                  <c:v>32</c:v>
                </c:pt>
                <c:pt idx="3">
                  <c:v>64</c:v>
                </c:pt>
              </c:numCache>
            </c:numRef>
          </c:xVal>
          <c:yVal>
            <c:numRef>
              <c:f>'Reynolds Number'!$F$37:$F$40</c:f>
              <c:numCache>
                <c:formatCode>0.0</c:formatCode>
                <c:ptCount val="4"/>
                <c:pt idx="0">
                  <c:v>0.20661315933955343</c:v>
                </c:pt>
                <c:pt idx="1">
                  <c:v>0.10330657966977672</c:v>
                </c:pt>
                <c:pt idx="2" formatCode="0.00">
                  <c:v>5.1653289834888358E-2</c:v>
                </c:pt>
                <c:pt idx="3" formatCode="0.00">
                  <c:v>2.5826644917444179E-2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77-4FA9-81DA-D403E1EED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304208"/>
        <c:axId val="715304624"/>
      </c:scatterChart>
      <c:valAx>
        <c:axId val="715304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Radius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304624"/>
        <c:crosses val="autoZero"/>
        <c:crossBetween val="midCat"/>
      </c:valAx>
      <c:valAx>
        <c:axId val="71530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Reynolds Number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30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1 </a:t>
            </a:r>
            <a:r>
              <a:rPr lang="en-US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Analysis'!$E$8,'Image Analysis'!$E$10,'Image Analysis'!$E$12,'Image Analysis'!$E$14,'Image Analysis'!$E$16,'Image Analysis'!$E$18)</c:f>
              <c:numCache>
                <c:formatCode>_(* #,##0_);_(* \(#,##0\);_(* "-"??_);_(@_)</c:formatCode>
                <c:ptCount val="6"/>
                <c:pt idx="0">
                  <c:v>1636.3690152881386</c:v>
                </c:pt>
                <c:pt idx="1">
                  <c:v>2669.3188805114332</c:v>
                </c:pt>
                <c:pt idx="2">
                  <c:v>3957.0637418065749</c:v>
                </c:pt>
                <c:pt idx="3">
                  <c:v>5399.3517245649118</c:v>
                </c:pt>
                <c:pt idx="4">
                  <c:v>6276.7992215924132</c:v>
                </c:pt>
                <c:pt idx="5">
                  <c:v>6995.0102480013311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2F-4031-A275-32C85040FDE3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Analysis'!$E$9,'Image Analysis'!$E$11,'Image Analysis'!$E$13,'Image Analysis'!$E$15,'Image Analysis'!$E$17,'Image Analysis'!$E$19)</c:f>
              <c:numCache>
                <c:formatCode>_(* #,##0_);_(* \(#,##0\);_(* "-"??_);_(@_)</c:formatCode>
                <c:ptCount val="6"/>
                <c:pt idx="0">
                  <c:v>943.14833317308012</c:v>
                </c:pt>
                <c:pt idx="1">
                  <c:v>2763.7774495378844</c:v>
                </c:pt>
                <c:pt idx="2">
                  <c:v>4673.3835088846618</c:v>
                </c:pt>
                <c:pt idx="3">
                  <c:v>5347.431360407495</c:v>
                </c:pt>
                <c:pt idx="4">
                  <c:v>6132.1466299257272</c:v>
                </c:pt>
                <c:pt idx="5">
                  <c:v>6708.551031708992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E-4860-B71B-24253150D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1 </a:t>
            </a:r>
            <a:r>
              <a:rPr lang="en-US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Analysis'!$H$8,'Image Analysis'!$H$10,'Image Analysis'!$H$12,'Image Analysis'!$H$14,'Image Analysis'!$H$16,'Image Analysis'!$H$18)</c:f>
              <c:numCache>
                <c:formatCode>_(* #,##0_);_(* \(#,##0\);_(* "-"??_);_(@_)</c:formatCode>
                <c:ptCount val="6"/>
                <c:pt idx="0">
                  <c:v>1520.7326186830014</c:v>
                </c:pt>
                <c:pt idx="1">
                  <c:v>2354.2649310872894</c:v>
                </c:pt>
                <c:pt idx="2">
                  <c:v>3833.4940275650838</c:v>
                </c:pt>
                <c:pt idx="3">
                  <c:v>4297.7733537519134</c:v>
                </c:pt>
                <c:pt idx="4">
                  <c:v>4121.1791730474724</c:v>
                </c:pt>
                <c:pt idx="5">
                  <c:v>4389.571209800918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7-4695-AA9B-BF7BFF8EE413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Analysis'!$H$9,'Image Analysis'!$H$11,'Image Analysis'!$H$13,'Image Analysis'!$H$15,'Image Analysis'!$H$17,'Image Analysis'!$H$19)</c:f>
              <c:numCache>
                <c:formatCode>_(* #,##0_);_(* \(#,##0\);_(* "-"??_);_(@_)</c:formatCode>
                <c:ptCount val="6"/>
                <c:pt idx="0">
                  <c:v>215.06370597243489</c:v>
                </c:pt>
                <c:pt idx="1">
                  <c:v>2549.2964777947932</c:v>
                </c:pt>
                <c:pt idx="2">
                  <c:v>3641.7687595712096</c:v>
                </c:pt>
                <c:pt idx="3">
                  <c:v>3742.0462480857577</c:v>
                </c:pt>
                <c:pt idx="4">
                  <c:v>3599.2150076569674</c:v>
                </c:pt>
                <c:pt idx="5">
                  <c:v>3364.5081163859109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A7-4695-AA9B-BF7BFF8E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Run 1 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Analysis'!$O$8,'Image Analysis'!$O$10,'Image Analysis'!$O$12,'Image Analysis'!$O$14,'Image Analysis'!$O$16,'Image Analysis'!$O$18)</c:f>
              <c:numCache>
                <c:formatCode>_(* #,##0_);_(* \(#,##0\);_(* "-"??_);_(@_)</c:formatCode>
                <c:ptCount val="6"/>
                <c:pt idx="0">
                  <c:v>1636.2252795789955</c:v>
                </c:pt>
                <c:pt idx="1">
                  <c:v>2506.8475999333969</c:v>
                </c:pt>
                <c:pt idx="2">
                  <c:v>3614.2782836197166</c:v>
                </c:pt>
                <c:pt idx="3">
                  <c:v>5021.2904973394079</c:v>
                </c:pt>
                <c:pt idx="4">
                  <c:v>6285.2569333198862</c:v>
                </c:pt>
                <c:pt idx="5">
                  <c:v>7019.1472560851189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72-424E-8C9E-D58533E32D11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Analysis'!$E$9,'Image Analysis'!$E$11,'Image Analysis'!$E$13,'Image Analysis'!$E$15,'Image Analysis'!$E$17,'Image Analysis'!$E$19,'Image Analysis'!$O$9,'Image Analysis'!$O$11,'Image Analysis'!$O$13,'Image Analysis'!$O$15,'Image Analysis'!$O$17,'Image Analysis'!$O$19)</c:f>
              <c:numCache>
                <c:formatCode>_(* #,##0_);_(* \(#,##0\);_(* "-"??_);_(@_)</c:formatCode>
                <c:ptCount val="12"/>
                <c:pt idx="0">
                  <c:v>943.14833317308012</c:v>
                </c:pt>
                <c:pt idx="1">
                  <c:v>2763.7774495378844</c:v>
                </c:pt>
                <c:pt idx="2">
                  <c:v>4673.3835088846618</c:v>
                </c:pt>
                <c:pt idx="3">
                  <c:v>5347.431360407495</c:v>
                </c:pt>
                <c:pt idx="4">
                  <c:v>6132.1466299257272</c:v>
                </c:pt>
                <c:pt idx="5">
                  <c:v>6708.551031708992</c:v>
                </c:pt>
                <c:pt idx="6">
                  <c:v>898.58269830139591</c:v>
                </c:pt>
                <c:pt idx="7">
                  <c:v>2735.2739019110754</c:v>
                </c:pt>
                <c:pt idx="8">
                  <c:v>4668.6145093560399</c:v>
                </c:pt>
                <c:pt idx="9">
                  <c:v>5260.1096475918648</c:v>
                </c:pt>
                <c:pt idx="10">
                  <c:v>6154.6163037834558</c:v>
                </c:pt>
                <c:pt idx="11">
                  <c:v>6631.7144606234851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72-424E-8C9E-D58533E32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1 </a:t>
            </a:r>
            <a:r>
              <a:rPr lang="en-US">
                <a:solidFill>
                  <a:schemeClr val="tx1"/>
                </a:solidFill>
              </a:rPr>
              <a:t>Morphological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theory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'Theoretical Geometry'!$B$7:$J$7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16</c:v>
                </c:pt>
                <c:pt idx="7">
                  <c:v>32</c:v>
                </c:pt>
                <c:pt idx="8">
                  <c:v>60</c:v>
                </c:pt>
              </c:numCache>
            </c:numRef>
          </c:xVal>
          <c:yVal>
            <c:numRef>
              <c:f>'Theoretical Geometry'!$B$11:$J$11</c:f>
              <c:numCache>
                <c:formatCode>0</c:formatCode>
                <c:ptCount val="9"/>
                <c:pt idx="0">
                  <c:v>0</c:v>
                </c:pt>
                <c:pt idx="1">
                  <c:v>38.137134702657043</c:v>
                </c:pt>
                <c:pt idx="2">
                  <c:v>53.934053126547205</c:v>
                </c:pt>
                <c:pt idx="3">
                  <c:v>76.274269405314087</c:v>
                </c:pt>
                <c:pt idx="4">
                  <c:v>107.86810625309441</c:v>
                </c:pt>
                <c:pt idx="5">
                  <c:v>152.54853881062817</c:v>
                </c:pt>
                <c:pt idx="6">
                  <c:v>215.73621250618882</c:v>
                </c:pt>
                <c:pt idx="7">
                  <c:v>305.09707762125635</c:v>
                </c:pt>
                <c:pt idx="8">
                  <c:v>417.77137910516672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6C-49A3-90D4-668AD62209D4}"/>
            </c:ext>
          </c:extLst>
        </c:ser>
        <c:ser>
          <c:idx val="0"/>
          <c:order val="1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Analysis'!$R$8,'Image Analysis'!$R$10,'Image Analysis'!$R$12,'Image Analysis'!$R$14,'Image Analysis'!$R$16,'Image Analysis'!$R$18)</c:f>
              <c:numCache>
                <c:formatCode>_(* #,##0_);_(* \(#,##0\);_(* "-"??_);_(@_)</c:formatCode>
                <c:ptCount val="6"/>
                <c:pt idx="0">
                  <c:v>281.75718223583459</c:v>
                </c:pt>
                <c:pt idx="1">
                  <c:v>337.67218989280241</c:v>
                </c:pt>
                <c:pt idx="2">
                  <c:v>459.45604900459415</c:v>
                </c:pt>
                <c:pt idx="3">
                  <c:v>538.69004594180694</c:v>
                </c:pt>
                <c:pt idx="4">
                  <c:v>531.37733537519136</c:v>
                </c:pt>
                <c:pt idx="5">
                  <c:v>569.418989280245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15-42CB-A7FB-54E861558C82}"/>
            </c:ext>
          </c:extLst>
        </c:ser>
        <c:ser>
          <c:idx val="1"/>
          <c:order val="2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Analysis'!$R$9,'Image Analysis'!$R$11,'Image Analysis'!$R$13,'Image Analysis'!$R$15,'Image Analysis'!$R$17,'Image Analysis'!$R$19)</c:f>
              <c:numCache>
                <c:formatCode>_(* #,##0_);_(* \(#,##0\);_(* "-"??_);_(@_)</c:formatCode>
                <c:ptCount val="6"/>
                <c:pt idx="0">
                  <c:v>232.2446860643185</c:v>
                </c:pt>
                <c:pt idx="1">
                  <c:v>360.67611026033688</c:v>
                </c:pt>
                <c:pt idx="2">
                  <c:v>402.62695252679936</c:v>
                </c:pt>
                <c:pt idx="3">
                  <c:v>424.25390505359871</c:v>
                </c:pt>
                <c:pt idx="4">
                  <c:v>431.99448698315462</c:v>
                </c:pt>
                <c:pt idx="5">
                  <c:v>418.49709035222048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15-42CB-A7FB-54E861558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Perimeter</a:t>
                </a:r>
                <a:r>
                  <a:rPr lang="en-US" baseline="0">
                    <a:solidFill>
                      <a:schemeClr val="tx1"/>
                    </a:solidFill>
                  </a:rPr>
                  <a:t> [mm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Run 2 </a:t>
            </a:r>
            <a:r>
              <a:rPr lang="en-US" b="0">
                <a:solidFill>
                  <a:schemeClr val="tx1"/>
                </a:solidFill>
              </a:rPr>
              <a:t>Binary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Analysis'!$E$23,'Image Analysis'!$E$25,'Image Analysis'!$E$27,'Image Analysis'!$E$29,'Image Analysis'!$E$31,'Image Analysis'!$E$33)</c:f>
              <c:numCache>
                <c:formatCode>_(* #,##0_);_(* \(#,##0\);_(* "-"??_);_(@_)</c:formatCode>
                <c:ptCount val="6"/>
                <c:pt idx="0">
                  <c:v>1873.731139352124</c:v>
                </c:pt>
                <c:pt idx="1">
                  <c:v>3035.9871615280158</c:v>
                </c:pt>
                <c:pt idx="2">
                  <c:v>4045.6276337506938</c:v>
                </c:pt>
                <c:pt idx="3">
                  <c:v>5010.1093721755396</c:v>
                </c:pt>
                <c:pt idx="4">
                  <c:v>5919.7945192526413</c:v>
                </c:pt>
                <c:pt idx="5">
                  <c:v>6666.4046957733053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C1-492F-9929-0738873C4DB4}"/>
            </c:ext>
          </c:extLst>
        </c:ser>
        <c:ser>
          <c:idx val="1"/>
          <c:order val="1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('Image Analysis'!$B$8,'Image Analysis'!$B$10,'Image Analysis'!$B$12,'Image Analysis'!$B$14,'Image Analysis'!$B$16,'Image Analysis'!$B$18)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('Image Analysis'!$E$24,'Image Analysis'!$E$26,'Image Analysis'!$E$28,'Image Analysis'!$E$30,'Image Analysis'!$E$32,'Image Analysis'!$E$34)</c:f>
              <c:numCache>
                <c:formatCode>_(* #,##0_);_(* \(#,##0\);_(* "-"??_);_(@_)</c:formatCode>
                <c:ptCount val="6"/>
                <c:pt idx="0">
                  <c:v>988.6247985384922</c:v>
                </c:pt>
                <c:pt idx="1">
                  <c:v>2365.1075476361893</c:v>
                </c:pt>
                <c:pt idx="2">
                  <c:v>3909.9865145435479</c:v>
                </c:pt>
                <c:pt idx="3">
                  <c:v>4870.3271515376073</c:v>
                </c:pt>
                <c:pt idx="4">
                  <c:v>5653.0739983443118</c:v>
                </c:pt>
                <c:pt idx="5">
                  <c:v>6570.8870215215893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C1-492F-9929-0738873C4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903327"/>
        <c:axId val="912904159"/>
      </c:scatterChart>
      <c:valAx>
        <c:axId val="912903327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Injection 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4159"/>
        <c:crosses val="autoZero"/>
        <c:crossBetween val="midCat"/>
      </c:valAx>
      <c:valAx>
        <c:axId val="912904159"/>
        <c:scaling>
          <c:orientation val="minMax"/>
          <c:max val="7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Plume Area [mm</a:t>
                </a:r>
                <a:r>
                  <a:rPr lang="en-US" baseline="30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9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chart" Target="../charts/chart17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2" Type="http://schemas.openxmlformats.org/officeDocument/2006/relationships/chart" Target="../charts/chart6.xml"/><Relationship Id="rId16" Type="http://schemas.openxmlformats.org/officeDocument/2006/relationships/chart" Target="../charts/chart20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5" Type="http://schemas.openxmlformats.org/officeDocument/2006/relationships/chart" Target="../charts/chart1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Relationship Id="rId1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4761</xdr:rowOff>
    </xdr:from>
    <xdr:to>
      <xdr:col>6</xdr:col>
      <xdr:colOff>590550</xdr:colOff>
      <xdr:row>27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CCAE2A-EFFA-13FF-9E30-EAE6080F3E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180975</xdr:rowOff>
    </xdr:from>
    <xdr:to>
      <xdr:col>13</xdr:col>
      <xdr:colOff>590550</xdr:colOff>
      <xdr:row>27</xdr:row>
      <xdr:rowOff>166688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1120C7-71E1-47EC-B7D6-DB1CB9F1B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12</xdr:row>
      <xdr:rowOff>0</xdr:rowOff>
    </xdr:from>
    <xdr:to>
      <xdr:col>20</xdr:col>
      <xdr:colOff>590550</xdr:colOff>
      <xdr:row>27</xdr:row>
      <xdr:rowOff>176213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AEEE47-5EE0-4D96-9806-79463E0A0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66675</xdr:rowOff>
    </xdr:from>
    <xdr:to>
      <xdr:col>1</xdr:col>
      <xdr:colOff>438150</xdr:colOff>
      <xdr:row>6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019175"/>
          <a:ext cx="27146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19049</xdr:rowOff>
    </xdr:from>
    <xdr:to>
      <xdr:col>9</xdr:col>
      <xdr:colOff>695325</xdr:colOff>
      <xdr:row>63</xdr:row>
      <xdr:rowOff>47624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4761</xdr:rowOff>
    </xdr:from>
    <xdr:to>
      <xdr:col>8</xdr:col>
      <xdr:colOff>704850</xdr:colOff>
      <xdr:row>81</xdr:row>
      <xdr:rowOff>180974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83</xdr:row>
      <xdr:rowOff>0</xdr:rowOff>
    </xdr:from>
    <xdr:to>
      <xdr:col>8</xdr:col>
      <xdr:colOff>704850</xdr:colOff>
      <xdr:row>97</xdr:row>
      <xdr:rowOff>176213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67</xdr:row>
      <xdr:rowOff>0</xdr:rowOff>
    </xdr:from>
    <xdr:to>
      <xdr:col>18</xdr:col>
      <xdr:colOff>704850</xdr:colOff>
      <xdr:row>81</xdr:row>
      <xdr:rowOff>176213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83</xdr:row>
      <xdr:rowOff>0</xdr:rowOff>
    </xdr:from>
    <xdr:to>
      <xdr:col>18</xdr:col>
      <xdr:colOff>704850</xdr:colOff>
      <xdr:row>97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101</xdr:row>
      <xdr:rowOff>4761</xdr:rowOff>
    </xdr:from>
    <xdr:to>
      <xdr:col>8</xdr:col>
      <xdr:colOff>704850</xdr:colOff>
      <xdr:row>115</xdr:row>
      <xdr:rowOff>180974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117</xdr:row>
      <xdr:rowOff>0</xdr:rowOff>
    </xdr:from>
    <xdr:to>
      <xdr:col>8</xdr:col>
      <xdr:colOff>704850</xdr:colOff>
      <xdr:row>131</xdr:row>
      <xdr:rowOff>176213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101</xdr:row>
      <xdr:rowOff>0</xdr:rowOff>
    </xdr:from>
    <xdr:to>
      <xdr:col>18</xdr:col>
      <xdr:colOff>704850</xdr:colOff>
      <xdr:row>115</xdr:row>
      <xdr:rowOff>176213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117</xdr:row>
      <xdr:rowOff>0</xdr:rowOff>
    </xdr:from>
    <xdr:to>
      <xdr:col>18</xdr:col>
      <xdr:colOff>704850</xdr:colOff>
      <xdr:row>131</xdr:row>
      <xdr:rowOff>176213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135</xdr:row>
      <xdr:rowOff>4761</xdr:rowOff>
    </xdr:from>
    <xdr:to>
      <xdr:col>8</xdr:col>
      <xdr:colOff>704850</xdr:colOff>
      <xdr:row>149</xdr:row>
      <xdr:rowOff>180974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8</xdr:col>
      <xdr:colOff>704850</xdr:colOff>
      <xdr:row>165</xdr:row>
      <xdr:rowOff>176213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135</xdr:row>
      <xdr:rowOff>0</xdr:rowOff>
    </xdr:from>
    <xdr:to>
      <xdr:col>18</xdr:col>
      <xdr:colOff>704850</xdr:colOff>
      <xdr:row>149</xdr:row>
      <xdr:rowOff>176213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151</xdr:row>
      <xdr:rowOff>0</xdr:rowOff>
    </xdr:from>
    <xdr:to>
      <xdr:col>18</xdr:col>
      <xdr:colOff>704850</xdr:colOff>
      <xdr:row>165</xdr:row>
      <xdr:rowOff>176213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169</xdr:row>
      <xdr:rowOff>4761</xdr:rowOff>
    </xdr:from>
    <xdr:to>
      <xdr:col>8</xdr:col>
      <xdr:colOff>704850</xdr:colOff>
      <xdr:row>183</xdr:row>
      <xdr:rowOff>180974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185</xdr:row>
      <xdr:rowOff>0</xdr:rowOff>
    </xdr:from>
    <xdr:to>
      <xdr:col>8</xdr:col>
      <xdr:colOff>704850</xdr:colOff>
      <xdr:row>199</xdr:row>
      <xdr:rowOff>176213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704850</xdr:colOff>
      <xdr:row>183</xdr:row>
      <xdr:rowOff>176213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185</xdr:row>
      <xdr:rowOff>0</xdr:rowOff>
    </xdr:from>
    <xdr:to>
      <xdr:col>18</xdr:col>
      <xdr:colOff>704850</xdr:colOff>
      <xdr:row>199</xdr:row>
      <xdr:rowOff>176213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tabSelected="1" workbookViewId="0"/>
  </sheetViews>
  <sheetFormatPr defaultRowHeight="15" x14ac:dyDescent="0.25"/>
  <cols>
    <col min="1" max="1" width="21.140625" bestFit="1" customWidth="1"/>
    <col min="2" max="2" width="76.28515625" bestFit="1" customWidth="1"/>
  </cols>
  <sheetData>
    <row r="1" spans="1:2" x14ac:dyDescent="0.25">
      <c r="A1" s="2" t="s">
        <v>145</v>
      </c>
    </row>
    <row r="3" spans="1:2" x14ac:dyDescent="0.25">
      <c r="A3" t="s">
        <v>106</v>
      </c>
    </row>
    <row r="5" spans="1:2" x14ac:dyDescent="0.25">
      <c r="A5" t="s">
        <v>107</v>
      </c>
    </row>
    <row r="6" spans="1:2" x14ac:dyDescent="0.25">
      <c r="A6" t="s">
        <v>108</v>
      </c>
    </row>
    <row r="7" spans="1:2" x14ac:dyDescent="0.25">
      <c r="A7" t="s">
        <v>109</v>
      </c>
    </row>
    <row r="8" spans="1:2" x14ac:dyDescent="0.25">
      <c r="A8" t="s">
        <v>110</v>
      </c>
    </row>
    <row r="9" spans="1:2" x14ac:dyDescent="0.25">
      <c r="A9" t="s">
        <v>111</v>
      </c>
    </row>
    <row r="11" spans="1:2" x14ac:dyDescent="0.25">
      <c r="A11" s="97" t="s">
        <v>146</v>
      </c>
    </row>
    <row r="13" spans="1:2" x14ac:dyDescent="0.25">
      <c r="A13" s="98" t="s">
        <v>112</v>
      </c>
      <c r="B13" s="98" t="s">
        <v>113</v>
      </c>
    </row>
    <row r="14" spans="1:2" x14ac:dyDescent="0.25">
      <c r="A14" t="s">
        <v>102</v>
      </c>
      <c r="B14" t="s">
        <v>115</v>
      </c>
    </row>
    <row r="15" spans="1:2" x14ac:dyDescent="0.25">
      <c r="A15" t="s">
        <v>86</v>
      </c>
      <c r="B15" t="s">
        <v>116</v>
      </c>
    </row>
    <row r="16" spans="1:2" x14ac:dyDescent="0.25">
      <c r="A16" t="s">
        <v>3</v>
      </c>
      <c r="B16" t="s">
        <v>117</v>
      </c>
    </row>
    <row r="17" spans="1:2" x14ac:dyDescent="0.25">
      <c r="A17" t="s">
        <v>114</v>
      </c>
      <c r="B17" t="s">
        <v>118</v>
      </c>
    </row>
    <row r="18" spans="1:2" x14ac:dyDescent="0.25">
      <c r="A18" t="s">
        <v>67</v>
      </c>
      <c r="B18" t="s">
        <v>119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1"/>
  <sheetViews>
    <sheetView workbookViewId="0"/>
  </sheetViews>
  <sheetFormatPr defaultRowHeight="15" x14ac:dyDescent="0.25"/>
  <sheetData>
    <row r="1" spans="1:14" x14ac:dyDescent="0.25">
      <c r="A1" s="2" t="s">
        <v>102</v>
      </c>
      <c r="D1" s="34"/>
      <c r="E1" s="34"/>
      <c r="N1" s="34"/>
    </row>
    <row r="2" spans="1:14" x14ac:dyDescent="0.25">
      <c r="A2" t="s">
        <v>103</v>
      </c>
      <c r="D2" s="34"/>
      <c r="E2" s="34"/>
      <c r="N2" s="34"/>
    </row>
    <row r="3" spans="1:14" x14ac:dyDescent="0.25">
      <c r="A3" s="2"/>
      <c r="D3" s="34"/>
      <c r="E3" s="34"/>
      <c r="F3" s="24"/>
      <c r="G3" s="46"/>
      <c r="I3" s="24"/>
      <c r="J3" s="1"/>
      <c r="N3" s="34"/>
    </row>
    <row r="4" spans="1:14" x14ac:dyDescent="0.25">
      <c r="A4" s="24" t="s">
        <v>99</v>
      </c>
      <c r="B4" s="1">
        <v>0.36</v>
      </c>
      <c r="D4" s="34"/>
      <c r="E4" s="34"/>
      <c r="F4" s="24"/>
      <c r="G4" s="46"/>
      <c r="I4" s="24"/>
      <c r="J4" s="1"/>
      <c r="N4" s="34"/>
    </row>
    <row r="5" spans="1:14" x14ac:dyDescent="0.25">
      <c r="A5" s="24" t="s">
        <v>100</v>
      </c>
      <c r="B5" s="1">
        <v>12</v>
      </c>
      <c r="C5" t="s">
        <v>5</v>
      </c>
      <c r="D5" s="34"/>
      <c r="E5" s="34"/>
      <c r="F5" s="24"/>
      <c r="G5" s="46"/>
      <c r="I5" s="24"/>
      <c r="J5" s="1"/>
      <c r="N5" s="34"/>
    </row>
    <row r="6" spans="1:14" x14ac:dyDescent="0.25">
      <c r="A6" s="2"/>
      <c r="D6" s="34"/>
      <c r="E6" s="34"/>
      <c r="F6" s="24"/>
      <c r="G6" s="46"/>
      <c r="I6" s="24"/>
      <c r="J6" s="1"/>
      <c r="N6" s="34"/>
    </row>
    <row r="7" spans="1:14" x14ac:dyDescent="0.25">
      <c r="A7" t="s">
        <v>26</v>
      </c>
      <c r="B7">
        <v>0</v>
      </c>
      <c r="C7">
        <v>0.5</v>
      </c>
      <c r="D7">
        <v>1</v>
      </c>
      <c r="E7">
        <v>2</v>
      </c>
      <c r="F7">
        <v>4</v>
      </c>
      <c r="G7">
        <v>8</v>
      </c>
      <c r="H7">
        <v>16</v>
      </c>
      <c r="I7">
        <v>32</v>
      </c>
      <c r="J7">
        <v>60</v>
      </c>
    </row>
    <row r="8" spans="1:14" ht="17.25" x14ac:dyDescent="0.25">
      <c r="A8" t="s">
        <v>98</v>
      </c>
      <c r="B8" s="34">
        <f t="shared" ref="B8:J8" si="0">B7*1000</f>
        <v>0</v>
      </c>
      <c r="C8" s="34">
        <f t="shared" si="0"/>
        <v>500</v>
      </c>
      <c r="D8" s="34">
        <f t="shared" si="0"/>
        <v>1000</v>
      </c>
      <c r="E8" s="34">
        <f t="shared" si="0"/>
        <v>2000</v>
      </c>
      <c r="F8" s="34">
        <f t="shared" si="0"/>
        <v>4000</v>
      </c>
      <c r="G8" s="34">
        <f t="shared" si="0"/>
        <v>8000</v>
      </c>
      <c r="H8" s="34">
        <f t="shared" si="0"/>
        <v>16000</v>
      </c>
      <c r="I8" s="34">
        <f t="shared" si="0"/>
        <v>32000</v>
      </c>
      <c r="J8" s="34">
        <f t="shared" si="0"/>
        <v>60000</v>
      </c>
      <c r="K8" s="34"/>
      <c r="L8" s="34"/>
      <c r="M8" s="34"/>
      <c r="N8" s="34"/>
    </row>
    <row r="9" spans="1:14" x14ac:dyDescent="0.25">
      <c r="A9" t="s">
        <v>6</v>
      </c>
      <c r="B9" s="86">
        <f t="shared" ref="B9:J9" si="1">SQRT(B8/PI()/$B$4/$B$5)</f>
        <v>0</v>
      </c>
      <c r="C9" s="86">
        <f t="shared" si="1"/>
        <v>6.0697135032893286</v>
      </c>
      <c r="D9" s="86">
        <f t="shared" si="1"/>
        <v>8.5838711560708809</v>
      </c>
      <c r="E9" s="86">
        <f t="shared" si="1"/>
        <v>12.139427006578657</v>
      </c>
      <c r="F9" s="86">
        <f t="shared" si="1"/>
        <v>17.167742312141762</v>
      </c>
      <c r="G9" s="86">
        <f t="shared" si="1"/>
        <v>24.278854013157314</v>
      </c>
      <c r="H9" s="86">
        <f t="shared" si="1"/>
        <v>34.335484624283524</v>
      </c>
      <c r="I9" s="86">
        <f t="shared" si="1"/>
        <v>48.557708026314629</v>
      </c>
      <c r="J9" s="86">
        <f t="shared" si="1"/>
        <v>66.490380066905445</v>
      </c>
      <c r="K9" s="86"/>
      <c r="L9" s="86"/>
      <c r="M9" s="86"/>
      <c r="N9" s="86"/>
    </row>
    <row r="10" spans="1:14" ht="17.25" x14ac:dyDescent="0.25">
      <c r="A10" t="s">
        <v>7</v>
      </c>
      <c r="B10" s="34">
        <f t="shared" ref="B10:J10" si="2">PI()*B9^2</f>
        <v>0</v>
      </c>
      <c r="C10" s="34">
        <f t="shared" si="2"/>
        <v>115.74074074074075</v>
      </c>
      <c r="D10" s="34">
        <f t="shared" si="2"/>
        <v>231.48148148148155</v>
      </c>
      <c r="E10" s="34">
        <f t="shared" si="2"/>
        <v>462.96296296296299</v>
      </c>
      <c r="F10" s="34">
        <f t="shared" si="2"/>
        <v>925.92592592592621</v>
      </c>
      <c r="G10" s="34">
        <f t="shared" si="2"/>
        <v>1851.851851851852</v>
      </c>
      <c r="H10" s="34">
        <f t="shared" si="2"/>
        <v>3703.7037037037048</v>
      </c>
      <c r="I10" s="34">
        <f t="shared" si="2"/>
        <v>7407.4074074074078</v>
      </c>
      <c r="J10" s="34">
        <f t="shared" si="2"/>
        <v>13888.888888888887</v>
      </c>
      <c r="K10" s="34"/>
      <c r="L10" s="34"/>
      <c r="M10" s="34"/>
      <c r="N10" s="34"/>
    </row>
    <row r="11" spans="1:14" x14ac:dyDescent="0.25">
      <c r="A11" t="s">
        <v>101</v>
      </c>
      <c r="B11" s="86">
        <f t="shared" ref="B11:J11" si="3">2*PI()*B9</f>
        <v>0</v>
      </c>
      <c r="C11" s="86">
        <f t="shared" si="3"/>
        <v>38.137134702657043</v>
      </c>
      <c r="D11" s="86">
        <f t="shared" si="3"/>
        <v>53.934053126547205</v>
      </c>
      <c r="E11" s="86">
        <f t="shared" si="3"/>
        <v>76.274269405314087</v>
      </c>
      <c r="F11" s="86">
        <f t="shared" si="3"/>
        <v>107.86810625309441</v>
      </c>
      <c r="G11" s="86">
        <f t="shared" si="3"/>
        <v>152.54853881062817</v>
      </c>
      <c r="H11" s="86">
        <f t="shared" si="3"/>
        <v>215.73621250618882</v>
      </c>
      <c r="I11" s="86">
        <f t="shared" si="3"/>
        <v>305.09707762125635</v>
      </c>
      <c r="J11" s="86">
        <f t="shared" si="3"/>
        <v>417.77137910516672</v>
      </c>
      <c r="K11" s="86"/>
      <c r="L11" s="86"/>
      <c r="M11" s="86"/>
      <c r="N11" s="86"/>
    </row>
  </sheetData>
  <pageMargins left="0.25" right="0.25" top="0.75" bottom="0.75" header="0.3" footer="0.3"/>
  <pageSetup scale="70" orientation="landscape" horizontalDpi="1200" verticalDpi="1200" r:id="rId1"/>
  <headerFooter>
    <oddFooter>&amp;L&amp;Z&amp;F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workbookViewId="0"/>
  </sheetViews>
  <sheetFormatPr defaultRowHeight="15" x14ac:dyDescent="0.25"/>
  <cols>
    <col min="1" max="1" width="36.42578125" bestFit="1" customWidth="1"/>
  </cols>
  <sheetData>
    <row r="1" spans="1:3" x14ac:dyDescent="0.25">
      <c r="A1" s="17" t="s">
        <v>86</v>
      </c>
      <c r="B1" s="16"/>
      <c r="C1" s="16"/>
    </row>
    <row r="2" spans="1:3" x14ac:dyDescent="0.25">
      <c r="A2" s="18" t="s">
        <v>85</v>
      </c>
      <c r="B2" s="16"/>
      <c r="C2" s="16"/>
    </row>
    <row r="4" spans="1:3" x14ac:dyDescent="0.25">
      <c r="A4" t="s">
        <v>87</v>
      </c>
      <c r="B4" s="16"/>
      <c r="C4" s="16"/>
    </row>
    <row r="9" spans="1:3" ht="18" x14ac:dyDescent="0.35">
      <c r="A9" t="s">
        <v>94</v>
      </c>
    </row>
    <row r="11" spans="1:3" x14ac:dyDescent="0.25">
      <c r="A11" s="18" t="s">
        <v>39</v>
      </c>
      <c r="B11" s="1">
        <v>11</v>
      </c>
      <c r="C11" s="19" t="s">
        <v>40</v>
      </c>
    </row>
    <row r="12" spans="1:3" x14ac:dyDescent="0.25">
      <c r="A12" s="18" t="s">
        <v>41</v>
      </c>
      <c r="B12" s="48">
        <f>0.000042844 + ( 0.157*(B11 + 64.993)^2 - 91.926 )^-1</f>
        <v>1.2702309907691759E-3</v>
      </c>
      <c r="C12" s="19" t="s">
        <v>42</v>
      </c>
    </row>
    <row r="13" spans="1:3" x14ac:dyDescent="0.25">
      <c r="A13" s="18" t="s">
        <v>43</v>
      </c>
      <c r="B13" s="1">
        <v>73</v>
      </c>
      <c r="C13" s="19" t="s">
        <v>40</v>
      </c>
    </row>
    <row r="14" spans="1:3" x14ac:dyDescent="0.25">
      <c r="A14" s="18" t="s">
        <v>44</v>
      </c>
      <c r="B14" s="49">
        <f>0.000042844 + ( 0.157*(B13 + 64.993)^2 - 91.926 )^-1</f>
        <v>3.8794782590989411E-4</v>
      </c>
      <c r="C14" s="19" t="s">
        <v>42</v>
      </c>
    </row>
    <row r="15" spans="1:3" x14ac:dyDescent="0.25">
      <c r="A15" s="18" t="s">
        <v>45</v>
      </c>
      <c r="B15" s="20">
        <f>LN(B12/B14)</f>
        <v>1.186083184132366</v>
      </c>
      <c r="C15" s="16"/>
    </row>
    <row r="16" spans="1:3" x14ac:dyDescent="0.25">
      <c r="B16" s="1"/>
    </row>
    <row r="17" spans="1:5" x14ac:dyDescent="0.25">
      <c r="A17" s="21" t="s">
        <v>46</v>
      </c>
      <c r="B17" s="77"/>
      <c r="C17" s="16"/>
    </row>
    <row r="18" spans="1:5" x14ac:dyDescent="0.25">
      <c r="B18" s="1"/>
    </row>
    <row r="19" spans="1:5" x14ac:dyDescent="0.25">
      <c r="A19" s="18" t="s">
        <v>39</v>
      </c>
      <c r="B19" s="1">
        <v>0</v>
      </c>
      <c r="C19" s="19" t="s">
        <v>40</v>
      </c>
    </row>
    <row r="20" spans="1:5" x14ac:dyDescent="0.25">
      <c r="A20" s="18" t="s">
        <v>41</v>
      </c>
      <c r="B20" s="48">
        <f>0.000042844 + ( 0.157*(B19 + 64.993)^2 - 91.926 )^-1</f>
        <v>1.7933722377156923E-3</v>
      </c>
      <c r="C20" s="19" t="s">
        <v>42</v>
      </c>
      <c r="E20" s="33"/>
    </row>
    <row r="21" spans="1:5" x14ac:dyDescent="0.25">
      <c r="A21" s="18" t="s">
        <v>43</v>
      </c>
      <c r="B21" s="1">
        <v>100</v>
      </c>
      <c r="C21" s="19" t="s">
        <v>40</v>
      </c>
    </row>
    <row r="22" spans="1:5" x14ac:dyDescent="0.25">
      <c r="A22" s="18" t="s">
        <v>44</v>
      </c>
      <c r="B22" s="49">
        <f>0.000042844 + ( 0.157*(B21 + 64.993)^2 - 91.926 )^-1</f>
        <v>2.8196196054637948E-4</v>
      </c>
      <c r="C22" s="19" t="s">
        <v>42</v>
      </c>
      <c r="E22" s="56"/>
    </row>
    <row r="23" spans="1:5" x14ac:dyDescent="0.25">
      <c r="A23" s="18" t="s">
        <v>45</v>
      </c>
      <c r="B23" s="20">
        <f>LN(B20/B22)</f>
        <v>1.8500808879860127</v>
      </c>
      <c r="C23" s="16"/>
    </row>
  </sheetData>
  <pageMargins left="0.7" right="0.7" top="0.75" bottom="0.75" header="0.3" footer="0.3"/>
  <pageSetup orientation="portrait" horizontalDpi="1200" verticalDpi="1200" r:id="rId1"/>
  <headerFooter>
    <oddFooter>&amp;L&amp;8&amp;Z&amp;F &amp;A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1"/>
  <sheetViews>
    <sheetView workbookViewId="0"/>
  </sheetViews>
  <sheetFormatPr defaultColWidth="10.7109375" defaultRowHeight="15" x14ac:dyDescent="0.25"/>
  <sheetData>
    <row r="1" spans="1:5" x14ac:dyDescent="0.25">
      <c r="A1" s="2" t="s">
        <v>3</v>
      </c>
    </row>
    <row r="2" spans="1:5" x14ac:dyDescent="0.25">
      <c r="A2" t="s">
        <v>139</v>
      </c>
    </row>
    <row r="3" spans="1:5" x14ac:dyDescent="0.25">
      <c r="A3" s="2"/>
    </row>
    <row r="4" spans="1:5" x14ac:dyDescent="0.25">
      <c r="A4" s="2" t="s">
        <v>50</v>
      </c>
    </row>
    <row r="5" spans="1:5" x14ac:dyDescent="0.25">
      <c r="A5" s="2"/>
    </row>
    <row r="6" spans="1:5" ht="30" x14ac:dyDescent="0.25">
      <c r="A6" s="112" t="s">
        <v>140</v>
      </c>
      <c r="B6" s="112" t="s">
        <v>140</v>
      </c>
      <c r="C6" s="5" t="s">
        <v>51</v>
      </c>
      <c r="D6" s="26" t="s">
        <v>57</v>
      </c>
    </row>
    <row r="7" spans="1:5" ht="17.25" x14ac:dyDescent="0.25">
      <c r="A7" s="22">
        <v>0.25</v>
      </c>
      <c r="B7" s="89">
        <f>A7*25.4</f>
        <v>6.35</v>
      </c>
      <c r="C7" s="23">
        <f>PI()*(B7/2)^2</f>
        <v>31.669217443593606</v>
      </c>
      <c r="D7" s="95">
        <v>1.0029999999999999</v>
      </c>
      <c r="E7" t="s">
        <v>63</v>
      </c>
    </row>
    <row r="8" spans="1:5" ht="17.25" x14ac:dyDescent="0.25">
      <c r="A8" s="22" t="s">
        <v>10</v>
      </c>
      <c r="B8" s="22" t="s">
        <v>5</v>
      </c>
      <c r="C8" s="22" t="s">
        <v>52</v>
      </c>
      <c r="D8" s="5" t="s">
        <v>49</v>
      </c>
    </row>
    <row r="9" spans="1:5" x14ac:dyDescent="0.25">
      <c r="A9" s="2"/>
    </row>
    <row r="10" spans="1:5" x14ac:dyDescent="0.25">
      <c r="A10" s="24" t="s">
        <v>55</v>
      </c>
      <c r="B10" s="1">
        <v>60</v>
      </c>
      <c r="C10" t="s">
        <v>56</v>
      </c>
      <c r="E10" s="1" t="s">
        <v>47</v>
      </c>
    </row>
    <row r="12" spans="1:5" x14ac:dyDescent="0.25">
      <c r="A12" s="5" t="s">
        <v>59</v>
      </c>
      <c r="B12" s="26" t="s">
        <v>54</v>
      </c>
      <c r="C12" s="5" t="s">
        <v>2</v>
      </c>
      <c r="D12" s="5" t="s">
        <v>53</v>
      </c>
      <c r="E12" s="5" t="s">
        <v>58</v>
      </c>
    </row>
    <row r="13" spans="1:5" x14ac:dyDescent="0.25">
      <c r="A13" s="5">
        <v>1</v>
      </c>
      <c r="B13" s="5">
        <v>1</v>
      </c>
      <c r="C13" s="25">
        <f>1000*$B$10/B13</f>
        <v>60000</v>
      </c>
      <c r="D13" s="23">
        <f>C13/60/$C$7</f>
        <v>31.576403862239761</v>
      </c>
      <c r="E13" s="23">
        <f>D13*$B$7/$D$7</f>
        <v>199.91043322554586</v>
      </c>
    </row>
    <row r="14" spans="1:5" x14ac:dyDescent="0.25">
      <c r="A14" s="5">
        <v>2</v>
      </c>
      <c r="B14" s="5">
        <v>2</v>
      </c>
      <c r="C14" s="25">
        <f t="shared" ref="C14:C15" si="0">1000*$B$10/B14</f>
        <v>30000</v>
      </c>
      <c r="D14" s="23">
        <f t="shared" ref="D14:D15" si="1">C14/60/$C$7</f>
        <v>15.788201931119881</v>
      </c>
      <c r="E14" s="23">
        <f t="shared" ref="E14:E15" si="2">D14*$B$7/$D$7</f>
        <v>99.955216612772929</v>
      </c>
    </row>
    <row r="15" spans="1:5" x14ac:dyDescent="0.25">
      <c r="A15" s="5">
        <v>3</v>
      </c>
      <c r="B15" s="5">
        <v>4</v>
      </c>
      <c r="C15" s="25">
        <f t="shared" si="0"/>
        <v>15000</v>
      </c>
      <c r="D15" s="23">
        <f t="shared" si="1"/>
        <v>7.8941009655599403</v>
      </c>
      <c r="E15" s="23">
        <f t="shared" si="2"/>
        <v>49.977608306386465</v>
      </c>
    </row>
    <row r="16" spans="1:5" x14ac:dyDescent="0.25">
      <c r="A16" s="5">
        <v>4</v>
      </c>
      <c r="B16" s="5">
        <v>8</v>
      </c>
      <c r="C16" s="25">
        <f>1000*$B$10/B16</f>
        <v>7500</v>
      </c>
      <c r="D16" s="23">
        <f>C16/60/$C$7</f>
        <v>3.9470504827799702</v>
      </c>
      <c r="E16" s="23">
        <f>D16*$B$7/$D$7</f>
        <v>24.988804153193232</v>
      </c>
    </row>
    <row r="17" spans="1:9" ht="17.25" x14ac:dyDescent="0.25">
      <c r="A17" s="5"/>
      <c r="B17" s="5" t="s">
        <v>60</v>
      </c>
      <c r="C17" s="5" t="s">
        <v>61</v>
      </c>
      <c r="D17" s="5" t="s">
        <v>62</v>
      </c>
      <c r="E17" s="5"/>
    </row>
    <row r="18" spans="1:9" x14ac:dyDescent="0.25">
      <c r="A18" s="1"/>
      <c r="B18" s="1"/>
      <c r="C18" s="1"/>
      <c r="D18" s="1"/>
      <c r="E18" s="1"/>
    </row>
    <row r="19" spans="1:9" x14ac:dyDescent="0.25">
      <c r="A19" s="27" t="s">
        <v>64</v>
      </c>
    </row>
    <row r="21" spans="1:9" x14ac:dyDescent="0.25">
      <c r="B21" s="24" t="s">
        <v>65</v>
      </c>
      <c r="C21" s="1">
        <v>12</v>
      </c>
      <c r="D21" t="s">
        <v>5</v>
      </c>
      <c r="F21" s="1" t="s">
        <v>47</v>
      </c>
      <c r="H21" s="24"/>
      <c r="I21" s="29"/>
    </row>
    <row r="22" spans="1:9" x14ac:dyDescent="0.25">
      <c r="B22" s="24" t="s">
        <v>66</v>
      </c>
      <c r="C22" s="1">
        <v>1</v>
      </c>
      <c r="D22" t="s">
        <v>5</v>
      </c>
      <c r="F22" s="1"/>
      <c r="H22" s="24"/>
      <c r="I22" s="29"/>
    </row>
    <row r="24" spans="1:9" ht="17.25" x14ac:dyDescent="0.25">
      <c r="A24" s="28"/>
      <c r="B24" s="4" t="s">
        <v>4</v>
      </c>
      <c r="C24" s="4" t="s">
        <v>6</v>
      </c>
      <c r="D24" s="4" t="s">
        <v>7</v>
      </c>
      <c r="E24" s="4" t="s">
        <v>8</v>
      </c>
      <c r="F24" s="4" t="s">
        <v>9</v>
      </c>
    </row>
    <row r="25" spans="1:9" x14ac:dyDescent="0.25">
      <c r="A25">
        <v>1</v>
      </c>
      <c r="B25" s="7">
        <f>$C$13</f>
        <v>60000</v>
      </c>
      <c r="C25" s="1">
        <v>8</v>
      </c>
      <c r="D25" s="31">
        <f t="shared" ref="D25:D40" si="3">2*PI()*C25*$C$21</f>
        <v>603.18578948924028</v>
      </c>
      <c r="E25" s="9">
        <f>B25/D25/60</f>
        <v>1.6578639905405765</v>
      </c>
      <c r="F25" s="9">
        <f t="shared" ref="F25:F40" si="4">E25*$C$22/$D$7</f>
        <v>1.6529052747164275</v>
      </c>
    </row>
    <row r="26" spans="1:9" x14ac:dyDescent="0.25">
      <c r="B26" s="7">
        <f t="shared" ref="B26:B28" si="5">$C$13</f>
        <v>60000</v>
      </c>
      <c r="C26" s="1">
        <v>16</v>
      </c>
      <c r="D26" s="31">
        <f t="shared" si="3"/>
        <v>1206.3715789784806</v>
      </c>
      <c r="E26" s="9">
        <f t="shared" ref="E26:E28" si="6">B26/D26/60</f>
        <v>0.82893199527028827</v>
      </c>
      <c r="F26" s="9">
        <f t="shared" si="4"/>
        <v>0.82645263735821373</v>
      </c>
    </row>
    <row r="27" spans="1:9" x14ac:dyDescent="0.25">
      <c r="B27" s="7">
        <f t="shared" si="5"/>
        <v>60000</v>
      </c>
      <c r="C27" s="1">
        <v>32</v>
      </c>
      <c r="D27" s="31">
        <f t="shared" si="3"/>
        <v>2412.7431579569611</v>
      </c>
      <c r="E27" s="9">
        <f t="shared" si="6"/>
        <v>0.41446599763514413</v>
      </c>
      <c r="F27" s="9">
        <f t="shared" si="4"/>
        <v>0.41322631867910686</v>
      </c>
    </row>
    <row r="28" spans="1:9" x14ac:dyDescent="0.25">
      <c r="A28" s="28"/>
      <c r="B28" s="8">
        <f t="shared" si="5"/>
        <v>60000</v>
      </c>
      <c r="C28" s="4">
        <v>64</v>
      </c>
      <c r="D28" s="32">
        <f t="shared" si="3"/>
        <v>4825.4863159139222</v>
      </c>
      <c r="E28" s="3">
        <f t="shared" si="6"/>
        <v>0.20723299881757207</v>
      </c>
      <c r="F28" s="3">
        <f t="shared" si="4"/>
        <v>0.20661315933955343</v>
      </c>
    </row>
    <row r="29" spans="1:9" x14ac:dyDescent="0.25">
      <c r="A29">
        <v>2</v>
      </c>
      <c r="B29" s="7">
        <f>$C$14</f>
        <v>30000</v>
      </c>
      <c r="C29" s="1">
        <v>8</v>
      </c>
      <c r="D29" s="31">
        <f t="shared" si="3"/>
        <v>603.18578948924028</v>
      </c>
      <c r="E29" s="9">
        <f>B29/D29/60</f>
        <v>0.82893199527028827</v>
      </c>
      <c r="F29" s="9">
        <f t="shared" si="4"/>
        <v>0.82645263735821373</v>
      </c>
    </row>
    <row r="30" spans="1:9" x14ac:dyDescent="0.25">
      <c r="B30" s="7">
        <f t="shared" ref="B30:B32" si="7">$C$14</f>
        <v>30000</v>
      </c>
      <c r="C30" s="1">
        <v>16</v>
      </c>
      <c r="D30" s="31">
        <f t="shared" si="3"/>
        <v>1206.3715789784806</v>
      </c>
      <c r="E30" s="9">
        <f t="shared" ref="E30:E32" si="8">B30/D30/60</f>
        <v>0.41446599763514413</v>
      </c>
      <c r="F30" s="9">
        <f t="shared" si="4"/>
        <v>0.41322631867910686</v>
      </c>
    </row>
    <row r="31" spans="1:9" x14ac:dyDescent="0.25">
      <c r="B31" s="7">
        <f t="shared" si="7"/>
        <v>30000</v>
      </c>
      <c r="C31" s="1">
        <v>32</v>
      </c>
      <c r="D31" s="31">
        <f t="shared" si="3"/>
        <v>2412.7431579569611</v>
      </c>
      <c r="E31" s="9">
        <f t="shared" si="8"/>
        <v>0.20723299881757207</v>
      </c>
      <c r="F31" s="9">
        <f t="shared" si="4"/>
        <v>0.20661315933955343</v>
      </c>
    </row>
    <row r="32" spans="1:9" x14ac:dyDescent="0.25">
      <c r="A32" s="28"/>
      <c r="B32" s="8">
        <f t="shared" si="7"/>
        <v>30000</v>
      </c>
      <c r="C32" s="4">
        <v>64</v>
      </c>
      <c r="D32" s="32">
        <f t="shared" si="3"/>
        <v>4825.4863159139222</v>
      </c>
      <c r="E32" s="3">
        <f t="shared" si="8"/>
        <v>0.10361649940878603</v>
      </c>
      <c r="F32" s="3">
        <f t="shared" si="4"/>
        <v>0.10330657966977672</v>
      </c>
    </row>
    <row r="33" spans="1:6" x14ac:dyDescent="0.25">
      <c r="A33">
        <v>3</v>
      </c>
      <c r="B33" s="7">
        <f>$C$15</f>
        <v>15000</v>
      </c>
      <c r="C33" s="1">
        <v>8</v>
      </c>
      <c r="D33" s="31">
        <f t="shared" si="3"/>
        <v>603.18578948924028</v>
      </c>
      <c r="E33" s="9">
        <f>B33/D33/60</f>
        <v>0.41446599763514413</v>
      </c>
      <c r="F33" s="9">
        <f t="shared" si="4"/>
        <v>0.41322631867910686</v>
      </c>
    </row>
    <row r="34" spans="1:6" x14ac:dyDescent="0.25">
      <c r="B34" s="7">
        <f t="shared" ref="B34:B36" si="9">$C$15</f>
        <v>15000</v>
      </c>
      <c r="C34" s="1">
        <v>16</v>
      </c>
      <c r="D34" s="31">
        <f t="shared" si="3"/>
        <v>1206.3715789784806</v>
      </c>
      <c r="E34" s="9">
        <f t="shared" ref="E34:E36" si="10">B34/D34/60</f>
        <v>0.20723299881757207</v>
      </c>
      <c r="F34" s="9">
        <f t="shared" si="4"/>
        <v>0.20661315933955343</v>
      </c>
    </row>
    <row r="35" spans="1:6" x14ac:dyDescent="0.25">
      <c r="B35" s="7">
        <f t="shared" si="9"/>
        <v>15000</v>
      </c>
      <c r="C35" s="1">
        <v>32</v>
      </c>
      <c r="D35" s="31">
        <f t="shared" si="3"/>
        <v>2412.7431579569611</v>
      </c>
      <c r="E35" s="9">
        <f t="shared" si="10"/>
        <v>0.10361649940878603</v>
      </c>
      <c r="F35" s="9">
        <f t="shared" si="4"/>
        <v>0.10330657966977672</v>
      </c>
    </row>
    <row r="36" spans="1:6" x14ac:dyDescent="0.25">
      <c r="A36" s="28"/>
      <c r="B36" s="8">
        <f t="shared" si="9"/>
        <v>15000</v>
      </c>
      <c r="C36" s="4">
        <v>64</v>
      </c>
      <c r="D36" s="32">
        <f t="shared" si="3"/>
        <v>4825.4863159139222</v>
      </c>
      <c r="E36" s="90">
        <f t="shared" si="10"/>
        <v>5.1808249704393017E-2</v>
      </c>
      <c r="F36" s="90">
        <f t="shared" si="4"/>
        <v>5.1653289834888358E-2</v>
      </c>
    </row>
    <row r="37" spans="1:6" x14ac:dyDescent="0.25">
      <c r="A37">
        <v>4</v>
      </c>
      <c r="B37" s="7">
        <f>$C$16</f>
        <v>7500</v>
      </c>
      <c r="C37" s="1">
        <v>8</v>
      </c>
      <c r="D37" s="31">
        <f t="shared" si="3"/>
        <v>603.18578948924028</v>
      </c>
      <c r="E37" s="9">
        <f>B37/D37/60</f>
        <v>0.20723299881757207</v>
      </c>
      <c r="F37" s="9">
        <f t="shared" si="4"/>
        <v>0.20661315933955343</v>
      </c>
    </row>
    <row r="38" spans="1:6" x14ac:dyDescent="0.25">
      <c r="B38" s="7">
        <f t="shared" ref="B38:B40" si="11">$C$16</f>
        <v>7500</v>
      </c>
      <c r="C38" s="1">
        <v>16</v>
      </c>
      <c r="D38" s="31">
        <f t="shared" si="3"/>
        <v>1206.3715789784806</v>
      </c>
      <c r="E38" s="9">
        <f t="shared" ref="E38:E40" si="12">B38/D38/60</f>
        <v>0.10361649940878603</v>
      </c>
      <c r="F38" s="9">
        <f t="shared" si="4"/>
        <v>0.10330657966977672</v>
      </c>
    </row>
    <row r="39" spans="1:6" x14ac:dyDescent="0.25">
      <c r="B39" s="7">
        <f t="shared" si="11"/>
        <v>7500</v>
      </c>
      <c r="C39" s="1">
        <v>32</v>
      </c>
      <c r="D39" s="31">
        <f t="shared" si="3"/>
        <v>2412.7431579569611</v>
      </c>
      <c r="E39" s="88">
        <f t="shared" si="12"/>
        <v>5.1808249704393017E-2</v>
      </c>
      <c r="F39" s="88">
        <f t="shared" si="4"/>
        <v>5.1653289834888358E-2</v>
      </c>
    </row>
    <row r="40" spans="1:6" x14ac:dyDescent="0.25">
      <c r="B40" s="7">
        <f t="shared" si="11"/>
        <v>7500</v>
      </c>
      <c r="C40" s="1">
        <v>64</v>
      </c>
      <c r="D40" s="31">
        <f t="shared" si="3"/>
        <v>4825.4863159139222</v>
      </c>
      <c r="E40" s="88">
        <f t="shared" si="12"/>
        <v>2.5904124852196508E-2</v>
      </c>
      <c r="F40" s="88">
        <f t="shared" si="4"/>
        <v>2.5826644917444179E-2</v>
      </c>
    </row>
    <row r="41" spans="1:6" x14ac:dyDescent="0.25">
      <c r="B41" s="7"/>
      <c r="C41" s="1"/>
      <c r="D41" s="9"/>
      <c r="E41" s="9"/>
      <c r="F41" s="9"/>
    </row>
  </sheetData>
  <pageMargins left="0.7" right="0.7" top="0.75" bottom="0.75" header="0.3" footer="0.3"/>
  <pageSetup scale="73" orientation="portrait" horizontalDpi="1200" verticalDpi="1200" r:id="rId1"/>
  <headerFooter>
    <oddFooter>&amp;L&amp;Z&amp;F &amp;A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6"/>
  <sheetViews>
    <sheetView workbookViewId="0"/>
  </sheetViews>
  <sheetFormatPr defaultRowHeight="15" x14ac:dyDescent="0.25"/>
  <cols>
    <col min="1" max="1" width="14.5703125" bestFit="1" customWidth="1"/>
    <col min="8" max="8" width="10.28515625" bestFit="1" customWidth="1"/>
  </cols>
  <sheetData>
    <row r="1" spans="1:9" x14ac:dyDescent="0.25">
      <c r="A1" s="17" t="s">
        <v>88</v>
      </c>
      <c r="B1" s="57" t="s">
        <v>17</v>
      </c>
      <c r="C1" s="58">
        <v>1.2</v>
      </c>
      <c r="D1" s="57" t="s">
        <v>0</v>
      </c>
      <c r="E1" s="16"/>
      <c r="F1" s="57" t="s">
        <v>18</v>
      </c>
      <c r="G1" s="58">
        <v>0.36</v>
      </c>
      <c r="H1" s="57" t="s">
        <v>19</v>
      </c>
      <c r="I1" s="71" t="s">
        <v>89</v>
      </c>
    </row>
    <row r="2" spans="1:9" x14ac:dyDescent="0.25">
      <c r="A2" s="18" t="s">
        <v>141</v>
      </c>
      <c r="B2" s="57" t="s">
        <v>20</v>
      </c>
      <c r="C2" s="58">
        <v>0.1</v>
      </c>
      <c r="D2" s="57" t="s">
        <v>0</v>
      </c>
      <c r="E2" s="16"/>
      <c r="F2" s="57" t="s">
        <v>21</v>
      </c>
      <c r="G2" s="96">
        <v>2.1399999999999998E-5</v>
      </c>
      <c r="H2" s="57" t="s">
        <v>22</v>
      </c>
      <c r="I2" s="71" t="s">
        <v>91</v>
      </c>
    </row>
    <row r="4" spans="1:9" x14ac:dyDescent="0.25">
      <c r="A4" s="59" t="s">
        <v>23</v>
      </c>
      <c r="B4" s="62" t="s">
        <v>90</v>
      </c>
      <c r="C4" s="19">
        <v>60</v>
      </c>
      <c r="D4" s="19" t="s">
        <v>24</v>
      </c>
      <c r="E4" s="17" t="s">
        <v>25</v>
      </c>
      <c r="F4" s="16"/>
      <c r="G4" s="16"/>
      <c r="H4" s="16"/>
    </row>
    <row r="5" spans="1:9" x14ac:dyDescent="0.25">
      <c r="A5" s="60" t="s">
        <v>26</v>
      </c>
      <c r="B5" s="61" t="s">
        <v>27</v>
      </c>
      <c r="C5" s="61" t="s">
        <v>28</v>
      </c>
      <c r="D5" s="61" t="s">
        <v>29</v>
      </c>
      <c r="E5" s="61" t="s">
        <v>30</v>
      </c>
      <c r="F5" s="61" t="s">
        <v>31</v>
      </c>
      <c r="G5" s="61" t="s">
        <v>32</v>
      </c>
      <c r="H5" s="61" t="s">
        <v>11</v>
      </c>
    </row>
    <row r="6" spans="1:9" x14ac:dyDescent="0.25">
      <c r="A6" s="62">
        <v>10</v>
      </c>
      <c r="B6" s="20">
        <f>SQRT(A6/PI()/$G$1/$C$1)</f>
        <v>2.7144583994606664</v>
      </c>
      <c r="C6" s="20">
        <f>2*PI()*$C$1*B6</f>
        <v>20.466534158929768</v>
      </c>
      <c r="D6" s="20">
        <f>$C$4/C6</f>
        <v>2.9316150714175198</v>
      </c>
      <c r="E6" s="63">
        <f>D6/60</f>
        <v>4.8860251190291998E-2</v>
      </c>
      <c r="F6" s="65">
        <f>D6/$G$1</f>
        <v>8.1433751983819995</v>
      </c>
      <c r="G6" s="63">
        <f>E6/$G$1</f>
        <v>0.13572291997303335</v>
      </c>
      <c r="H6" s="72">
        <f>G6*$C$2/$G$2</f>
        <v>634.21925221043625</v>
      </c>
    </row>
    <row r="7" spans="1:9" x14ac:dyDescent="0.25">
      <c r="A7" s="62">
        <v>20</v>
      </c>
      <c r="B7" s="20">
        <f t="shared" ref="B7:B11" si="0">SQRT(A7/PI()/$G$1/$C$1)</f>
        <v>3.8388238830148391</v>
      </c>
      <c r="C7" s="20">
        <f t="shared" ref="C7:C11" si="1">2*PI()*$C$1*B7</f>
        <v>28.944050182330709</v>
      </c>
      <c r="D7" s="20">
        <f t="shared" ref="D7:D11" si="2">$C$4/C7</f>
        <v>2.0729648968280125</v>
      </c>
      <c r="E7" s="64">
        <f t="shared" ref="E7:E11" si="3">D7/60</f>
        <v>3.4549414947133546E-2</v>
      </c>
      <c r="F7" s="65">
        <f t="shared" ref="F7:F11" si="4">D7/$G$1</f>
        <v>5.7582358245222576</v>
      </c>
      <c r="G7" s="63">
        <f t="shared" ref="G7:G11" si="5">E7/$G$1</f>
        <v>9.5970597075370964E-2</v>
      </c>
      <c r="H7" s="72">
        <f t="shared" ref="H7:H11" si="6">G7*$C$2/$G$2</f>
        <v>448.46073399706063</v>
      </c>
    </row>
    <row r="8" spans="1:9" ht="15.75" thickBot="1" x14ac:dyDescent="0.3">
      <c r="A8" s="62">
        <v>30</v>
      </c>
      <c r="B8" s="20">
        <f t="shared" si="0"/>
        <v>4.7015798628979697</v>
      </c>
      <c r="C8" s="20">
        <f t="shared" si="1"/>
        <v>35.449077018110323</v>
      </c>
      <c r="D8" s="20">
        <f t="shared" si="2"/>
        <v>1.6925687506432687</v>
      </c>
      <c r="E8" s="64">
        <f t="shared" si="3"/>
        <v>2.8209479177387812E-2</v>
      </c>
      <c r="F8" s="20">
        <f t="shared" si="4"/>
        <v>4.7015798628979688</v>
      </c>
      <c r="G8" s="63">
        <f t="shared" si="5"/>
        <v>7.8359664381632818E-2</v>
      </c>
      <c r="H8" s="72">
        <f t="shared" si="6"/>
        <v>366.16665598893843</v>
      </c>
    </row>
    <row r="9" spans="1:9" ht="15.75" thickBot="1" x14ac:dyDescent="0.3">
      <c r="A9" s="62">
        <v>40</v>
      </c>
      <c r="B9" s="20">
        <f t="shared" si="0"/>
        <v>5.4289167989213327</v>
      </c>
      <c r="C9" s="20">
        <f t="shared" si="1"/>
        <v>40.933068317859536</v>
      </c>
      <c r="D9" s="20">
        <f t="shared" si="2"/>
        <v>1.4658075357087599</v>
      </c>
      <c r="E9" s="64">
        <f t="shared" si="3"/>
        <v>2.4430125595145999E-2</v>
      </c>
      <c r="F9" s="20">
        <f t="shared" si="4"/>
        <v>4.0716875991909998</v>
      </c>
      <c r="G9" s="63">
        <f t="shared" si="5"/>
        <v>6.7861459986516673E-2</v>
      </c>
      <c r="H9" s="76">
        <f t="shared" si="6"/>
        <v>317.10962610521813</v>
      </c>
    </row>
    <row r="10" spans="1:9" x14ac:dyDescent="0.25">
      <c r="A10" s="62">
        <v>50</v>
      </c>
      <c r="B10" s="20">
        <f t="shared" si="0"/>
        <v>6.0697135032893286</v>
      </c>
      <c r="C10" s="20">
        <f t="shared" si="1"/>
        <v>45.764561643188451</v>
      </c>
      <c r="D10" s="20">
        <f t="shared" si="2"/>
        <v>1.3110581167104949</v>
      </c>
      <c r="E10" s="64">
        <f t="shared" si="3"/>
        <v>2.1850968611841583E-2</v>
      </c>
      <c r="F10" s="20">
        <f t="shared" si="4"/>
        <v>3.641828101973597</v>
      </c>
      <c r="G10" s="63">
        <f t="shared" si="5"/>
        <v>6.0697135032893285E-2</v>
      </c>
      <c r="H10" s="72">
        <f t="shared" si="6"/>
        <v>283.63147211632378</v>
      </c>
    </row>
    <row r="11" spans="1:9" x14ac:dyDescent="0.25">
      <c r="A11" s="62">
        <v>60</v>
      </c>
      <c r="B11" s="20">
        <f t="shared" si="0"/>
        <v>6.649038006690545</v>
      </c>
      <c r="C11" s="20">
        <f t="shared" si="1"/>
        <v>50.13256549262001</v>
      </c>
      <c r="D11" s="20">
        <f t="shared" si="2"/>
        <v>1.1968268412042979</v>
      </c>
      <c r="E11" s="64">
        <f t="shared" si="3"/>
        <v>1.9947114020071634E-2</v>
      </c>
      <c r="F11" s="20">
        <f t="shared" si="4"/>
        <v>3.3245190033452721</v>
      </c>
      <c r="G11" s="63">
        <f t="shared" si="5"/>
        <v>5.5408650055754544E-2</v>
      </c>
      <c r="H11" s="72">
        <f t="shared" si="6"/>
        <v>258.91892549418014</v>
      </c>
      <c r="I11" s="78" t="s">
        <v>95</v>
      </c>
    </row>
    <row r="12" spans="1:9" x14ac:dyDescent="0.25">
      <c r="A12" s="62"/>
      <c r="B12" s="16"/>
      <c r="C12" s="16"/>
      <c r="D12" s="16"/>
      <c r="E12" s="16"/>
      <c r="F12" s="16"/>
      <c r="G12" s="16"/>
      <c r="H12" s="16"/>
    </row>
    <row r="13" spans="1:9" x14ac:dyDescent="0.25">
      <c r="A13" s="59" t="s">
        <v>33</v>
      </c>
      <c r="B13" s="62" t="s">
        <v>90</v>
      </c>
      <c r="C13" s="19">
        <v>30</v>
      </c>
      <c r="D13" s="19" t="s">
        <v>24</v>
      </c>
      <c r="E13" s="17" t="s">
        <v>34</v>
      </c>
      <c r="F13" s="16"/>
      <c r="G13" s="16"/>
      <c r="H13" s="16"/>
    </row>
    <row r="14" spans="1:9" x14ac:dyDescent="0.25">
      <c r="A14" s="60" t="s">
        <v>26</v>
      </c>
      <c r="B14" s="61" t="s">
        <v>27</v>
      </c>
      <c r="C14" s="61" t="s">
        <v>28</v>
      </c>
      <c r="D14" s="61" t="s">
        <v>29</v>
      </c>
      <c r="E14" s="61" t="s">
        <v>30</v>
      </c>
      <c r="F14" s="61" t="s">
        <v>31</v>
      </c>
      <c r="G14" s="61" t="s">
        <v>32</v>
      </c>
      <c r="H14" s="61" t="s">
        <v>11</v>
      </c>
    </row>
    <row r="15" spans="1:9" x14ac:dyDescent="0.25">
      <c r="A15" s="62">
        <v>10</v>
      </c>
      <c r="B15" s="20">
        <f>SQRT(A15/PI()/$G$1/$C$1)</f>
        <v>2.7144583994606664</v>
      </c>
      <c r="C15" s="20">
        <f>2*PI()*$C$1*B15</f>
        <v>20.466534158929768</v>
      </c>
      <c r="D15" s="20">
        <f>$C$13/C15</f>
        <v>1.4658075357087599</v>
      </c>
      <c r="E15" s="63">
        <f>D15/60</f>
        <v>2.4430125595145999E-2</v>
      </c>
      <c r="F15" s="65">
        <f>D15/$G$1</f>
        <v>4.0716875991909998</v>
      </c>
      <c r="G15" s="63">
        <f>E15/$G$1</f>
        <v>6.7861459986516673E-2</v>
      </c>
      <c r="H15" s="72">
        <f>G15*$C$2/$G$2</f>
        <v>317.10962610521813</v>
      </c>
      <c r="I15" s="16"/>
    </row>
    <row r="16" spans="1:9" x14ac:dyDescent="0.25">
      <c r="A16" s="62">
        <v>20</v>
      </c>
      <c r="B16" s="20">
        <f t="shared" ref="B16:B20" si="7">SQRT(A16/PI()/$G$1/$C$1)</f>
        <v>3.8388238830148391</v>
      </c>
      <c r="C16" s="20">
        <f t="shared" ref="C16:C20" si="8">2*PI()*$C$1*B16</f>
        <v>28.944050182330709</v>
      </c>
      <c r="D16" s="20">
        <f t="shared" ref="D16:D20" si="9">$C$13/C16</f>
        <v>1.0364824484140063</v>
      </c>
      <c r="E16" s="64">
        <f t="shared" ref="E16:E20" si="10">D16/60</f>
        <v>1.7274707473566773E-2</v>
      </c>
      <c r="F16" s="65">
        <f t="shared" ref="F16:F20" si="11">D16/$G$1</f>
        <v>2.8791179122611288</v>
      </c>
      <c r="G16" s="63">
        <f t="shared" ref="G16:G20" si="12">E16/$G$1</f>
        <v>4.7985298537685482E-2</v>
      </c>
      <c r="H16" s="72">
        <f t="shared" ref="H16:H20" si="13">G16*$C$2/$G$2</f>
        <v>224.23036699853031</v>
      </c>
      <c r="I16" s="16"/>
    </row>
    <row r="17" spans="1:9" ht="15.75" thickBot="1" x14ac:dyDescent="0.3">
      <c r="A17" s="62">
        <v>30</v>
      </c>
      <c r="B17" s="20">
        <f t="shared" si="7"/>
        <v>4.7015798628979697</v>
      </c>
      <c r="C17" s="20">
        <f t="shared" si="8"/>
        <v>35.449077018110323</v>
      </c>
      <c r="D17" s="20">
        <f t="shared" si="9"/>
        <v>0.84628437532163436</v>
      </c>
      <c r="E17" s="64">
        <f t="shared" si="10"/>
        <v>1.4104739588693906E-2</v>
      </c>
      <c r="F17" s="20">
        <f t="shared" si="11"/>
        <v>2.3507899314489844</v>
      </c>
      <c r="G17" s="63">
        <f t="shared" si="12"/>
        <v>3.9179832190816409E-2</v>
      </c>
      <c r="H17" s="72">
        <f t="shared" si="13"/>
        <v>183.08332799446922</v>
      </c>
      <c r="I17" s="16"/>
    </row>
    <row r="18" spans="1:9" ht="15.75" thickBot="1" x14ac:dyDescent="0.3">
      <c r="A18" s="62">
        <v>40</v>
      </c>
      <c r="B18" s="20">
        <f t="shared" si="7"/>
        <v>5.4289167989213327</v>
      </c>
      <c r="C18" s="20">
        <f t="shared" si="8"/>
        <v>40.933068317859536</v>
      </c>
      <c r="D18" s="20">
        <f t="shared" si="9"/>
        <v>0.73290376785437994</v>
      </c>
      <c r="E18" s="64">
        <f t="shared" si="10"/>
        <v>1.2215062797572999E-2</v>
      </c>
      <c r="F18" s="20">
        <f t="shared" si="11"/>
        <v>2.0358437995954999</v>
      </c>
      <c r="G18" s="63">
        <f t="shared" si="12"/>
        <v>3.3930729993258336E-2</v>
      </c>
      <c r="H18" s="76">
        <f t="shared" si="13"/>
        <v>158.55481305260906</v>
      </c>
      <c r="I18" s="16"/>
    </row>
    <row r="19" spans="1:9" x14ac:dyDescent="0.25">
      <c r="A19" s="62">
        <v>50</v>
      </c>
      <c r="B19" s="20">
        <f t="shared" si="7"/>
        <v>6.0697135032893286</v>
      </c>
      <c r="C19" s="20">
        <f t="shared" si="8"/>
        <v>45.764561643188451</v>
      </c>
      <c r="D19" s="20">
        <f t="shared" si="9"/>
        <v>0.65552905835524744</v>
      </c>
      <c r="E19" s="64">
        <f t="shared" si="10"/>
        <v>1.0925484305920791E-2</v>
      </c>
      <c r="F19" s="20">
        <f t="shared" si="11"/>
        <v>1.8209140509867985</v>
      </c>
      <c r="G19" s="63">
        <f t="shared" si="12"/>
        <v>3.0348567516446642E-2</v>
      </c>
      <c r="H19" s="72">
        <f t="shared" si="13"/>
        <v>141.81573605816189</v>
      </c>
      <c r="I19" s="16"/>
    </row>
    <row r="20" spans="1:9" x14ac:dyDescent="0.25">
      <c r="A20" s="62">
        <v>60</v>
      </c>
      <c r="B20" s="20">
        <f t="shared" si="7"/>
        <v>6.649038006690545</v>
      </c>
      <c r="C20" s="20">
        <f t="shared" si="8"/>
        <v>50.13256549262001</v>
      </c>
      <c r="D20" s="20">
        <f t="shared" si="9"/>
        <v>0.59841342060214897</v>
      </c>
      <c r="E20" s="64">
        <f t="shared" si="10"/>
        <v>9.9735570100358169E-3</v>
      </c>
      <c r="F20" s="20">
        <f t="shared" si="11"/>
        <v>1.662259501672636</v>
      </c>
      <c r="G20" s="63">
        <f t="shared" si="12"/>
        <v>2.7704325027877272E-2</v>
      </c>
      <c r="H20" s="72">
        <f t="shared" si="13"/>
        <v>129.45946274709007</v>
      </c>
      <c r="I20" s="78" t="s">
        <v>95</v>
      </c>
    </row>
    <row r="21" spans="1:9" x14ac:dyDescent="0.25">
      <c r="A21" s="62"/>
      <c r="B21" s="16"/>
      <c r="C21" s="16"/>
      <c r="D21" s="16"/>
      <c r="E21" s="16"/>
      <c r="F21" s="16"/>
      <c r="G21" s="16"/>
      <c r="H21" s="16"/>
      <c r="I21" s="16"/>
    </row>
    <row r="22" spans="1:9" x14ac:dyDescent="0.25">
      <c r="A22" s="59" t="s">
        <v>35</v>
      </c>
      <c r="B22" s="62" t="s">
        <v>90</v>
      </c>
      <c r="C22" s="19">
        <v>15</v>
      </c>
      <c r="D22" s="19" t="s">
        <v>24</v>
      </c>
      <c r="E22" s="17" t="s">
        <v>36</v>
      </c>
      <c r="F22" s="16"/>
      <c r="G22" s="16"/>
      <c r="H22" s="16"/>
      <c r="I22" s="16"/>
    </row>
    <row r="23" spans="1:9" x14ac:dyDescent="0.25">
      <c r="A23" s="60" t="s">
        <v>26</v>
      </c>
      <c r="B23" s="61" t="s">
        <v>27</v>
      </c>
      <c r="C23" s="61" t="s">
        <v>28</v>
      </c>
      <c r="D23" s="61" t="s">
        <v>29</v>
      </c>
      <c r="E23" s="61" t="s">
        <v>30</v>
      </c>
      <c r="F23" s="61" t="s">
        <v>31</v>
      </c>
      <c r="G23" s="61" t="s">
        <v>32</v>
      </c>
      <c r="H23" s="61" t="s">
        <v>11</v>
      </c>
      <c r="I23" s="21"/>
    </row>
    <row r="24" spans="1:9" x14ac:dyDescent="0.25">
      <c r="A24" s="62">
        <v>10</v>
      </c>
      <c r="B24" s="20">
        <f>SQRT(A24/PI()/$G$1/$C$1)</f>
        <v>2.7144583994606664</v>
      </c>
      <c r="C24" s="20">
        <f>2*PI()*$C$1*B24</f>
        <v>20.466534158929768</v>
      </c>
      <c r="D24" s="20">
        <f>$C$22/C24</f>
        <v>0.73290376785437994</v>
      </c>
      <c r="E24" s="63">
        <f>D24/60</f>
        <v>1.2215062797572999E-2</v>
      </c>
      <c r="F24" s="65">
        <f>D24/$G$1</f>
        <v>2.0358437995954999</v>
      </c>
      <c r="G24" s="63">
        <f>E24/$G$1</f>
        <v>3.3930729993258336E-2</v>
      </c>
      <c r="H24" s="72">
        <f>G24*$C$2/$G$2</f>
        <v>158.55481305260906</v>
      </c>
      <c r="I24" s="16"/>
    </row>
    <row r="25" spans="1:9" x14ac:dyDescent="0.25">
      <c r="A25" s="62">
        <v>20</v>
      </c>
      <c r="B25" s="20">
        <f t="shared" ref="B25:B31" si="14">SQRT(A25/PI()/$G$1/$C$1)</f>
        <v>3.8388238830148391</v>
      </c>
      <c r="C25" s="20">
        <f t="shared" ref="C25:C31" si="15">2*PI()*$C$1*B25</f>
        <v>28.944050182330709</v>
      </c>
      <c r="D25" s="20">
        <f t="shared" ref="D25:D31" si="16">$C$22/C25</f>
        <v>0.51824122420700314</v>
      </c>
      <c r="E25" s="64">
        <f t="shared" ref="E25:E31" si="17">D25/60</f>
        <v>8.6373537367833864E-3</v>
      </c>
      <c r="F25" s="65">
        <f t="shared" ref="F25:F29" si="18">D25/$G$1</f>
        <v>1.4395589561305644</v>
      </c>
      <c r="G25" s="63">
        <f t="shared" ref="G25:G29" si="19">E25/$G$1</f>
        <v>2.3992649268842741E-2</v>
      </c>
      <c r="H25" s="72">
        <f t="shared" ref="H25:H31" si="20">G25*$C$2/$G$2</f>
        <v>112.11518349926516</v>
      </c>
      <c r="I25" s="16"/>
    </row>
    <row r="26" spans="1:9" ht="15.75" thickBot="1" x14ac:dyDescent="0.3">
      <c r="A26" s="62">
        <v>30</v>
      </c>
      <c r="B26" s="20">
        <f t="shared" si="14"/>
        <v>4.7015798628979697</v>
      </c>
      <c r="C26" s="20">
        <f t="shared" si="15"/>
        <v>35.449077018110323</v>
      </c>
      <c r="D26" s="20">
        <f t="shared" si="16"/>
        <v>0.42314218766081718</v>
      </c>
      <c r="E26" s="64">
        <f t="shared" si="17"/>
        <v>7.052369794346953E-3</v>
      </c>
      <c r="F26" s="20">
        <f t="shared" si="18"/>
        <v>1.1753949657244922</v>
      </c>
      <c r="G26" s="63">
        <f t="shared" si="19"/>
        <v>1.9589916095408205E-2</v>
      </c>
      <c r="H26" s="72">
        <f t="shared" si="20"/>
        <v>91.541663997234608</v>
      </c>
      <c r="I26" s="16"/>
    </row>
    <row r="27" spans="1:9" ht="15.75" thickBot="1" x14ac:dyDescent="0.3">
      <c r="A27" s="62">
        <v>40</v>
      </c>
      <c r="B27" s="20">
        <f t="shared" si="14"/>
        <v>5.4289167989213327</v>
      </c>
      <c r="C27" s="20">
        <f t="shared" si="15"/>
        <v>40.933068317859536</v>
      </c>
      <c r="D27" s="20">
        <f t="shared" si="16"/>
        <v>0.36645188392718997</v>
      </c>
      <c r="E27" s="64">
        <f t="shared" si="17"/>
        <v>6.1075313987864997E-3</v>
      </c>
      <c r="F27" s="20">
        <f t="shared" si="18"/>
        <v>1.0179218997977499</v>
      </c>
      <c r="G27" s="63">
        <f t="shared" si="19"/>
        <v>1.6965364996629168E-2</v>
      </c>
      <c r="H27" s="76">
        <f t="shared" si="20"/>
        <v>79.277406526304532</v>
      </c>
      <c r="I27" s="16"/>
    </row>
    <row r="28" spans="1:9" x14ac:dyDescent="0.25">
      <c r="A28" s="62">
        <v>50</v>
      </c>
      <c r="B28" s="20">
        <f t="shared" si="14"/>
        <v>6.0697135032893286</v>
      </c>
      <c r="C28" s="20">
        <f t="shared" si="15"/>
        <v>45.764561643188451</v>
      </c>
      <c r="D28" s="20">
        <f t="shared" si="16"/>
        <v>0.32776452917762372</v>
      </c>
      <c r="E28" s="64">
        <f t="shared" si="17"/>
        <v>5.4627421529603957E-3</v>
      </c>
      <c r="F28" s="20">
        <f t="shared" si="18"/>
        <v>0.91045702549339924</v>
      </c>
      <c r="G28" s="63">
        <f t="shared" si="19"/>
        <v>1.5174283758223321E-2</v>
      </c>
      <c r="H28" s="72">
        <f t="shared" si="20"/>
        <v>70.907868029080944</v>
      </c>
      <c r="I28" s="16"/>
    </row>
    <row r="29" spans="1:9" s="74" customFormat="1" x14ac:dyDescent="0.25">
      <c r="A29" s="62">
        <v>60</v>
      </c>
      <c r="B29" s="20">
        <f t="shared" si="14"/>
        <v>6.649038006690545</v>
      </c>
      <c r="C29" s="20">
        <f t="shared" si="15"/>
        <v>50.13256549262001</v>
      </c>
      <c r="D29" s="20">
        <f t="shared" si="16"/>
        <v>0.29920671030107449</v>
      </c>
      <c r="E29" s="64">
        <f t="shared" si="17"/>
        <v>4.9867785050179084E-3</v>
      </c>
      <c r="F29" s="20">
        <f t="shared" si="18"/>
        <v>0.83112975083631802</v>
      </c>
      <c r="G29" s="63">
        <f t="shared" si="19"/>
        <v>1.3852162513938636E-2</v>
      </c>
      <c r="H29" s="72">
        <f t="shared" si="20"/>
        <v>64.729731373545036</v>
      </c>
      <c r="I29" s="78" t="s">
        <v>95</v>
      </c>
    </row>
    <row r="30" spans="1:9" s="85" customFormat="1" x14ac:dyDescent="0.25">
      <c r="A30" s="79">
        <v>120</v>
      </c>
      <c r="B30" s="80">
        <f t="shared" si="14"/>
        <v>9.4031597257959394</v>
      </c>
      <c r="C30" s="80">
        <f t="shared" si="15"/>
        <v>70.898154036220646</v>
      </c>
      <c r="D30" s="80">
        <f t="shared" si="16"/>
        <v>0.21157109383040859</v>
      </c>
      <c r="E30" s="81">
        <f t="shared" si="17"/>
        <v>3.5261848971734765E-3</v>
      </c>
      <c r="F30" s="80">
        <f t="shared" ref="F30:F31" si="21">D30/$G$1</f>
        <v>0.5876974828622461</v>
      </c>
      <c r="G30" s="82">
        <f t="shared" ref="G30:G31" si="22">E30/$G$1</f>
        <v>9.7949580477041023E-3</v>
      </c>
      <c r="H30" s="83">
        <f t="shared" si="20"/>
        <v>45.770831998617304</v>
      </c>
      <c r="I30" s="84" t="s">
        <v>96</v>
      </c>
    </row>
    <row r="31" spans="1:9" s="85" customFormat="1" x14ac:dyDescent="0.25">
      <c r="A31" s="79">
        <v>160</v>
      </c>
      <c r="B31" s="80">
        <f t="shared" si="14"/>
        <v>10.857833597842665</v>
      </c>
      <c r="C31" s="80">
        <f t="shared" si="15"/>
        <v>81.866136635719073</v>
      </c>
      <c r="D31" s="80">
        <f t="shared" si="16"/>
        <v>0.18322594196359498</v>
      </c>
      <c r="E31" s="81">
        <f t="shared" si="17"/>
        <v>3.0537656993932499E-3</v>
      </c>
      <c r="F31" s="80">
        <f t="shared" si="21"/>
        <v>0.50896094989887497</v>
      </c>
      <c r="G31" s="82">
        <f t="shared" si="22"/>
        <v>8.4826824983145841E-3</v>
      </c>
      <c r="H31" s="83">
        <f t="shared" si="20"/>
        <v>39.638703263152266</v>
      </c>
      <c r="I31" s="84" t="s">
        <v>97</v>
      </c>
    </row>
    <row r="32" spans="1:9" x14ac:dyDescent="0.25">
      <c r="A32" s="62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59" t="s">
        <v>37</v>
      </c>
      <c r="B33" s="62" t="s">
        <v>90</v>
      </c>
      <c r="C33" s="19">
        <v>7.5</v>
      </c>
      <c r="D33" s="19" t="s">
        <v>24</v>
      </c>
      <c r="E33" s="17" t="s">
        <v>38</v>
      </c>
      <c r="F33" s="16"/>
      <c r="G33" s="16"/>
      <c r="H33" s="16"/>
      <c r="I33" s="16"/>
    </row>
    <row r="34" spans="1:9" x14ac:dyDescent="0.25">
      <c r="A34" s="60" t="s">
        <v>26</v>
      </c>
      <c r="B34" s="61" t="s">
        <v>27</v>
      </c>
      <c r="C34" s="61" t="s">
        <v>28</v>
      </c>
      <c r="D34" s="61" t="s">
        <v>29</v>
      </c>
      <c r="E34" s="61" t="s">
        <v>30</v>
      </c>
      <c r="F34" s="61" t="s">
        <v>31</v>
      </c>
      <c r="G34" s="61" t="s">
        <v>32</v>
      </c>
      <c r="H34" s="61" t="s">
        <v>11</v>
      </c>
      <c r="I34" s="21"/>
    </row>
    <row r="35" spans="1:9" x14ac:dyDescent="0.25">
      <c r="A35" s="62">
        <v>10</v>
      </c>
      <c r="B35" s="20">
        <f>SQRT(A35/PI()/$G$1/$C$1)</f>
        <v>2.7144583994606664</v>
      </c>
      <c r="C35" s="20">
        <f>2*PI()*$C$1*B35</f>
        <v>20.466534158929768</v>
      </c>
      <c r="D35" s="20">
        <f>$C$33/C35</f>
        <v>0.36645188392718997</v>
      </c>
      <c r="E35" s="63">
        <f>D35/60</f>
        <v>6.1075313987864997E-3</v>
      </c>
      <c r="F35" s="65">
        <f>D35/$G$1</f>
        <v>1.0179218997977499</v>
      </c>
      <c r="G35" s="63">
        <f>E35/$G$1</f>
        <v>1.6965364996629168E-2</v>
      </c>
      <c r="H35" s="72">
        <f>G35*$C$2/$G$2</f>
        <v>79.277406526304532</v>
      </c>
      <c r="I35" s="16"/>
    </row>
    <row r="36" spans="1:9" x14ac:dyDescent="0.25">
      <c r="A36" s="62">
        <v>20</v>
      </c>
      <c r="B36" s="20">
        <f t="shared" ref="B36:B40" si="23">SQRT(A36/PI()/$G$1/$C$1)</f>
        <v>3.8388238830148391</v>
      </c>
      <c r="C36" s="20">
        <f t="shared" ref="C36:C40" si="24">2*PI()*$C$1*B36</f>
        <v>28.944050182330709</v>
      </c>
      <c r="D36" s="20">
        <f t="shared" ref="D36:D40" si="25">$C$33/C36</f>
        <v>0.25912061210350157</v>
      </c>
      <c r="E36" s="64">
        <f t="shared" ref="E36:E40" si="26">D36/60</f>
        <v>4.3186768683916932E-3</v>
      </c>
      <c r="F36" s="65">
        <f t="shared" ref="F36:F40" si="27">D36/$G$1</f>
        <v>0.7197794780652822</v>
      </c>
      <c r="G36" s="63">
        <f t="shared" ref="G36:G40" si="28">E36/$G$1</f>
        <v>1.1996324634421371E-2</v>
      </c>
      <c r="H36" s="72">
        <f t="shared" ref="H36:H40" si="29">G36*$C$2/$G$2</f>
        <v>56.057591749632579</v>
      </c>
      <c r="I36" s="16"/>
    </row>
    <row r="37" spans="1:9" ht="15.75" thickBot="1" x14ac:dyDescent="0.3">
      <c r="A37" s="70">
        <v>30</v>
      </c>
      <c r="B37" s="68">
        <f t="shared" si="23"/>
        <v>4.7015798628979697</v>
      </c>
      <c r="C37" s="68">
        <f t="shared" si="24"/>
        <v>35.449077018110323</v>
      </c>
      <c r="D37" s="68">
        <f t="shared" si="25"/>
        <v>0.21157109383040859</v>
      </c>
      <c r="E37" s="67">
        <f t="shared" si="26"/>
        <v>3.5261848971734765E-3</v>
      </c>
      <c r="F37" s="68">
        <f t="shared" si="27"/>
        <v>0.5876974828622461</v>
      </c>
      <c r="G37" s="66">
        <f t="shared" si="28"/>
        <v>9.7949580477041023E-3</v>
      </c>
      <c r="H37" s="73">
        <f t="shared" si="29"/>
        <v>45.770831998617304</v>
      </c>
      <c r="I37" s="69" t="s">
        <v>92</v>
      </c>
    </row>
    <row r="38" spans="1:9" ht="15.75" thickBot="1" x14ac:dyDescent="0.3">
      <c r="A38" s="70">
        <v>40</v>
      </c>
      <c r="B38" s="68">
        <f t="shared" si="23"/>
        <v>5.4289167989213327</v>
      </c>
      <c r="C38" s="68">
        <f t="shared" si="24"/>
        <v>40.933068317859536</v>
      </c>
      <c r="D38" s="68">
        <f t="shared" si="25"/>
        <v>0.18322594196359498</v>
      </c>
      <c r="E38" s="67">
        <f t="shared" si="26"/>
        <v>3.0537656993932499E-3</v>
      </c>
      <c r="F38" s="68">
        <f t="shared" si="27"/>
        <v>0.50896094989887497</v>
      </c>
      <c r="G38" s="66">
        <f t="shared" si="28"/>
        <v>8.4826824983145841E-3</v>
      </c>
      <c r="H38" s="75">
        <f t="shared" si="29"/>
        <v>39.638703263152266</v>
      </c>
      <c r="I38" s="69" t="s">
        <v>93</v>
      </c>
    </row>
    <row r="39" spans="1:9" x14ac:dyDescent="0.25">
      <c r="A39" s="62">
        <v>50</v>
      </c>
      <c r="B39" s="20">
        <f t="shared" si="23"/>
        <v>6.0697135032893286</v>
      </c>
      <c r="C39" s="20">
        <f t="shared" si="24"/>
        <v>45.764561643188451</v>
      </c>
      <c r="D39" s="20">
        <f t="shared" si="25"/>
        <v>0.16388226458881186</v>
      </c>
      <c r="E39" s="64">
        <f t="shared" si="26"/>
        <v>2.7313710764801978E-3</v>
      </c>
      <c r="F39" s="20">
        <f t="shared" si="27"/>
        <v>0.45522851274669962</v>
      </c>
      <c r="G39" s="63">
        <f t="shared" si="28"/>
        <v>7.5871418791116606E-3</v>
      </c>
      <c r="H39" s="72">
        <f t="shared" si="29"/>
        <v>35.453934014540472</v>
      </c>
      <c r="I39" s="16"/>
    </row>
    <row r="40" spans="1:9" x14ac:dyDescent="0.25">
      <c r="A40" s="62">
        <v>60</v>
      </c>
      <c r="B40" s="20">
        <f t="shared" si="23"/>
        <v>6.649038006690545</v>
      </c>
      <c r="C40" s="20">
        <f t="shared" si="24"/>
        <v>50.13256549262001</v>
      </c>
      <c r="D40" s="20">
        <f t="shared" si="25"/>
        <v>0.14960335515053724</v>
      </c>
      <c r="E40" s="64">
        <f t="shared" si="26"/>
        <v>2.4933892525089542E-3</v>
      </c>
      <c r="F40" s="20">
        <f t="shared" si="27"/>
        <v>0.41556487541815901</v>
      </c>
      <c r="G40" s="63">
        <f t="shared" si="28"/>
        <v>6.926081256969318E-3</v>
      </c>
      <c r="H40" s="72">
        <f t="shared" si="29"/>
        <v>32.364865686772518</v>
      </c>
      <c r="I40" s="78" t="s">
        <v>95</v>
      </c>
    </row>
    <row r="42" spans="1:9" ht="45" x14ac:dyDescent="0.25">
      <c r="A42" s="91" t="s">
        <v>104</v>
      </c>
      <c r="B42" s="92" t="s">
        <v>105</v>
      </c>
    </row>
    <row r="43" spans="1:9" x14ac:dyDescent="0.25">
      <c r="A43" s="87">
        <v>1</v>
      </c>
      <c r="B43" s="87">
        <v>320</v>
      </c>
    </row>
    <row r="44" spans="1:9" x14ac:dyDescent="0.25">
      <c r="A44" s="87">
        <v>2</v>
      </c>
      <c r="B44" s="87">
        <v>160</v>
      </c>
    </row>
    <row r="45" spans="1:9" x14ac:dyDescent="0.25">
      <c r="A45" s="87">
        <v>3</v>
      </c>
      <c r="B45" s="87">
        <v>80</v>
      </c>
    </row>
    <row r="46" spans="1:9" x14ac:dyDescent="0.25">
      <c r="A46" s="87">
        <v>4</v>
      </c>
      <c r="B46" s="87">
        <v>40</v>
      </c>
    </row>
  </sheetData>
  <pageMargins left="0.7" right="0.7" top="0.75" bottom="0.75" header="0.3" footer="0.3"/>
  <pageSetup scale="79" orientation="portrait" horizontalDpi="1200" verticalDpi="1200" r:id="rId1"/>
  <headerFooter>
    <oddFooter>&amp;L&amp;Z&amp;F &amp;A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168"/>
  <sheetViews>
    <sheetView zoomScaleNormal="100" workbookViewId="0"/>
  </sheetViews>
  <sheetFormatPr defaultColWidth="6.7109375" defaultRowHeight="15" x14ac:dyDescent="0.25"/>
  <cols>
    <col min="4" max="5" width="10.7109375" style="34" customWidth="1"/>
    <col min="7" max="8" width="10.7109375" customWidth="1"/>
    <col min="14" max="14" width="10.7109375" style="34" customWidth="1"/>
    <col min="15" max="15" width="10.7109375" customWidth="1"/>
    <col min="17" max="17" width="10.7109375" style="34" customWidth="1"/>
    <col min="18" max="18" width="10.7109375" customWidth="1"/>
    <col min="21" max="21" width="7.28515625" bestFit="1" customWidth="1"/>
    <col min="22" max="22" width="2.85546875" bestFit="1" customWidth="1"/>
    <col min="23" max="23" width="7" bestFit="1" customWidth="1"/>
    <col min="24" max="24" width="2" bestFit="1" customWidth="1"/>
    <col min="25" max="25" width="5.42578125" bestFit="1" customWidth="1"/>
    <col min="26" max="26" width="4.28515625" bestFit="1" customWidth="1"/>
    <col min="27" max="27" width="7" bestFit="1" customWidth="1"/>
    <col min="28" max="28" width="2" bestFit="1" customWidth="1"/>
    <col min="29" max="29" width="5.42578125" bestFit="1" customWidth="1"/>
  </cols>
  <sheetData>
    <row r="1" spans="1:30" ht="17.25" x14ac:dyDescent="0.25">
      <c r="A1" s="2" t="s">
        <v>67</v>
      </c>
      <c r="D1" t="s">
        <v>68</v>
      </c>
      <c r="H1" s="24" t="s">
        <v>72</v>
      </c>
      <c r="I1" s="46">
        <v>1306</v>
      </c>
      <c r="K1" s="42"/>
      <c r="N1" s="24" t="s">
        <v>74</v>
      </c>
      <c r="O1" s="94">
        <f>1/I2</f>
        <v>3.8897396630934146E-2</v>
      </c>
      <c r="P1" s="34"/>
      <c r="Q1" t="s">
        <v>120</v>
      </c>
      <c r="R1" s="99">
        <f>AVERAGE(E18:E19,O18:O19,E33:E34,O33:O34,E48:E49,O48:O49,E63:E64,O63:O64)</f>
        <v>6320.5013074536419</v>
      </c>
      <c r="S1" t="s">
        <v>48</v>
      </c>
      <c r="V1" s="1"/>
      <c r="W1" s="114" t="s">
        <v>138</v>
      </c>
      <c r="X1" s="114"/>
      <c r="Y1" s="114"/>
      <c r="Z1" s="114"/>
      <c r="AA1" s="114"/>
      <c r="AB1" s="114"/>
      <c r="AC1" s="114"/>
    </row>
    <row r="2" spans="1:30" ht="17.25" x14ac:dyDescent="0.25">
      <c r="A2" t="s">
        <v>141</v>
      </c>
      <c r="D2" t="s">
        <v>69</v>
      </c>
      <c r="H2" s="24" t="s">
        <v>73</v>
      </c>
      <c r="I2" s="47">
        <f>I1/2/25.4</f>
        <v>25.708661417322837</v>
      </c>
      <c r="K2" s="42"/>
      <c r="N2" s="24" t="s">
        <v>75</v>
      </c>
      <c r="O2" s="93">
        <f>O1^2</f>
        <v>1.5130074646642071E-3</v>
      </c>
      <c r="P2" s="34"/>
      <c r="Q2" t="s">
        <v>121</v>
      </c>
      <c r="R2" s="86">
        <f>STDEV(E18:E19,O18:O19,E33:E34,O33:O34,E48:E49,O48:O49,E63:E64,O63:O64)/SQRT(COUNT(E18:E19,O18:O19,E33:E34,O33:O34,E48:E49,O48:O49,E63:E64,O63:O64))</f>
        <v>235.52023613745249</v>
      </c>
      <c r="S2" t="s">
        <v>48</v>
      </c>
      <c r="W2" s="113" t="s">
        <v>125</v>
      </c>
      <c r="X2" s="113"/>
      <c r="Y2" s="113"/>
      <c r="Z2" s="1"/>
      <c r="AA2" s="113" t="s">
        <v>126</v>
      </c>
      <c r="AB2" s="113"/>
      <c r="AC2" s="113"/>
    </row>
    <row r="3" spans="1:30" ht="17.25" x14ac:dyDescent="0.25">
      <c r="U3" t="s">
        <v>122</v>
      </c>
      <c r="V3" t="s">
        <v>127</v>
      </c>
      <c r="W3" s="100">
        <f>AVERAGE(E18,E33,E48,E63)</f>
        <v>6609.5405797250987</v>
      </c>
      <c r="X3" s="101" t="s">
        <v>124</v>
      </c>
      <c r="Y3" s="102">
        <f>STDEV(E18,E33,E48,E63)/2</f>
        <v>149.87769770035922</v>
      </c>
      <c r="Z3" s="99" t="s">
        <v>129</v>
      </c>
      <c r="AA3" s="100">
        <f>AVERAGE(O18,O33,O48,O63)</f>
        <v>6540.3004408678044</v>
      </c>
      <c r="AB3" s="101" t="s">
        <v>124</v>
      </c>
      <c r="AC3" s="102">
        <f>STDEV(O18,O33,O48,O63)/2</f>
        <v>202.1279171266537</v>
      </c>
      <c r="AD3" t="s">
        <v>48</v>
      </c>
    </row>
    <row r="4" spans="1:30" ht="17.25" x14ac:dyDescent="0.25">
      <c r="A4" s="2" t="s">
        <v>70</v>
      </c>
      <c r="K4" s="2" t="s">
        <v>71</v>
      </c>
      <c r="N4" s="40"/>
      <c r="Q4" s="40"/>
      <c r="U4" t="s">
        <v>123</v>
      </c>
      <c r="V4" t="s">
        <v>128</v>
      </c>
      <c r="W4" s="103">
        <f>AVERAGE(E19,E34,E49,E64)</f>
        <v>6107.5269724607115</v>
      </c>
      <c r="X4" s="104" t="s">
        <v>124</v>
      </c>
      <c r="Y4" s="105">
        <f>STDEV(E19,E34,E49,E64)/2</f>
        <v>653.95167276757638</v>
      </c>
      <c r="Z4" s="99" t="s">
        <v>130</v>
      </c>
      <c r="AA4" s="103">
        <f>AVERAGE(O19,O34,O49,O64)</f>
        <v>6024.6372367609492</v>
      </c>
      <c r="AB4" s="104" t="s">
        <v>124</v>
      </c>
      <c r="AC4" s="105">
        <f>STDEV(O19,O34,O49,O64)/2</f>
        <v>728.13059583219433</v>
      </c>
      <c r="AD4" t="s">
        <v>48</v>
      </c>
    </row>
    <row r="5" spans="1:30" x14ac:dyDescent="0.25">
      <c r="A5" s="2"/>
      <c r="N5" s="40"/>
      <c r="Q5" s="40"/>
      <c r="U5" s="2"/>
      <c r="V5" s="2"/>
    </row>
    <row r="6" spans="1:30" x14ac:dyDescent="0.25">
      <c r="A6" s="12" t="s">
        <v>80</v>
      </c>
      <c r="B6" s="12" t="s">
        <v>12</v>
      </c>
      <c r="C6" s="12" t="s">
        <v>13</v>
      </c>
      <c r="D6" s="115" t="s">
        <v>1</v>
      </c>
      <c r="E6" s="116"/>
      <c r="F6" s="44" t="s">
        <v>77</v>
      </c>
      <c r="G6" s="115" t="s">
        <v>16</v>
      </c>
      <c r="H6" s="116"/>
      <c r="I6" s="44" t="s">
        <v>79</v>
      </c>
      <c r="K6" s="12" t="s">
        <v>80</v>
      </c>
      <c r="L6" s="12" t="s">
        <v>12</v>
      </c>
      <c r="M6" s="12" t="s">
        <v>13</v>
      </c>
      <c r="N6" s="115" t="s">
        <v>1</v>
      </c>
      <c r="O6" s="116"/>
      <c r="P6" s="44" t="s">
        <v>77</v>
      </c>
      <c r="Q6" s="115" t="s">
        <v>16</v>
      </c>
      <c r="R6" s="116"/>
      <c r="S6" s="44" t="s">
        <v>79</v>
      </c>
      <c r="T6" s="106"/>
      <c r="U6" t="s">
        <v>131</v>
      </c>
      <c r="W6" s="99"/>
    </row>
    <row r="7" spans="1:30" ht="18.75" x14ac:dyDescent="0.35">
      <c r="A7" s="13"/>
      <c r="B7" s="13" t="s">
        <v>56</v>
      </c>
      <c r="C7" s="13"/>
      <c r="D7" s="35" t="s">
        <v>76</v>
      </c>
      <c r="E7" s="43" t="s">
        <v>48</v>
      </c>
      <c r="F7" s="13" t="s">
        <v>78</v>
      </c>
      <c r="G7" s="13" t="s">
        <v>76</v>
      </c>
      <c r="H7" s="13" t="s">
        <v>5</v>
      </c>
      <c r="I7" s="13" t="s">
        <v>78</v>
      </c>
      <c r="K7" s="13"/>
      <c r="L7" s="13" t="s">
        <v>56</v>
      </c>
      <c r="M7" s="13"/>
      <c r="N7" s="35" t="s">
        <v>76</v>
      </c>
      <c r="O7" s="43" t="s">
        <v>48</v>
      </c>
      <c r="P7" s="13" t="s">
        <v>78</v>
      </c>
      <c r="Q7" s="35" t="s">
        <v>76</v>
      </c>
      <c r="R7" s="13" t="s">
        <v>5</v>
      </c>
      <c r="S7" s="13" t="s">
        <v>78</v>
      </c>
      <c r="T7" s="1"/>
      <c r="U7" s="24" t="s">
        <v>132</v>
      </c>
      <c r="V7" s="106" t="s">
        <v>124</v>
      </c>
      <c r="W7" s="46" t="s">
        <v>133</v>
      </c>
      <c r="X7" s="109" t="s">
        <v>134</v>
      </c>
      <c r="Y7" s="110">
        <f>ABS(W3-AA3)</f>
        <v>69.240138857294369</v>
      </c>
      <c r="Z7" s="106" t="s">
        <v>124</v>
      </c>
      <c r="AA7" s="111">
        <f>SQRT(Y3^2 + AC3^2)</f>
        <v>251.63270683661068</v>
      </c>
      <c r="AB7" t="s">
        <v>48</v>
      </c>
    </row>
    <row r="8" spans="1:30" ht="18.75" x14ac:dyDescent="0.35">
      <c r="A8" s="5">
        <v>1</v>
      </c>
      <c r="B8" s="5">
        <v>10</v>
      </c>
      <c r="C8" s="5" t="s">
        <v>15</v>
      </c>
      <c r="D8" s="36">
        <v>1081534</v>
      </c>
      <c r="E8" s="37">
        <f t="shared" ref="E8:E19" si="0">D8*$O$2</f>
        <v>1636.3690152881386</v>
      </c>
      <c r="F8" s="5"/>
      <c r="G8" s="36">
        <v>39096</v>
      </c>
      <c r="H8" s="37">
        <f t="shared" ref="H8:H19" si="1">G8*$O$1</f>
        <v>1520.7326186830014</v>
      </c>
      <c r="I8" s="5"/>
      <c r="K8" s="5">
        <v>1</v>
      </c>
      <c r="L8" s="5">
        <v>10</v>
      </c>
      <c r="M8" s="5" t="s">
        <v>15</v>
      </c>
      <c r="N8" s="36">
        <v>1081439</v>
      </c>
      <c r="O8" s="37">
        <f t="shared" ref="O8:O19" si="2">N8*$O$2</f>
        <v>1636.2252795789955</v>
      </c>
      <c r="P8" s="5"/>
      <c r="Q8" s="45">
        <v>7243.6</v>
      </c>
      <c r="R8" s="37">
        <f t="shared" ref="R8:R19" si="3">Q8*$O$1</f>
        <v>281.75718223583459</v>
      </c>
      <c r="S8" s="5"/>
      <c r="T8" s="1"/>
      <c r="U8" s="24" t="s">
        <v>135</v>
      </c>
      <c r="V8" s="106" t="s">
        <v>124</v>
      </c>
      <c r="W8" s="46" t="s">
        <v>133</v>
      </c>
      <c r="X8" s="109" t="s">
        <v>134</v>
      </c>
      <c r="Y8" s="110">
        <f>ABS(W4-AA4)</f>
        <v>82.889735699762241</v>
      </c>
      <c r="Z8" s="106" t="s">
        <v>124</v>
      </c>
      <c r="AA8" s="111">
        <f>SQRT(Y4^2 + AC4^2)</f>
        <v>978.68634143041845</v>
      </c>
      <c r="AB8" t="s">
        <v>48</v>
      </c>
    </row>
    <row r="9" spans="1:30" x14ac:dyDescent="0.25">
      <c r="A9" s="5"/>
      <c r="B9" s="5"/>
      <c r="C9" s="5" t="s">
        <v>14</v>
      </c>
      <c r="D9" s="37">
        <v>623360</v>
      </c>
      <c r="E9" s="37">
        <f t="shared" si="0"/>
        <v>943.14833317308012</v>
      </c>
      <c r="F9" s="6">
        <f>((E9-E8)/E8)*100</f>
        <v>-42.363346875826373</v>
      </c>
      <c r="G9" s="37">
        <v>5529</v>
      </c>
      <c r="H9" s="37">
        <f t="shared" si="1"/>
        <v>215.06370597243489</v>
      </c>
      <c r="I9" s="6">
        <f>((H9-H8)/H8)*100</f>
        <v>-85.857888275015341</v>
      </c>
      <c r="K9" s="5"/>
      <c r="L9" s="5"/>
      <c r="M9" s="5" t="s">
        <v>14</v>
      </c>
      <c r="N9" s="36">
        <v>593905</v>
      </c>
      <c r="O9" s="37">
        <f t="shared" si="2"/>
        <v>898.58269830139591</v>
      </c>
      <c r="P9" s="6">
        <f>((O9-O8)/O8)*100</f>
        <v>-45.081969486952104</v>
      </c>
      <c r="Q9" s="45">
        <v>5970.7</v>
      </c>
      <c r="R9" s="37">
        <f t="shared" si="3"/>
        <v>232.2446860643185</v>
      </c>
      <c r="S9" s="10">
        <f>((R9-R8)/R8)*100</f>
        <v>-17.572753879286548</v>
      </c>
      <c r="T9" s="31"/>
    </row>
    <row r="10" spans="1:30" x14ac:dyDescent="0.25">
      <c r="A10" s="5"/>
      <c r="B10" s="5">
        <v>20</v>
      </c>
      <c r="C10" s="5" t="s">
        <v>15</v>
      </c>
      <c r="D10" s="36">
        <v>1764247</v>
      </c>
      <c r="E10" s="37">
        <f t="shared" si="0"/>
        <v>2669.3188805114332</v>
      </c>
      <c r="F10" s="5"/>
      <c r="G10" s="36">
        <v>60525</v>
      </c>
      <c r="H10" s="37">
        <f t="shared" si="1"/>
        <v>2354.2649310872894</v>
      </c>
      <c r="I10" s="5"/>
      <c r="K10" s="5"/>
      <c r="L10" s="5">
        <v>20</v>
      </c>
      <c r="M10" s="5" t="s">
        <v>15</v>
      </c>
      <c r="N10" s="36">
        <v>1656864</v>
      </c>
      <c r="O10" s="37">
        <f t="shared" si="2"/>
        <v>2506.8475999333969</v>
      </c>
      <c r="P10" s="5"/>
      <c r="Q10" s="45">
        <v>8681.1</v>
      </c>
      <c r="R10" s="37">
        <f t="shared" si="3"/>
        <v>337.67218989280241</v>
      </c>
      <c r="S10" s="5"/>
      <c r="T10" s="1"/>
      <c r="U10" t="s">
        <v>142</v>
      </c>
    </row>
    <row r="11" spans="1:30" ht="18.75" x14ac:dyDescent="0.35">
      <c r="A11" s="5"/>
      <c r="B11" s="5"/>
      <c r="C11" s="5" t="s">
        <v>14</v>
      </c>
      <c r="D11" s="36">
        <v>1826678</v>
      </c>
      <c r="E11" s="37">
        <f t="shared" si="0"/>
        <v>2763.7774495378844</v>
      </c>
      <c r="F11" s="6">
        <f>((E11-E10)/E10)*100</f>
        <v>3.5386768406011204</v>
      </c>
      <c r="G11" s="36">
        <v>65539</v>
      </c>
      <c r="H11" s="37">
        <f t="shared" si="1"/>
        <v>2549.2964777947932</v>
      </c>
      <c r="I11" s="6">
        <f>((H11-H10)/H10)*100</f>
        <v>8.2841800908715406</v>
      </c>
      <c r="K11" s="5"/>
      <c r="L11" s="5"/>
      <c r="M11" s="5" t="s">
        <v>14</v>
      </c>
      <c r="N11" s="36">
        <v>1807839</v>
      </c>
      <c r="O11" s="37">
        <f t="shared" si="2"/>
        <v>2735.2739019110754</v>
      </c>
      <c r="P11" s="6">
        <f>((O11-O10)/O10)*100</f>
        <v>9.1120936902485621</v>
      </c>
      <c r="Q11" s="45">
        <v>9272.5</v>
      </c>
      <c r="R11" s="37">
        <f t="shared" si="3"/>
        <v>360.67611026033688</v>
      </c>
      <c r="S11" s="10">
        <f>((R11-R10)/R10)*100</f>
        <v>6.8125007199548522</v>
      </c>
      <c r="T11" s="31"/>
      <c r="U11" s="24" t="s">
        <v>136</v>
      </c>
      <c r="V11" s="106" t="s">
        <v>124</v>
      </c>
      <c r="W11" s="46" t="s">
        <v>133</v>
      </c>
      <c r="X11" s="109" t="s">
        <v>134</v>
      </c>
      <c r="Y11" s="110">
        <f>ABS(W3-W4)</f>
        <v>502.01360726438725</v>
      </c>
      <c r="Z11" s="106" t="s">
        <v>124</v>
      </c>
      <c r="AA11" s="111">
        <f>SQRT(Y3^2 + Y4^2)</f>
        <v>670.90693436830088</v>
      </c>
      <c r="AB11" t="s">
        <v>48</v>
      </c>
    </row>
    <row r="12" spans="1:30" ht="18.75" x14ac:dyDescent="0.35">
      <c r="A12" s="5"/>
      <c r="B12" s="5">
        <v>30</v>
      </c>
      <c r="C12" s="5" t="s">
        <v>15</v>
      </c>
      <c r="D12" s="36">
        <v>2615363</v>
      </c>
      <c r="E12" s="37">
        <f t="shared" si="0"/>
        <v>3957.0637418065749</v>
      </c>
      <c r="F12" s="5"/>
      <c r="G12" s="36">
        <v>98554</v>
      </c>
      <c r="H12" s="37">
        <f t="shared" si="1"/>
        <v>3833.4940275650838</v>
      </c>
      <c r="I12" s="5"/>
      <c r="K12" s="5"/>
      <c r="L12" s="5">
        <v>30</v>
      </c>
      <c r="M12" s="5" t="s">
        <v>15</v>
      </c>
      <c r="N12" s="36">
        <v>2388804</v>
      </c>
      <c r="O12" s="37">
        <f t="shared" si="2"/>
        <v>3614.2782836197166</v>
      </c>
      <c r="P12" s="5"/>
      <c r="Q12" s="45">
        <v>11812</v>
      </c>
      <c r="R12" s="37">
        <f t="shared" si="3"/>
        <v>459.45604900459415</v>
      </c>
      <c r="S12" s="5"/>
      <c r="T12" s="1"/>
      <c r="U12" s="24" t="s">
        <v>137</v>
      </c>
      <c r="V12" s="106" t="s">
        <v>124</v>
      </c>
      <c r="W12" s="46" t="s">
        <v>133</v>
      </c>
      <c r="X12" s="109" t="s">
        <v>134</v>
      </c>
      <c r="Y12" s="110">
        <f>ABS(AA3-AA4)</f>
        <v>515.66320410685512</v>
      </c>
      <c r="Z12" s="106" t="s">
        <v>124</v>
      </c>
      <c r="AA12" s="111">
        <f>SQRT(AC3^2 + AC4^2)</f>
        <v>755.66517682695007</v>
      </c>
      <c r="AB12" t="s">
        <v>48</v>
      </c>
    </row>
    <row r="13" spans="1:30" x14ac:dyDescent="0.25">
      <c r="A13" s="5"/>
      <c r="B13" s="5"/>
      <c r="C13" s="5" t="s">
        <v>14</v>
      </c>
      <c r="D13" s="36">
        <v>3088804</v>
      </c>
      <c r="E13" s="37">
        <f t="shared" si="0"/>
        <v>4673.3835088846618</v>
      </c>
      <c r="F13" s="6">
        <f>((E13-E12)/E12)*100</f>
        <v>18.102305492583628</v>
      </c>
      <c r="G13" s="36">
        <v>93625</v>
      </c>
      <c r="H13" s="37">
        <f t="shared" si="1"/>
        <v>3641.7687595712096</v>
      </c>
      <c r="I13" s="6">
        <f>((H13-H12)/H12)*100</f>
        <v>-5.0013190738072488</v>
      </c>
      <c r="K13" s="5"/>
      <c r="L13" s="5"/>
      <c r="M13" s="5" t="s">
        <v>14</v>
      </c>
      <c r="N13" s="36">
        <v>3085652</v>
      </c>
      <c r="O13" s="37">
        <f t="shared" si="2"/>
        <v>4668.6145093560399</v>
      </c>
      <c r="P13" s="6">
        <f>((O13-O12)/O12)*100</f>
        <v>29.171417998295379</v>
      </c>
      <c r="Q13" s="45">
        <v>10351</v>
      </c>
      <c r="R13" s="37">
        <f t="shared" si="3"/>
        <v>402.62695252679936</v>
      </c>
      <c r="S13" s="10">
        <f>((R13-R12)/R12)*100</f>
        <v>-12.368777514392145</v>
      </c>
      <c r="T13" s="31"/>
    </row>
    <row r="14" spans="1:30" x14ac:dyDescent="0.25">
      <c r="A14" s="5"/>
      <c r="B14" s="5">
        <v>40</v>
      </c>
      <c r="C14" s="5" t="s">
        <v>15</v>
      </c>
      <c r="D14" s="36">
        <v>3568622</v>
      </c>
      <c r="E14" s="37">
        <f t="shared" si="0"/>
        <v>5399.3517245649118</v>
      </c>
      <c r="F14" s="5"/>
      <c r="G14" s="36">
        <v>110490</v>
      </c>
      <c r="H14" s="37">
        <f t="shared" si="1"/>
        <v>4297.7733537519134</v>
      </c>
      <c r="I14" s="5"/>
      <c r="K14" s="5"/>
      <c r="L14" s="5">
        <v>40</v>
      </c>
      <c r="M14" s="5" t="s">
        <v>15</v>
      </c>
      <c r="N14" s="36">
        <v>3318748</v>
      </c>
      <c r="O14" s="37">
        <f t="shared" si="2"/>
        <v>5021.2904973394079</v>
      </c>
      <c r="P14" s="5"/>
      <c r="Q14" s="45">
        <v>13849</v>
      </c>
      <c r="R14" s="37">
        <f t="shared" si="3"/>
        <v>538.69004594180694</v>
      </c>
      <c r="S14" s="5"/>
      <c r="T14" s="1"/>
      <c r="U14" t="s">
        <v>144</v>
      </c>
    </row>
    <row r="15" spans="1:30" x14ac:dyDescent="0.25">
      <c r="A15" s="5"/>
      <c r="B15" s="5"/>
      <c r="C15" s="5" t="s">
        <v>14</v>
      </c>
      <c r="D15" s="36">
        <v>3534306</v>
      </c>
      <c r="E15" s="37">
        <f t="shared" si="0"/>
        <v>5347.431360407495</v>
      </c>
      <c r="F15" s="6">
        <f>((E15-E14)/E14)*100</f>
        <v>-0.96160366662537788</v>
      </c>
      <c r="G15" s="36">
        <v>96203</v>
      </c>
      <c r="H15" s="37">
        <f t="shared" si="1"/>
        <v>3742.0462480857577</v>
      </c>
      <c r="I15" s="6">
        <f>((H15-H14)/H14)*100</f>
        <v>-12.930581953117921</v>
      </c>
      <c r="K15" s="5"/>
      <c r="L15" s="5"/>
      <c r="M15" s="5" t="s">
        <v>14</v>
      </c>
      <c r="N15" s="36">
        <v>3476592</v>
      </c>
      <c r="O15" s="37">
        <f t="shared" si="2"/>
        <v>5260.1096475918648</v>
      </c>
      <c r="P15" s="6">
        <f>((O15-O14)/O14)*100</f>
        <v>4.7561309264819096</v>
      </c>
      <c r="Q15" s="45">
        <v>10907</v>
      </c>
      <c r="R15" s="37">
        <f t="shared" si="3"/>
        <v>424.25390505359871</v>
      </c>
      <c r="S15" s="10">
        <f>((R15-R14)/R14)*100</f>
        <v>-21.243411076612027</v>
      </c>
      <c r="T15" s="31"/>
      <c r="U15" t="s">
        <v>143</v>
      </c>
    </row>
    <row r="16" spans="1:30" x14ac:dyDescent="0.25">
      <c r="A16" s="5"/>
      <c r="B16" s="5">
        <v>50</v>
      </c>
      <c r="C16" s="5" t="s">
        <v>15</v>
      </c>
      <c r="D16" s="36">
        <v>4148558</v>
      </c>
      <c r="E16" s="37">
        <f t="shared" si="0"/>
        <v>6276.7992215924132</v>
      </c>
      <c r="F16" s="5"/>
      <c r="G16" s="36">
        <v>105950</v>
      </c>
      <c r="H16" s="37">
        <f t="shared" si="1"/>
        <v>4121.1791730474724</v>
      </c>
      <c r="I16" s="5"/>
      <c r="K16" s="5"/>
      <c r="L16" s="5">
        <v>50</v>
      </c>
      <c r="M16" s="5" t="s">
        <v>15</v>
      </c>
      <c r="N16" s="36">
        <v>4154148</v>
      </c>
      <c r="O16" s="37">
        <f t="shared" si="2"/>
        <v>6285.2569333198862</v>
      </c>
      <c r="P16" s="5"/>
      <c r="Q16" s="45">
        <v>13661</v>
      </c>
      <c r="R16" s="37">
        <f t="shared" si="3"/>
        <v>531.37733537519136</v>
      </c>
      <c r="S16" s="5"/>
      <c r="T16" s="1"/>
    </row>
    <row r="17" spans="1:20" x14ac:dyDescent="0.25">
      <c r="A17" s="5"/>
      <c r="B17" s="5"/>
      <c r="C17" s="5" t="s">
        <v>14</v>
      </c>
      <c r="D17" s="36">
        <v>4052952</v>
      </c>
      <c r="E17" s="37">
        <f t="shared" si="0"/>
        <v>6132.1466299257272</v>
      </c>
      <c r="F17" s="6">
        <f>((E17-E16)/E16)*100</f>
        <v>-2.3045598012610622</v>
      </c>
      <c r="G17" s="36">
        <v>92531</v>
      </c>
      <c r="H17" s="37">
        <f t="shared" si="1"/>
        <v>3599.2150076569674</v>
      </c>
      <c r="I17" s="6">
        <f>((H17-H16)/H16)*100</f>
        <v>-12.665408211420475</v>
      </c>
      <c r="K17" s="5"/>
      <c r="L17" s="5"/>
      <c r="M17" s="5" t="s">
        <v>14</v>
      </c>
      <c r="N17" s="36">
        <v>4067803</v>
      </c>
      <c r="O17" s="37">
        <f t="shared" si="2"/>
        <v>6154.6163037834558</v>
      </c>
      <c r="P17" s="6">
        <f>((O17-O16)/O16)*100</f>
        <v>-2.0785248864508352</v>
      </c>
      <c r="Q17" s="45">
        <v>11106</v>
      </c>
      <c r="R17" s="37">
        <f t="shared" si="3"/>
        <v>431.99448698315462</v>
      </c>
      <c r="S17" s="10">
        <f>((R17-R16)/R16)*100</f>
        <v>-18.702876802576679</v>
      </c>
      <c r="T17" s="31"/>
    </row>
    <row r="18" spans="1:20" x14ac:dyDescent="0.25">
      <c r="A18" s="5"/>
      <c r="B18" s="5">
        <v>60</v>
      </c>
      <c r="C18" s="5" t="s">
        <v>15</v>
      </c>
      <c r="D18" s="36">
        <v>4623249</v>
      </c>
      <c r="E18" s="37">
        <f t="shared" si="0"/>
        <v>6995.0102480013311</v>
      </c>
      <c r="F18" s="5"/>
      <c r="G18" s="36">
        <v>112850</v>
      </c>
      <c r="H18" s="37">
        <f t="shared" si="1"/>
        <v>4389.571209800918</v>
      </c>
      <c r="I18" s="5"/>
      <c r="K18" s="5"/>
      <c r="L18" s="5">
        <v>60</v>
      </c>
      <c r="M18" s="5" t="s">
        <v>15</v>
      </c>
      <c r="N18" s="36">
        <v>4639202</v>
      </c>
      <c r="O18" s="37">
        <f t="shared" si="2"/>
        <v>7019.1472560851189</v>
      </c>
      <c r="P18" s="5"/>
      <c r="Q18" s="45">
        <v>14639</v>
      </c>
      <c r="R18" s="37">
        <f t="shared" si="3"/>
        <v>569.418989280245</v>
      </c>
      <c r="S18" s="5"/>
      <c r="T18" s="1"/>
    </row>
    <row r="19" spans="1:20" x14ac:dyDescent="0.25">
      <c r="A19" s="5"/>
      <c r="B19" s="5"/>
      <c r="C19" s="5" t="s">
        <v>14</v>
      </c>
      <c r="D19" s="36">
        <v>4433918</v>
      </c>
      <c r="E19" s="37">
        <f t="shared" si="0"/>
        <v>6708.551031708992</v>
      </c>
      <c r="F19" s="6">
        <f>((E19-E18)/E18)*100</f>
        <v>-4.0951936614272784</v>
      </c>
      <c r="G19" s="36">
        <v>86497</v>
      </c>
      <c r="H19" s="37">
        <f t="shared" si="1"/>
        <v>3364.5081163859109</v>
      </c>
      <c r="I19" s="6">
        <f>((H19-H18)/H18)*100</f>
        <v>-23.352237483385018</v>
      </c>
      <c r="K19" s="5"/>
      <c r="L19" s="5"/>
      <c r="M19" s="5" t="s">
        <v>14</v>
      </c>
      <c r="N19" s="36">
        <v>4383134</v>
      </c>
      <c r="O19" s="37">
        <f t="shared" si="2"/>
        <v>6631.7144606234851</v>
      </c>
      <c r="P19" s="6">
        <f>((O19-O18)/O18)*100</f>
        <v>-5.5196561822485792</v>
      </c>
      <c r="Q19" s="45">
        <v>10759</v>
      </c>
      <c r="R19" s="37">
        <f t="shared" si="3"/>
        <v>418.49709035222048</v>
      </c>
      <c r="S19" s="10">
        <f>((R19-R18)/R18)*100</f>
        <v>-26.504542660017766</v>
      </c>
      <c r="T19" s="31"/>
    </row>
    <row r="20" spans="1:20" x14ac:dyDescent="0.25">
      <c r="A20" s="2"/>
      <c r="D20" s="38"/>
      <c r="E20" s="37"/>
      <c r="K20" s="2"/>
    </row>
    <row r="21" spans="1:20" x14ac:dyDescent="0.25">
      <c r="A21" s="12" t="s">
        <v>80</v>
      </c>
      <c r="B21" s="12" t="s">
        <v>12</v>
      </c>
      <c r="C21" s="12" t="s">
        <v>13</v>
      </c>
      <c r="D21" s="115" t="s">
        <v>1</v>
      </c>
      <c r="E21" s="116"/>
      <c r="F21" s="44" t="s">
        <v>77</v>
      </c>
      <c r="G21" s="115" t="s">
        <v>16</v>
      </c>
      <c r="H21" s="116"/>
      <c r="I21" s="44" t="s">
        <v>79</v>
      </c>
      <c r="K21" s="12" t="s">
        <v>80</v>
      </c>
      <c r="L21" s="12" t="s">
        <v>12</v>
      </c>
      <c r="M21" s="12" t="s">
        <v>13</v>
      </c>
      <c r="N21" s="115" t="s">
        <v>1</v>
      </c>
      <c r="O21" s="116"/>
      <c r="P21" s="44" t="s">
        <v>77</v>
      </c>
      <c r="Q21" s="115" t="s">
        <v>16</v>
      </c>
      <c r="R21" s="116"/>
      <c r="S21" s="44" t="s">
        <v>79</v>
      </c>
      <c r="T21" s="106"/>
    </row>
    <row r="22" spans="1:20" ht="17.25" x14ac:dyDescent="0.25">
      <c r="A22" s="13"/>
      <c r="B22" s="13" t="s">
        <v>56</v>
      </c>
      <c r="C22" s="13"/>
      <c r="D22" s="35" t="s">
        <v>76</v>
      </c>
      <c r="E22" s="43" t="s">
        <v>48</v>
      </c>
      <c r="F22" s="13" t="s">
        <v>78</v>
      </c>
      <c r="G22" s="13" t="s">
        <v>76</v>
      </c>
      <c r="H22" s="13" t="s">
        <v>5</v>
      </c>
      <c r="I22" s="13" t="s">
        <v>78</v>
      </c>
      <c r="K22" s="13"/>
      <c r="L22" s="13" t="s">
        <v>56</v>
      </c>
      <c r="M22" s="13"/>
      <c r="N22" s="35" t="s">
        <v>76</v>
      </c>
      <c r="O22" s="43" t="s">
        <v>48</v>
      </c>
      <c r="P22" s="13" t="s">
        <v>78</v>
      </c>
      <c r="Q22" s="35" t="s">
        <v>76</v>
      </c>
      <c r="R22" s="13" t="s">
        <v>5</v>
      </c>
      <c r="S22" s="13" t="s">
        <v>78</v>
      </c>
      <c r="T22" s="1"/>
    </row>
    <row r="23" spans="1:20" x14ac:dyDescent="0.25">
      <c r="A23" s="5">
        <v>2</v>
      </c>
      <c r="B23" s="5">
        <v>10</v>
      </c>
      <c r="C23" s="5" t="s">
        <v>15</v>
      </c>
      <c r="D23" s="36">
        <v>1238415</v>
      </c>
      <c r="E23" s="37">
        <f t="shared" ref="E23:E34" si="4">D23*$O$2</f>
        <v>1873.731139352124</v>
      </c>
      <c r="F23" s="5"/>
      <c r="G23" s="36">
        <v>41887</v>
      </c>
      <c r="H23" s="37">
        <f t="shared" ref="H23:H34" si="5">G23*$O$1</f>
        <v>1629.2952526799386</v>
      </c>
      <c r="I23" s="5"/>
      <c r="K23" s="5">
        <v>2</v>
      </c>
      <c r="L23" s="5">
        <v>10</v>
      </c>
      <c r="M23" s="5" t="s">
        <v>15</v>
      </c>
      <c r="N23" s="36">
        <v>1205637</v>
      </c>
      <c r="O23" s="37">
        <f t="shared" ref="O23:O34" si="6">N23*$O$2</f>
        <v>1824.1377806753605</v>
      </c>
      <c r="P23" s="5"/>
      <c r="Q23" s="36">
        <v>7970.1</v>
      </c>
      <c r="R23" s="37">
        <f t="shared" ref="R23:R34" si="7">Q23*$O$1</f>
        <v>310.01614088820827</v>
      </c>
      <c r="S23" s="5"/>
      <c r="T23" s="1"/>
    </row>
    <row r="24" spans="1:20" x14ac:dyDescent="0.25">
      <c r="A24" s="5"/>
      <c r="B24" s="5"/>
      <c r="C24" s="5" t="s">
        <v>14</v>
      </c>
      <c r="D24" s="37">
        <v>653417</v>
      </c>
      <c r="E24" s="37">
        <f t="shared" si="4"/>
        <v>988.6247985384922</v>
      </c>
      <c r="F24" s="6">
        <f>((E24-E23)/E23)*100</f>
        <v>-47.237638432997016</v>
      </c>
      <c r="G24" s="37">
        <v>19377.5</v>
      </c>
      <c r="H24" s="37">
        <f t="shared" si="5"/>
        <v>753.73430321592639</v>
      </c>
      <c r="I24" s="6">
        <f>((H24-H23)/H23)*100</f>
        <v>-53.738630123904798</v>
      </c>
      <c r="J24" s="11"/>
      <c r="K24" s="5"/>
      <c r="L24" s="5"/>
      <c r="M24" s="5" t="s">
        <v>14</v>
      </c>
      <c r="N24" s="36">
        <v>690697</v>
      </c>
      <c r="O24" s="37">
        <f t="shared" si="6"/>
        <v>1045.0297168211739</v>
      </c>
      <c r="P24" s="6">
        <f>((O24-O23)/O23)*100</f>
        <v>-42.711031595745645</v>
      </c>
      <c r="Q24" s="36">
        <v>6350.6</v>
      </c>
      <c r="R24" s="37">
        <f t="shared" si="7"/>
        <v>247.02180704441039</v>
      </c>
      <c r="S24" s="10">
        <f>((R24-R23)/R23)*100</f>
        <v>-20.319694859537528</v>
      </c>
      <c r="T24" s="31"/>
    </row>
    <row r="25" spans="1:20" x14ac:dyDescent="0.25">
      <c r="A25" s="5"/>
      <c r="B25" s="5">
        <v>20</v>
      </c>
      <c r="C25" s="5" t="s">
        <v>15</v>
      </c>
      <c r="D25" s="36">
        <v>2006591</v>
      </c>
      <c r="E25" s="37">
        <f t="shared" si="4"/>
        <v>3035.9871615280158</v>
      </c>
      <c r="F25" s="5"/>
      <c r="G25" s="36">
        <v>58873</v>
      </c>
      <c r="H25" s="37">
        <f t="shared" si="5"/>
        <v>2290.0064318529858</v>
      </c>
      <c r="I25" s="5"/>
      <c r="J25" s="11"/>
      <c r="K25" s="5"/>
      <c r="L25" s="5">
        <v>20</v>
      </c>
      <c r="M25" s="5" t="s">
        <v>15</v>
      </c>
      <c r="N25" s="36">
        <v>1880575</v>
      </c>
      <c r="O25" s="37">
        <f t="shared" si="6"/>
        <v>2845.3240128608913</v>
      </c>
      <c r="P25" s="5"/>
      <c r="Q25" s="36">
        <v>8563.2000000000007</v>
      </c>
      <c r="R25" s="37">
        <f t="shared" si="7"/>
        <v>333.08618683001532</v>
      </c>
      <c r="S25" s="5"/>
      <c r="T25" s="1"/>
    </row>
    <row r="26" spans="1:20" x14ac:dyDescent="0.25">
      <c r="A26" s="5"/>
      <c r="B26" s="5"/>
      <c r="C26" s="5" t="s">
        <v>14</v>
      </c>
      <c r="D26" s="36">
        <v>1563183</v>
      </c>
      <c r="E26" s="37">
        <f t="shared" si="4"/>
        <v>2365.1075476361893</v>
      </c>
      <c r="F26" s="6">
        <f>((E26-E25)/E25)*100</f>
        <v>-22.097577433567668</v>
      </c>
      <c r="G26" s="36">
        <v>53521</v>
      </c>
      <c r="H26" s="37">
        <f t="shared" si="5"/>
        <v>2081.8275650842265</v>
      </c>
      <c r="I26" s="6">
        <f>((H26-H25)/H25)*100</f>
        <v>-9.0907546753180437</v>
      </c>
      <c r="K26" s="5"/>
      <c r="L26" s="5"/>
      <c r="M26" s="5" t="s">
        <v>14</v>
      </c>
      <c r="N26" s="36">
        <v>1571928</v>
      </c>
      <c r="O26" s="37">
        <f t="shared" si="6"/>
        <v>2378.3387979146778</v>
      </c>
      <c r="P26" s="6">
        <f>((O26-O25)/O25)*100</f>
        <v>-16.412373875011632</v>
      </c>
      <c r="Q26" s="36">
        <v>1414.7</v>
      </c>
      <c r="R26" s="37">
        <f t="shared" si="7"/>
        <v>55.028147013782537</v>
      </c>
      <c r="S26" s="10">
        <f>((R26-R25)/R25)*100</f>
        <v>-83.479306801195818</v>
      </c>
      <c r="T26" s="31"/>
    </row>
    <row r="27" spans="1:20" x14ac:dyDescent="0.25">
      <c r="A27" s="5"/>
      <c r="B27" s="5">
        <v>30</v>
      </c>
      <c r="C27" s="5" t="s">
        <v>15</v>
      </c>
      <c r="D27" s="36">
        <v>2673898</v>
      </c>
      <c r="E27" s="37">
        <f t="shared" si="4"/>
        <v>4045.6276337506938</v>
      </c>
      <c r="F27" s="5"/>
      <c r="G27" s="36">
        <v>85565</v>
      </c>
      <c r="H27" s="37">
        <f t="shared" si="5"/>
        <v>3328.2557427258803</v>
      </c>
      <c r="I27" s="5"/>
      <c r="K27" s="5"/>
      <c r="L27" s="5">
        <v>30</v>
      </c>
      <c r="M27" s="5" t="s">
        <v>15</v>
      </c>
      <c r="N27" s="36">
        <v>2579598</v>
      </c>
      <c r="O27" s="37">
        <f t="shared" si="6"/>
        <v>3902.9510298328591</v>
      </c>
      <c r="P27" s="5"/>
      <c r="Q27" s="36">
        <v>9225.5</v>
      </c>
      <c r="R27" s="37">
        <f t="shared" si="7"/>
        <v>358.84793261868299</v>
      </c>
      <c r="S27" s="5"/>
      <c r="T27" s="1"/>
    </row>
    <row r="28" spans="1:20" x14ac:dyDescent="0.25">
      <c r="A28" s="5"/>
      <c r="B28" s="5"/>
      <c r="C28" s="5" t="s">
        <v>14</v>
      </c>
      <c r="D28" s="36">
        <v>2584248</v>
      </c>
      <c r="E28" s="37">
        <f t="shared" si="4"/>
        <v>3909.9865145435479</v>
      </c>
      <c r="F28" s="6">
        <f>((E28-E27)/E27)*100</f>
        <v>-3.3527830904544551</v>
      </c>
      <c r="G28" s="36">
        <v>83692</v>
      </c>
      <c r="H28" s="37">
        <f t="shared" si="5"/>
        <v>3255.4009188361406</v>
      </c>
      <c r="I28" s="6">
        <f>((H28-H27)/H27)*100</f>
        <v>-2.1889791386665118</v>
      </c>
      <c r="K28" s="5"/>
      <c r="L28" s="5"/>
      <c r="M28" s="5" t="s">
        <v>14</v>
      </c>
      <c r="N28" s="36">
        <v>2522259</v>
      </c>
      <c r="O28" s="37">
        <f t="shared" si="6"/>
        <v>3816.1966948164782</v>
      </c>
      <c r="P28" s="6">
        <f>((O28-O27)/O27)*100</f>
        <v>-2.2227882018826195</v>
      </c>
      <c r="Q28" s="36">
        <v>9870.9</v>
      </c>
      <c r="R28" s="37">
        <f t="shared" si="7"/>
        <v>383.95231240428785</v>
      </c>
      <c r="S28" s="10">
        <f>((R28-R27)/R27)*100</f>
        <v>6.9958267844561162</v>
      </c>
      <c r="T28" s="31"/>
    </row>
    <row r="29" spans="1:20" x14ac:dyDescent="0.25">
      <c r="A29" s="5"/>
      <c r="B29" s="5">
        <v>40</v>
      </c>
      <c r="C29" s="5" t="s">
        <v>15</v>
      </c>
      <c r="D29" s="36">
        <v>3311358</v>
      </c>
      <c r="E29" s="37">
        <f t="shared" si="4"/>
        <v>5010.1093721755396</v>
      </c>
      <c r="F29" s="5"/>
      <c r="G29" s="36">
        <v>86265</v>
      </c>
      <c r="H29" s="37">
        <f t="shared" si="5"/>
        <v>3355.4839203675342</v>
      </c>
      <c r="I29" s="5"/>
      <c r="K29" s="5"/>
      <c r="L29" s="5">
        <v>40</v>
      </c>
      <c r="M29" s="5" t="s">
        <v>15</v>
      </c>
      <c r="N29" s="36">
        <v>3134907</v>
      </c>
      <c r="O29" s="37">
        <f t="shared" si="6"/>
        <v>4743.1376920280754</v>
      </c>
      <c r="P29" s="5"/>
      <c r="Q29" s="36">
        <v>10933</v>
      </c>
      <c r="R29" s="37">
        <f t="shared" si="7"/>
        <v>425.26523736600302</v>
      </c>
      <c r="S29" s="5"/>
      <c r="T29" s="1"/>
    </row>
    <row r="30" spans="1:20" x14ac:dyDescent="0.25">
      <c r="A30" s="5"/>
      <c r="B30" s="5"/>
      <c r="C30" s="5" t="s">
        <v>14</v>
      </c>
      <c r="D30" s="36">
        <v>3218971</v>
      </c>
      <c r="E30" s="37">
        <f t="shared" si="4"/>
        <v>4870.3271515376073</v>
      </c>
      <c r="F30" s="6">
        <f>((E30-E29)/E29)*100</f>
        <v>-2.7900033762583258</v>
      </c>
      <c r="G30" s="36">
        <v>98956</v>
      </c>
      <c r="H30" s="37">
        <f t="shared" si="5"/>
        <v>3849.1307810107191</v>
      </c>
      <c r="I30" s="6">
        <f>((H30-H29)/H29)*100</f>
        <v>14.711644351706941</v>
      </c>
      <c r="K30" s="5"/>
      <c r="L30" s="5"/>
      <c r="M30" s="5" t="s">
        <v>14</v>
      </c>
      <c r="N30" s="36">
        <v>3049705</v>
      </c>
      <c r="O30" s="37">
        <f t="shared" si="6"/>
        <v>4614.2264300237557</v>
      </c>
      <c r="P30" s="6">
        <f>((O30-O29)/O29)*100</f>
        <v>-2.7178477702847315</v>
      </c>
      <c r="Q30" s="36">
        <v>10575</v>
      </c>
      <c r="R30" s="37">
        <f t="shared" si="7"/>
        <v>411.33996937212862</v>
      </c>
      <c r="S30" s="10">
        <f>((R30-R29)/R29)*100</f>
        <v>-3.2744900759169431</v>
      </c>
      <c r="T30" s="31"/>
    </row>
    <row r="31" spans="1:20" x14ac:dyDescent="0.25">
      <c r="A31" s="5"/>
      <c r="B31" s="5">
        <v>50</v>
      </c>
      <c r="C31" s="5" t="s">
        <v>15</v>
      </c>
      <c r="D31" s="36">
        <v>3912601</v>
      </c>
      <c r="E31" s="37">
        <f t="shared" si="4"/>
        <v>5919.7945192526413</v>
      </c>
      <c r="F31" s="5"/>
      <c r="G31" s="36">
        <v>91661</v>
      </c>
      <c r="H31" s="37">
        <f t="shared" si="5"/>
        <v>3565.3742725880547</v>
      </c>
      <c r="I31" s="5"/>
      <c r="K31" s="5"/>
      <c r="L31" s="5">
        <v>50</v>
      </c>
      <c r="M31" s="5" t="s">
        <v>15</v>
      </c>
      <c r="N31" s="36">
        <v>3854457</v>
      </c>
      <c r="O31" s="37">
        <f t="shared" si="6"/>
        <v>5831.8222132272058</v>
      </c>
      <c r="P31" s="5"/>
      <c r="Q31" s="36">
        <v>11313</v>
      </c>
      <c r="R31" s="37">
        <f t="shared" si="7"/>
        <v>440.04624808575801</v>
      </c>
      <c r="S31" s="5"/>
      <c r="T31" s="1"/>
    </row>
    <row r="32" spans="1:20" x14ac:dyDescent="0.25">
      <c r="A32" s="5"/>
      <c r="B32" s="5"/>
      <c r="C32" s="5" t="s">
        <v>14</v>
      </c>
      <c r="D32" s="36">
        <v>3736316</v>
      </c>
      <c r="E32" s="37">
        <f t="shared" si="4"/>
        <v>5653.0739983443118</v>
      </c>
      <c r="F32" s="6">
        <f>((E32-E31)/E31)*100</f>
        <v>-4.5055705910211605</v>
      </c>
      <c r="G32" s="36">
        <v>85895</v>
      </c>
      <c r="H32" s="37">
        <f t="shared" si="5"/>
        <v>3341.0918836140886</v>
      </c>
      <c r="I32" s="6">
        <f>((H32-H31)/H31)*100</f>
        <v>-6.2905706898244578</v>
      </c>
      <c r="K32" s="5"/>
      <c r="L32" s="5"/>
      <c r="M32" s="5" t="s">
        <v>14</v>
      </c>
      <c r="N32" s="36">
        <v>3537433</v>
      </c>
      <c r="O32" s="37">
        <f t="shared" si="6"/>
        <v>5352.1625347495001</v>
      </c>
      <c r="P32" s="6">
        <f>((O32-O31)/O31)*100</f>
        <v>-8.2248679904847837</v>
      </c>
      <c r="Q32" s="36">
        <v>10371</v>
      </c>
      <c r="R32" s="37">
        <f t="shared" si="7"/>
        <v>403.404900459418</v>
      </c>
      <c r="S32" s="10">
        <f>((R32-R31)/R31)*100</f>
        <v>-8.3267037920975966</v>
      </c>
      <c r="T32" s="31"/>
    </row>
    <row r="33" spans="1:20" x14ac:dyDescent="0.25">
      <c r="A33" s="5"/>
      <c r="B33" s="5">
        <v>60</v>
      </c>
      <c r="C33" s="5" t="s">
        <v>15</v>
      </c>
      <c r="D33" s="36">
        <v>4406062</v>
      </c>
      <c r="E33" s="37">
        <f t="shared" si="4"/>
        <v>6666.4046957733053</v>
      </c>
      <c r="F33" s="5"/>
      <c r="G33" s="36">
        <v>80239</v>
      </c>
      <c r="H33" s="37">
        <f t="shared" si="5"/>
        <v>3121.0882082695248</v>
      </c>
      <c r="I33" s="5"/>
      <c r="K33" s="5"/>
      <c r="L33" s="5">
        <v>60</v>
      </c>
      <c r="M33" s="5" t="s">
        <v>15</v>
      </c>
      <c r="N33" s="36">
        <v>4333299</v>
      </c>
      <c r="O33" s="37">
        <f t="shared" si="6"/>
        <v>6556.3137336219443</v>
      </c>
      <c r="P33" s="5"/>
      <c r="Q33" s="36">
        <v>11152</v>
      </c>
      <c r="R33" s="37">
        <f t="shared" si="7"/>
        <v>433.78376722817762</v>
      </c>
      <c r="S33" s="5"/>
      <c r="T33" s="1"/>
    </row>
    <row r="34" spans="1:20" x14ac:dyDescent="0.25">
      <c r="A34" s="5"/>
      <c r="B34" s="5"/>
      <c r="C34" s="5" t="s">
        <v>14</v>
      </c>
      <c r="D34" s="36">
        <v>4342931</v>
      </c>
      <c r="E34" s="37">
        <f t="shared" si="4"/>
        <v>6570.8870215215893</v>
      </c>
      <c r="F34" s="6">
        <f>((E34-E33)/E33)*100</f>
        <v>-1.4328214174017517</v>
      </c>
      <c r="G34" s="36">
        <v>85025</v>
      </c>
      <c r="H34" s="37">
        <f t="shared" si="5"/>
        <v>3307.251148545176</v>
      </c>
      <c r="I34" s="6">
        <f>((H34-H33)/H33)*100</f>
        <v>5.9646805169556067</v>
      </c>
      <c r="K34" s="5"/>
      <c r="L34" s="5"/>
      <c r="M34" s="5" t="s">
        <v>14</v>
      </c>
      <c r="N34" s="36">
        <v>4268066</v>
      </c>
      <c r="O34" s="37">
        <f t="shared" si="6"/>
        <v>6457.6157176795041</v>
      </c>
      <c r="P34" s="6">
        <f>((O34-O33)/O33)*100</f>
        <v>-1.5053888503885833</v>
      </c>
      <c r="Q34" s="36">
        <v>10584</v>
      </c>
      <c r="R34" s="37">
        <f t="shared" si="7"/>
        <v>411.690045941807</v>
      </c>
      <c r="S34" s="10">
        <f>((R34-R33)/R33)*100</f>
        <v>-5.0932568149210971</v>
      </c>
      <c r="T34" s="31"/>
    </row>
    <row r="35" spans="1:20" x14ac:dyDescent="0.25">
      <c r="A35" s="2"/>
      <c r="E35" s="37"/>
      <c r="G35" s="34"/>
      <c r="H35" s="34"/>
      <c r="K35" s="2"/>
    </row>
    <row r="36" spans="1:20" x14ac:dyDescent="0.25">
      <c r="A36" s="12" t="s">
        <v>80</v>
      </c>
      <c r="B36" s="12" t="s">
        <v>12</v>
      </c>
      <c r="C36" s="12" t="s">
        <v>13</v>
      </c>
      <c r="D36" s="115" t="s">
        <v>1</v>
      </c>
      <c r="E36" s="116"/>
      <c r="F36" s="44" t="s">
        <v>77</v>
      </c>
      <c r="G36" s="117" t="s">
        <v>16</v>
      </c>
      <c r="H36" s="118"/>
      <c r="I36" s="44" t="s">
        <v>79</v>
      </c>
      <c r="K36" s="12" t="s">
        <v>80</v>
      </c>
      <c r="L36" s="12" t="s">
        <v>12</v>
      </c>
      <c r="M36" s="12" t="s">
        <v>13</v>
      </c>
      <c r="N36" s="115" t="s">
        <v>1</v>
      </c>
      <c r="O36" s="116"/>
      <c r="P36" s="44" t="s">
        <v>77</v>
      </c>
      <c r="Q36" s="115" t="s">
        <v>16</v>
      </c>
      <c r="R36" s="116"/>
      <c r="S36" s="44" t="s">
        <v>79</v>
      </c>
      <c r="T36" s="106"/>
    </row>
    <row r="37" spans="1:20" ht="17.25" x14ac:dyDescent="0.25">
      <c r="A37" s="13"/>
      <c r="B37" s="13" t="s">
        <v>56</v>
      </c>
      <c r="C37" s="13"/>
      <c r="D37" s="35" t="s">
        <v>76</v>
      </c>
      <c r="E37" s="43" t="s">
        <v>48</v>
      </c>
      <c r="F37" s="13" t="s">
        <v>78</v>
      </c>
      <c r="G37" s="35" t="s">
        <v>76</v>
      </c>
      <c r="H37" s="35" t="s">
        <v>5</v>
      </c>
      <c r="I37" s="13" t="s">
        <v>78</v>
      </c>
      <c r="K37" s="13"/>
      <c r="L37" s="13" t="s">
        <v>56</v>
      </c>
      <c r="M37" s="13"/>
      <c r="N37" s="35" t="s">
        <v>76</v>
      </c>
      <c r="O37" s="43" t="s">
        <v>48</v>
      </c>
      <c r="P37" s="13" t="s">
        <v>78</v>
      </c>
      <c r="Q37" s="35" t="s">
        <v>76</v>
      </c>
      <c r="R37" s="13" t="s">
        <v>5</v>
      </c>
      <c r="S37" s="13" t="s">
        <v>78</v>
      </c>
      <c r="T37" s="1"/>
    </row>
    <row r="38" spans="1:20" x14ac:dyDescent="0.25">
      <c r="A38" s="5">
        <v>3</v>
      </c>
      <c r="B38" s="5">
        <v>10</v>
      </c>
      <c r="C38" s="5" t="s">
        <v>15</v>
      </c>
      <c r="D38" s="37">
        <v>948834</v>
      </c>
      <c r="E38" s="37">
        <f t="shared" ref="E38:E49" si="8">D38*$O$2</f>
        <v>1435.5929247271984</v>
      </c>
      <c r="F38" s="6"/>
      <c r="G38" s="37">
        <v>34107.300000000003</v>
      </c>
      <c r="H38" s="37">
        <f t="shared" ref="H38:H49" si="9">G38*$O$1</f>
        <v>1326.6851761102603</v>
      </c>
      <c r="I38" s="6"/>
      <c r="J38" s="14"/>
      <c r="K38" s="5">
        <v>3</v>
      </c>
      <c r="L38" s="5">
        <v>10</v>
      </c>
      <c r="M38" s="5" t="s">
        <v>15</v>
      </c>
      <c r="N38" s="36">
        <v>980776</v>
      </c>
      <c r="O38" s="37">
        <f t="shared" ref="O38:O49" si="10">N38*$O$2</f>
        <v>1483.9214091635024</v>
      </c>
      <c r="P38" s="10"/>
      <c r="Q38" s="36">
        <v>7456.2</v>
      </c>
      <c r="R38" s="37">
        <f t="shared" ref="R38:R49" si="11">Q38*$O$1</f>
        <v>290.02676875957115</v>
      </c>
      <c r="S38" s="5"/>
      <c r="T38" s="1"/>
    </row>
    <row r="39" spans="1:20" x14ac:dyDescent="0.25">
      <c r="A39" s="5"/>
      <c r="B39" s="5"/>
      <c r="C39" s="5" t="s">
        <v>14</v>
      </c>
      <c r="D39" s="36">
        <v>664940</v>
      </c>
      <c r="E39" s="37">
        <f t="shared" si="8"/>
        <v>1006.0591835538179</v>
      </c>
      <c r="F39" s="6">
        <f>((E39-E38)/E38)*100</f>
        <v>-29.920302181414243</v>
      </c>
      <c r="G39" s="37">
        <v>24842</v>
      </c>
      <c r="H39" s="37">
        <f t="shared" si="9"/>
        <v>966.28912710566601</v>
      </c>
      <c r="I39" s="6">
        <f>((H39-H38)/H38)*100</f>
        <v>-27.165152328093995</v>
      </c>
      <c r="J39" s="14"/>
      <c r="K39" s="5"/>
      <c r="L39" s="5"/>
      <c r="M39" s="5" t="s">
        <v>14</v>
      </c>
      <c r="N39" s="36">
        <v>689876</v>
      </c>
      <c r="O39" s="37">
        <f t="shared" si="10"/>
        <v>1043.7875376926845</v>
      </c>
      <c r="P39" s="10">
        <f>((O39-O38)/O38)*100</f>
        <v>-29.660187443412156</v>
      </c>
      <c r="Q39" s="36">
        <v>6373.6</v>
      </c>
      <c r="R39" s="37">
        <f t="shared" si="11"/>
        <v>247.9164471669219</v>
      </c>
      <c r="S39" s="10">
        <f>((R39-R38)/R38)*100</f>
        <v>-14.5194603149057</v>
      </c>
      <c r="T39" s="31"/>
    </row>
    <row r="40" spans="1:20" x14ac:dyDescent="0.25">
      <c r="A40" s="5"/>
      <c r="B40" s="5">
        <v>20</v>
      </c>
      <c r="C40" s="5" t="s">
        <v>15</v>
      </c>
      <c r="D40" s="36">
        <v>1741365</v>
      </c>
      <c r="E40" s="37">
        <f t="shared" si="8"/>
        <v>2634.6982437049869</v>
      </c>
      <c r="F40" s="6"/>
      <c r="G40" s="36">
        <v>58318</v>
      </c>
      <c r="H40" s="37">
        <f t="shared" si="9"/>
        <v>2268.4183767228174</v>
      </c>
      <c r="I40" s="6"/>
      <c r="J40" s="15"/>
      <c r="K40" s="5"/>
      <c r="L40" s="5">
        <v>20</v>
      </c>
      <c r="M40" s="5" t="s">
        <v>15</v>
      </c>
      <c r="N40" s="36">
        <v>1646773</v>
      </c>
      <c r="O40" s="37">
        <f t="shared" si="10"/>
        <v>2491.5798416074704</v>
      </c>
      <c r="P40" s="10"/>
      <c r="Q40" s="36">
        <v>8717.5</v>
      </c>
      <c r="R40" s="37">
        <f t="shared" si="11"/>
        <v>339.08805513016841</v>
      </c>
      <c r="S40" s="5"/>
      <c r="T40" s="1"/>
    </row>
    <row r="41" spans="1:20" x14ac:dyDescent="0.25">
      <c r="A41" s="5"/>
      <c r="B41" s="5"/>
      <c r="C41" s="5" t="s">
        <v>14</v>
      </c>
      <c r="D41" s="36">
        <v>1299248</v>
      </c>
      <c r="E41" s="37">
        <f t="shared" si="8"/>
        <v>1965.7719224500418</v>
      </c>
      <c r="F41" s="6">
        <f>((E41-E40)/E40)*100</f>
        <v>-25.389105672848594</v>
      </c>
      <c r="G41" s="36">
        <v>46910</v>
      </c>
      <c r="H41" s="37">
        <f t="shared" si="9"/>
        <v>1824.6768759571207</v>
      </c>
      <c r="I41" s="6">
        <f>((H41-H40)/H40)*100</f>
        <v>-19.561713364655851</v>
      </c>
      <c r="K41" s="5"/>
      <c r="L41" s="5"/>
      <c r="M41" s="5" t="s">
        <v>14</v>
      </c>
      <c r="N41" s="36">
        <v>1241487</v>
      </c>
      <c r="O41" s="37">
        <f t="shared" si="10"/>
        <v>1878.3790982835724</v>
      </c>
      <c r="P41" s="10">
        <f>((O41-O40)/O40)*100</f>
        <v>-24.610920873733058</v>
      </c>
      <c r="Q41" s="36">
        <v>7653.6</v>
      </c>
      <c r="R41" s="37">
        <f t="shared" si="11"/>
        <v>297.7051148545176</v>
      </c>
      <c r="S41" s="10">
        <f>((R41-R40)/R40)*100</f>
        <v>-12.204186980212208</v>
      </c>
      <c r="T41" s="31"/>
    </row>
    <row r="42" spans="1:20" x14ac:dyDescent="0.25">
      <c r="A42" s="5"/>
      <c r="B42" s="5">
        <v>30</v>
      </c>
      <c r="C42" s="5" t="s">
        <v>15</v>
      </c>
      <c r="D42" s="36">
        <v>2434671</v>
      </c>
      <c r="E42" s="37">
        <f t="shared" si="8"/>
        <v>3683.6753970014697</v>
      </c>
      <c r="F42" s="6"/>
      <c r="G42" s="36">
        <v>86080</v>
      </c>
      <c r="H42" s="37">
        <f t="shared" si="9"/>
        <v>3348.2879019908114</v>
      </c>
      <c r="I42" s="6"/>
      <c r="K42" s="5"/>
      <c r="L42" s="5">
        <v>30</v>
      </c>
      <c r="M42" s="5" t="s">
        <v>15</v>
      </c>
      <c r="N42" s="36">
        <v>2233422</v>
      </c>
      <c r="O42" s="37">
        <f t="shared" si="10"/>
        <v>3379.1841577452628</v>
      </c>
      <c r="P42" s="10"/>
      <c r="Q42" s="36">
        <v>9895.2999999999993</v>
      </c>
      <c r="R42" s="37">
        <f t="shared" si="11"/>
        <v>384.90140888208265</v>
      </c>
      <c r="S42" s="5"/>
      <c r="T42" s="1"/>
    </row>
    <row r="43" spans="1:20" x14ac:dyDescent="0.25">
      <c r="A43" s="5"/>
      <c r="B43" s="5"/>
      <c r="C43" s="5" t="s">
        <v>14</v>
      </c>
      <c r="D43" s="36">
        <v>2255156</v>
      </c>
      <c r="E43" s="37">
        <f t="shared" si="8"/>
        <v>3412.0678619822747</v>
      </c>
      <c r="F43" s="6">
        <f>((E43-E42)/E42)*100</f>
        <v>-7.373275485681634</v>
      </c>
      <c r="G43" s="36">
        <v>81452</v>
      </c>
      <c r="H43" s="37">
        <f t="shared" si="9"/>
        <v>3168.2707503828478</v>
      </c>
      <c r="I43" s="6">
        <f>((H43-H42)/H42)*100</f>
        <v>-5.3763940520446196</v>
      </c>
      <c r="K43" s="5"/>
      <c r="L43" s="5"/>
      <c r="M43" s="5" t="s">
        <v>14</v>
      </c>
      <c r="N43" s="36">
        <v>2092525</v>
      </c>
      <c r="O43" s="37">
        <f t="shared" si="10"/>
        <v>3166.0059449964701</v>
      </c>
      <c r="P43" s="10">
        <f>((O43-O42)/O42)*100</f>
        <v>-6.3085704358603056</v>
      </c>
      <c r="Q43" s="36">
        <v>9558.7999999999993</v>
      </c>
      <c r="R43" s="37">
        <f t="shared" si="11"/>
        <v>371.81243491577328</v>
      </c>
      <c r="S43" s="10">
        <f>((R43-R42)/R42)*100</f>
        <v>-3.4006043273069109</v>
      </c>
      <c r="T43" s="31"/>
    </row>
    <row r="44" spans="1:20" x14ac:dyDescent="0.25">
      <c r="A44" s="5"/>
      <c r="B44" s="5">
        <v>40</v>
      </c>
      <c r="C44" s="5" t="s">
        <v>15</v>
      </c>
      <c r="D44" s="36">
        <v>3184222</v>
      </c>
      <c r="E44" s="37">
        <f t="shared" si="8"/>
        <v>4817.7516551479912</v>
      </c>
      <c r="F44" s="6"/>
      <c r="G44" s="36">
        <v>100110</v>
      </c>
      <c r="H44" s="37">
        <f t="shared" si="9"/>
        <v>3894.0183767228173</v>
      </c>
      <c r="I44" s="6"/>
      <c r="K44" s="5"/>
      <c r="L44" s="5">
        <v>40</v>
      </c>
      <c r="M44" s="5" t="s">
        <v>15</v>
      </c>
      <c r="N44" s="36">
        <v>2937654</v>
      </c>
      <c r="O44" s="37">
        <f t="shared" si="10"/>
        <v>4444.6924306006667</v>
      </c>
      <c r="P44" s="10"/>
      <c r="Q44" s="36">
        <v>11720</v>
      </c>
      <c r="R44" s="37">
        <f t="shared" si="11"/>
        <v>455.87748851454819</v>
      </c>
      <c r="S44" s="5"/>
      <c r="T44" s="1"/>
    </row>
    <row r="45" spans="1:20" x14ac:dyDescent="0.25">
      <c r="A45" s="5"/>
      <c r="B45" s="5"/>
      <c r="C45" s="5" t="s">
        <v>14</v>
      </c>
      <c r="D45" s="36">
        <v>3564981</v>
      </c>
      <c r="E45" s="37">
        <f t="shared" si="8"/>
        <v>5393.8428643860698</v>
      </c>
      <c r="F45" s="6">
        <f>((E45-E44)/E44)*100</f>
        <v>11.95767757398824</v>
      </c>
      <c r="G45" s="36">
        <v>74629</v>
      </c>
      <c r="H45" s="37">
        <f t="shared" si="9"/>
        <v>2902.8738131699843</v>
      </c>
      <c r="I45" s="6">
        <f>((H45-H44)/H44)*100</f>
        <v>-25.453001698132056</v>
      </c>
      <c r="K45" s="5"/>
      <c r="L45" s="5"/>
      <c r="M45" s="5" t="s">
        <v>14</v>
      </c>
      <c r="N45" s="36">
        <v>2402972</v>
      </c>
      <c r="O45" s="37">
        <f t="shared" si="10"/>
        <v>3635.714573379079</v>
      </c>
      <c r="P45" s="10">
        <f>((O45-O44)/O44)*100</f>
        <v>-18.200986229147482</v>
      </c>
      <c r="Q45" s="36">
        <v>9738.4</v>
      </c>
      <c r="R45" s="37">
        <f t="shared" si="11"/>
        <v>378.79840735068905</v>
      </c>
      <c r="S45" s="10">
        <f>((R45-R44)/R44)*100</f>
        <v>-16.907849829351544</v>
      </c>
      <c r="T45" s="31"/>
    </row>
    <row r="46" spans="1:20" x14ac:dyDescent="0.25">
      <c r="A46" s="5"/>
      <c r="B46" s="5">
        <v>50</v>
      </c>
      <c r="C46" s="5" t="s">
        <v>15</v>
      </c>
      <c r="D46" s="36">
        <v>3778023</v>
      </c>
      <c r="E46" s="37">
        <f t="shared" si="8"/>
        <v>5716.1770006730612</v>
      </c>
      <c r="F46" s="6"/>
      <c r="G46" s="36">
        <v>102230</v>
      </c>
      <c r="H46" s="37">
        <f t="shared" si="9"/>
        <v>3976.4808575803977</v>
      </c>
      <c r="I46" s="6"/>
      <c r="K46" s="5"/>
      <c r="L46" s="5">
        <v>50</v>
      </c>
      <c r="M46" s="5" t="s">
        <v>15</v>
      </c>
      <c r="N46" s="36">
        <v>3491337</v>
      </c>
      <c r="O46" s="37">
        <f t="shared" si="10"/>
        <v>5282.4189426583389</v>
      </c>
      <c r="P46" s="10"/>
      <c r="Q46" s="36">
        <v>11040</v>
      </c>
      <c r="R46" s="37">
        <f t="shared" si="11"/>
        <v>429.42725880551296</v>
      </c>
      <c r="S46" s="5"/>
      <c r="T46" s="1"/>
    </row>
    <row r="47" spans="1:20" x14ac:dyDescent="0.25">
      <c r="A47" s="5"/>
      <c r="B47" s="5"/>
      <c r="C47" s="5" t="s">
        <v>14</v>
      </c>
      <c r="D47" s="36">
        <v>2889304</v>
      </c>
      <c r="E47" s="37">
        <f t="shared" si="8"/>
        <v>4371.5385196841526</v>
      </c>
      <c r="F47" s="6">
        <f>((E47-E46)/E46)*100</f>
        <v>-23.523387761270893</v>
      </c>
      <c r="G47" s="36">
        <v>87193</v>
      </c>
      <c r="H47" s="37">
        <f t="shared" si="9"/>
        <v>3391.5807044410408</v>
      </c>
      <c r="I47" s="6">
        <f>((H47-H46)/H46)*100</f>
        <v>-14.70898953340507</v>
      </c>
      <c r="K47" s="5"/>
      <c r="L47" s="5"/>
      <c r="M47" s="5" t="s">
        <v>14</v>
      </c>
      <c r="N47" s="37">
        <v>2635630</v>
      </c>
      <c r="O47" s="37">
        <f t="shared" si="10"/>
        <v>3987.7278640929239</v>
      </c>
      <c r="P47" s="10">
        <f>((O47-O46)/O46)*100</f>
        <v>-24.509435783483525</v>
      </c>
      <c r="Q47" s="36">
        <v>10294</v>
      </c>
      <c r="R47" s="37">
        <f t="shared" si="11"/>
        <v>400.40980091883608</v>
      </c>
      <c r="S47" s="10">
        <f>((R47-R46)/R46)*100</f>
        <v>-6.7572463768115956</v>
      </c>
      <c r="T47" s="31"/>
    </row>
    <row r="48" spans="1:20" x14ac:dyDescent="0.25">
      <c r="A48" s="5"/>
      <c r="B48" s="5">
        <v>60</v>
      </c>
      <c r="C48" s="5" t="s">
        <v>15</v>
      </c>
      <c r="D48" s="36">
        <v>4288246</v>
      </c>
      <c r="E48" s="37">
        <f t="shared" si="8"/>
        <v>6488.1482083164274</v>
      </c>
      <c r="F48" s="6"/>
      <c r="G48" s="36">
        <v>94768</v>
      </c>
      <c r="H48" s="37">
        <f t="shared" si="9"/>
        <v>3686.2284839203671</v>
      </c>
      <c r="I48" s="6"/>
      <c r="K48" s="5"/>
      <c r="L48" s="5">
        <v>60</v>
      </c>
      <c r="M48" s="5" t="s">
        <v>15</v>
      </c>
      <c r="N48" s="36">
        <v>4332966</v>
      </c>
      <c r="O48" s="37">
        <f t="shared" si="10"/>
        <v>6555.8099021362104</v>
      </c>
      <c r="P48" s="10"/>
      <c r="Q48" s="36">
        <v>13029</v>
      </c>
      <c r="R48" s="37">
        <f t="shared" si="11"/>
        <v>506.79418070444098</v>
      </c>
      <c r="S48" s="5"/>
      <c r="T48" s="1"/>
    </row>
    <row r="49" spans="1:20" x14ac:dyDescent="0.25">
      <c r="A49" s="5"/>
      <c r="B49" s="5"/>
      <c r="C49" s="5" t="s">
        <v>14</v>
      </c>
      <c r="D49" s="36">
        <v>2751466</v>
      </c>
      <c r="E49" s="37">
        <f t="shared" si="8"/>
        <v>4162.9885967697674</v>
      </c>
      <c r="F49" s="6">
        <f>((E49-E48)/E48)*100</f>
        <v>-35.837029871887012</v>
      </c>
      <c r="G49" s="36">
        <v>62807</v>
      </c>
      <c r="H49" s="37">
        <f t="shared" si="9"/>
        <v>2443.028790199081</v>
      </c>
      <c r="I49" s="6">
        <f>((H49-H48)/H48)*100</f>
        <v>-33.725519162586522</v>
      </c>
      <c r="K49" s="5"/>
      <c r="L49" s="5"/>
      <c r="M49" s="5" t="s">
        <v>14</v>
      </c>
      <c r="N49" s="36">
        <v>2565802</v>
      </c>
      <c r="O49" s="37">
        <f t="shared" si="10"/>
        <v>3882.077578850352</v>
      </c>
      <c r="P49" s="10">
        <f>((O49-O48)/O48)*100</f>
        <v>-40.78416493459676</v>
      </c>
      <c r="Q49" s="36">
        <v>9722.2999999999993</v>
      </c>
      <c r="R49" s="37">
        <f t="shared" si="11"/>
        <v>378.172159264931</v>
      </c>
      <c r="S49" s="10">
        <f>((R49-R48)/R48)*100</f>
        <v>-25.379537953795388</v>
      </c>
      <c r="T49" s="31"/>
    </row>
    <row r="50" spans="1:20" x14ac:dyDescent="0.25">
      <c r="A50" s="2"/>
      <c r="E50" s="37"/>
      <c r="G50" s="34"/>
      <c r="H50" s="34"/>
      <c r="K50" s="2"/>
      <c r="M50" s="1"/>
      <c r="N50" s="41"/>
      <c r="O50" s="1"/>
      <c r="P50" s="1"/>
      <c r="Q50" s="41"/>
      <c r="R50" s="1"/>
      <c r="S50" s="1"/>
      <c r="T50" s="1"/>
    </row>
    <row r="51" spans="1:20" x14ac:dyDescent="0.25">
      <c r="A51" s="12" t="s">
        <v>80</v>
      </c>
      <c r="B51" s="12" t="s">
        <v>12</v>
      </c>
      <c r="C51" s="12" t="s">
        <v>13</v>
      </c>
      <c r="D51" s="115" t="s">
        <v>1</v>
      </c>
      <c r="E51" s="116"/>
      <c r="F51" s="44" t="s">
        <v>77</v>
      </c>
      <c r="G51" s="117" t="s">
        <v>16</v>
      </c>
      <c r="H51" s="118"/>
      <c r="I51" s="44" t="s">
        <v>79</v>
      </c>
      <c r="K51" s="12" t="s">
        <v>80</v>
      </c>
      <c r="L51" s="12" t="s">
        <v>12</v>
      </c>
      <c r="M51" s="12" t="s">
        <v>13</v>
      </c>
      <c r="N51" s="115" t="s">
        <v>1</v>
      </c>
      <c r="O51" s="116"/>
      <c r="P51" s="44" t="s">
        <v>77</v>
      </c>
      <c r="Q51" s="115" t="s">
        <v>16</v>
      </c>
      <c r="R51" s="116"/>
      <c r="S51" s="44" t="s">
        <v>79</v>
      </c>
      <c r="T51" s="106"/>
    </row>
    <row r="52" spans="1:20" ht="17.25" x14ac:dyDescent="0.25">
      <c r="A52" s="13"/>
      <c r="B52" s="13" t="s">
        <v>56</v>
      </c>
      <c r="C52" s="13"/>
      <c r="D52" s="35" t="s">
        <v>76</v>
      </c>
      <c r="E52" s="43" t="s">
        <v>48</v>
      </c>
      <c r="F52" s="13" t="s">
        <v>78</v>
      </c>
      <c r="G52" s="35" t="s">
        <v>76</v>
      </c>
      <c r="H52" s="35" t="s">
        <v>5</v>
      </c>
      <c r="I52" s="13" t="s">
        <v>78</v>
      </c>
      <c r="J52" s="14"/>
      <c r="K52" s="13"/>
      <c r="L52" s="13" t="s">
        <v>56</v>
      </c>
      <c r="M52" s="13"/>
      <c r="N52" s="35" t="s">
        <v>76</v>
      </c>
      <c r="O52" s="43" t="s">
        <v>48</v>
      </c>
      <c r="P52" s="13" t="s">
        <v>78</v>
      </c>
      <c r="Q52" s="35" t="s">
        <v>76</v>
      </c>
      <c r="R52" s="13" t="s">
        <v>5</v>
      </c>
      <c r="S52" s="13" t="s">
        <v>78</v>
      </c>
      <c r="T52" s="1"/>
    </row>
    <row r="53" spans="1:20" x14ac:dyDescent="0.25">
      <c r="A53" s="5">
        <v>4</v>
      </c>
      <c r="B53" s="5">
        <v>10</v>
      </c>
      <c r="C53" s="5" t="s">
        <v>15</v>
      </c>
      <c r="D53" s="39">
        <v>982886</v>
      </c>
      <c r="E53" s="37">
        <f t="shared" ref="E53:E64" si="12">D53*$O$2</f>
        <v>1487.1138549139439</v>
      </c>
      <c r="F53" s="5"/>
      <c r="G53" s="39">
        <v>34351</v>
      </c>
      <c r="H53" s="37">
        <f t="shared" ref="H53:H64" si="13">G53*$O$1</f>
        <v>1336.1644716692188</v>
      </c>
      <c r="I53" s="6"/>
      <c r="J53" s="14"/>
      <c r="K53" s="5">
        <v>4</v>
      </c>
      <c r="L53" s="5">
        <v>10</v>
      </c>
      <c r="M53" s="5" t="s">
        <v>15</v>
      </c>
      <c r="N53" s="36">
        <v>1013053</v>
      </c>
      <c r="O53" s="37">
        <f t="shared" ref="O53:O64" si="14">N53*$O$2</f>
        <v>1532.756751100469</v>
      </c>
      <c r="P53" s="5"/>
      <c r="Q53" s="36">
        <v>7192.3</v>
      </c>
      <c r="R53" s="37">
        <f t="shared" ref="R53:R64" si="15">Q53*$O$1</f>
        <v>279.76174578866767</v>
      </c>
      <c r="S53" s="5"/>
      <c r="T53" s="1"/>
    </row>
    <row r="54" spans="1:20" x14ac:dyDescent="0.25">
      <c r="A54" s="5"/>
      <c r="B54" s="5"/>
      <c r="C54" s="5" t="s">
        <v>14</v>
      </c>
      <c r="D54" s="37">
        <v>509727</v>
      </c>
      <c r="E54" s="37">
        <f t="shared" si="12"/>
        <v>771.22075594089233</v>
      </c>
      <c r="F54" s="10">
        <f>((E54-E53)/E53)*100</f>
        <v>-48.139763919722121</v>
      </c>
      <c r="G54" s="37">
        <v>11252.9</v>
      </c>
      <c r="H54" s="37">
        <f t="shared" si="13"/>
        <v>437.70851454823884</v>
      </c>
      <c r="I54" s="10">
        <f>((H54-H53)/H53)*100</f>
        <v>-67.241419463771066</v>
      </c>
      <c r="J54" s="14"/>
      <c r="K54" s="5"/>
      <c r="L54" s="5"/>
      <c r="M54" s="5" t="s">
        <v>14</v>
      </c>
      <c r="N54" s="36">
        <v>518566</v>
      </c>
      <c r="O54" s="37">
        <f t="shared" si="14"/>
        <v>784.5942289210592</v>
      </c>
      <c r="P54" s="10">
        <f>((O54-O53)/O53)*100</f>
        <v>-48.811562672436686</v>
      </c>
      <c r="Q54" s="36">
        <v>5559.3</v>
      </c>
      <c r="R54" s="37">
        <f t="shared" si="15"/>
        <v>216.2422970903522</v>
      </c>
      <c r="S54" s="10">
        <f>((R54-R53)/R53)*100</f>
        <v>-22.704837117472856</v>
      </c>
      <c r="T54" s="31"/>
    </row>
    <row r="55" spans="1:20" x14ac:dyDescent="0.25">
      <c r="A55" s="5"/>
      <c r="B55" s="5">
        <v>20</v>
      </c>
      <c r="C55" s="5" t="s">
        <v>15</v>
      </c>
      <c r="D55" s="39">
        <v>1717892</v>
      </c>
      <c r="E55" s="37">
        <f t="shared" si="12"/>
        <v>2599.1834194869239</v>
      </c>
      <c r="F55" s="6"/>
      <c r="G55" s="37">
        <v>50762</v>
      </c>
      <c r="H55" s="37">
        <f t="shared" si="13"/>
        <v>1974.5096477794791</v>
      </c>
      <c r="I55" s="6"/>
      <c r="J55" s="11"/>
      <c r="K55" s="5"/>
      <c r="L55" s="5">
        <v>20</v>
      </c>
      <c r="M55" s="5" t="s">
        <v>15</v>
      </c>
      <c r="N55" s="36">
        <v>1669615</v>
      </c>
      <c r="O55" s="37">
        <f t="shared" si="14"/>
        <v>2526.13995811533</v>
      </c>
      <c r="P55" s="5"/>
      <c r="Q55" s="36">
        <v>8478.6</v>
      </c>
      <c r="R55" s="37">
        <f t="shared" si="15"/>
        <v>329.79546707503829</v>
      </c>
      <c r="S55" s="5"/>
      <c r="T55" s="1"/>
    </row>
    <row r="56" spans="1:20" x14ac:dyDescent="0.25">
      <c r="A56" s="5"/>
      <c r="B56" s="5"/>
      <c r="C56" s="5" t="s">
        <v>14</v>
      </c>
      <c r="D56" s="37">
        <v>693981</v>
      </c>
      <c r="E56" s="37">
        <f t="shared" si="12"/>
        <v>1049.998433335131</v>
      </c>
      <c r="F56" s="10">
        <f>((E56-E55)/E55)*100</f>
        <v>-59.602757332824183</v>
      </c>
      <c r="G56" s="37">
        <v>22842.6</v>
      </c>
      <c r="H56" s="37">
        <f t="shared" si="13"/>
        <v>888.5176722817763</v>
      </c>
      <c r="I56" s="10">
        <f>((H56-H55)/H55)*100</f>
        <v>-55.000590993262676</v>
      </c>
      <c r="K56" s="5"/>
      <c r="L56" s="5"/>
      <c r="M56" s="5" t="s">
        <v>14</v>
      </c>
      <c r="N56" s="36">
        <v>700324</v>
      </c>
      <c r="O56" s="37">
        <f t="shared" si="14"/>
        <v>1059.5954396834961</v>
      </c>
      <c r="P56" s="10">
        <f>((O56-O55)/O55)*100</f>
        <v>-58.054761127565335</v>
      </c>
      <c r="Q56" s="36">
        <v>6669.1</v>
      </c>
      <c r="R56" s="37">
        <f t="shared" si="15"/>
        <v>259.41062787136292</v>
      </c>
      <c r="S56" s="10">
        <f>((R56-R55)/R55)*100</f>
        <v>-21.341966834147154</v>
      </c>
      <c r="T56" s="31"/>
    </row>
    <row r="57" spans="1:20" x14ac:dyDescent="0.25">
      <c r="A57" s="5"/>
      <c r="B57" s="5">
        <v>30</v>
      </c>
      <c r="C57" s="5" t="s">
        <v>15</v>
      </c>
      <c r="D57" s="39">
        <v>2343214</v>
      </c>
      <c r="E57" s="37">
        <f t="shared" si="12"/>
        <v>3545.3002733056755</v>
      </c>
      <c r="F57" s="6"/>
      <c r="G57" s="39">
        <v>70320</v>
      </c>
      <c r="H57" s="37">
        <f t="shared" si="13"/>
        <v>2735.2649310872894</v>
      </c>
      <c r="I57" s="6"/>
      <c r="K57" s="5"/>
      <c r="L57" s="5">
        <v>30</v>
      </c>
      <c r="M57" s="5" t="s">
        <v>15</v>
      </c>
      <c r="N57" s="36">
        <v>2222398</v>
      </c>
      <c r="O57" s="37">
        <f t="shared" si="14"/>
        <v>3362.5047634548046</v>
      </c>
      <c r="P57" s="5"/>
      <c r="Q57" s="36">
        <v>9817.4</v>
      </c>
      <c r="R57" s="37">
        <f t="shared" si="15"/>
        <v>381.87130168453285</v>
      </c>
      <c r="S57" s="5"/>
      <c r="T57" s="1"/>
    </row>
    <row r="58" spans="1:20" x14ac:dyDescent="0.25">
      <c r="A58" s="5"/>
      <c r="B58" s="5"/>
      <c r="C58" s="5" t="s">
        <v>14</v>
      </c>
      <c r="D58" s="37">
        <v>1430096</v>
      </c>
      <c r="E58" s="37">
        <f t="shared" si="12"/>
        <v>2163.7459231864241</v>
      </c>
      <c r="F58" s="10">
        <f>((E58-E57)/E57)*100</f>
        <v>-38.968613195380357</v>
      </c>
      <c r="G58" s="37">
        <v>72919.8</v>
      </c>
      <c r="H58" s="37">
        <f t="shared" si="13"/>
        <v>2836.3903828483917</v>
      </c>
      <c r="I58" s="10">
        <f>((H58-H57)/H57)*100</f>
        <v>3.6970989761092055</v>
      </c>
      <c r="K58" s="5"/>
      <c r="L58" s="5"/>
      <c r="M58" s="5" t="s">
        <v>14</v>
      </c>
      <c r="N58" s="36">
        <v>1270614</v>
      </c>
      <c r="O58" s="37">
        <f t="shared" si="14"/>
        <v>1922.4484667068468</v>
      </c>
      <c r="P58" s="10">
        <f>((O58-O57)/O57)*100</f>
        <v>-42.826892392811729</v>
      </c>
      <c r="Q58" s="36">
        <v>7969.6</v>
      </c>
      <c r="R58" s="37">
        <f t="shared" si="15"/>
        <v>309.99669218989277</v>
      </c>
      <c r="S58" s="10">
        <f>((R58-R57)/R57)*100</f>
        <v>-18.821683948907037</v>
      </c>
      <c r="T58" s="31"/>
    </row>
    <row r="59" spans="1:20" s="54" customFormat="1" x14ac:dyDescent="0.25">
      <c r="A59" s="50"/>
      <c r="B59" s="50">
        <v>40</v>
      </c>
      <c r="C59" s="50" t="s">
        <v>15</v>
      </c>
      <c r="D59" s="51">
        <v>2991566</v>
      </c>
      <c r="E59" s="52">
        <f t="shared" si="12"/>
        <v>4526.261689035643</v>
      </c>
      <c r="F59" s="53"/>
      <c r="G59" s="51">
        <v>92663</v>
      </c>
      <c r="H59" s="52">
        <f t="shared" si="13"/>
        <v>3604.3494640122508</v>
      </c>
      <c r="I59" s="53"/>
      <c r="K59" s="50"/>
      <c r="L59" s="50">
        <v>40</v>
      </c>
      <c r="M59" s="50" t="s">
        <v>15</v>
      </c>
      <c r="N59" s="51">
        <v>2723063</v>
      </c>
      <c r="O59" s="52">
        <f t="shared" si="14"/>
        <v>4120.0146457509099</v>
      </c>
      <c r="P59" s="50"/>
      <c r="Q59" s="51">
        <v>10403</v>
      </c>
      <c r="R59" s="52">
        <f t="shared" si="15"/>
        <v>404.64961715160791</v>
      </c>
      <c r="S59" s="50"/>
      <c r="T59" s="107"/>
    </row>
    <row r="60" spans="1:20" s="54" customFormat="1" x14ac:dyDescent="0.25">
      <c r="A60" s="50"/>
      <c r="B60" s="50"/>
      <c r="C60" s="50" t="s">
        <v>14</v>
      </c>
      <c r="D60" s="51">
        <v>2922300</v>
      </c>
      <c r="E60" s="52">
        <f t="shared" si="12"/>
        <v>4421.4617139882121</v>
      </c>
      <c r="F60" s="55">
        <f>((E60-E59)/E59)*100</f>
        <v>-2.3153759602830091</v>
      </c>
      <c r="G60" s="51">
        <v>132020</v>
      </c>
      <c r="H60" s="52">
        <f t="shared" si="13"/>
        <v>5135.234303215926</v>
      </c>
      <c r="I60" s="55">
        <f>((H60-H59)/H59)*100</f>
        <v>42.473263330563441</v>
      </c>
      <c r="K60" s="50"/>
      <c r="L60" s="50"/>
      <c r="M60" s="50" t="s">
        <v>14</v>
      </c>
      <c r="N60" s="51">
        <v>2330672</v>
      </c>
      <c r="O60" s="52">
        <f t="shared" si="14"/>
        <v>3526.3241336838569</v>
      </c>
      <c r="P60" s="55">
        <f>((O60-O59)/O59)*100</f>
        <v>-14.409912660852875</v>
      </c>
      <c r="Q60" s="51">
        <v>13771</v>
      </c>
      <c r="R60" s="52">
        <f t="shared" si="15"/>
        <v>535.65604900459414</v>
      </c>
      <c r="S60" s="55">
        <f>((R60-R59)/R59)*100</f>
        <v>32.375276362587719</v>
      </c>
      <c r="T60" s="108"/>
    </row>
    <row r="61" spans="1:20" s="54" customFormat="1" x14ac:dyDescent="0.25">
      <c r="A61" s="50"/>
      <c r="B61" s="50">
        <v>50</v>
      </c>
      <c r="C61" s="50" t="s">
        <v>15</v>
      </c>
      <c r="D61" s="51">
        <v>3610761</v>
      </c>
      <c r="E61" s="52">
        <f t="shared" si="12"/>
        <v>5463.1083461183971</v>
      </c>
      <c r="F61" s="53"/>
      <c r="G61" s="51">
        <v>102970</v>
      </c>
      <c r="H61" s="52">
        <f t="shared" si="13"/>
        <v>4005.2649310872889</v>
      </c>
      <c r="I61" s="53"/>
      <c r="K61" s="50"/>
      <c r="L61" s="50">
        <v>50</v>
      </c>
      <c r="M61" s="50" t="s">
        <v>15</v>
      </c>
      <c r="N61" s="51">
        <v>3427531</v>
      </c>
      <c r="O61" s="52">
        <f t="shared" si="14"/>
        <v>5185.879988367974</v>
      </c>
      <c r="P61" s="50"/>
      <c r="Q61" s="51">
        <v>10700</v>
      </c>
      <c r="R61" s="52">
        <f t="shared" si="15"/>
        <v>416.20214395099538</v>
      </c>
      <c r="S61" s="50"/>
      <c r="T61" s="107"/>
    </row>
    <row r="62" spans="1:20" s="54" customFormat="1" x14ac:dyDescent="0.25">
      <c r="A62" s="50"/>
      <c r="B62" s="50"/>
      <c r="C62" s="50" t="s">
        <v>14</v>
      </c>
      <c r="D62" s="51">
        <v>3930022</v>
      </c>
      <c r="E62" s="52">
        <f t="shared" si="12"/>
        <v>5946.1526222945567</v>
      </c>
      <c r="F62" s="55">
        <f>((E62-E61)/E61)*100</f>
        <v>8.8419311053819456</v>
      </c>
      <c r="G62" s="51">
        <v>151240</v>
      </c>
      <c r="H62" s="52">
        <f t="shared" si="13"/>
        <v>5882.8422664624804</v>
      </c>
      <c r="I62" s="55">
        <f>((H62-H61)/H61)*100</f>
        <v>46.877731378071289</v>
      </c>
      <c r="K62" s="50"/>
      <c r="L62" s="50"/>
      <c r="M62" s="50" t="s">
        <v>14</v>
      </c>
      <c r="N62" s="51">
        <v>3671179</v>
      </c>
      <c r="O62" s="52">
        <f t="shared" si="14"/>
        <v>5554.5212311184787</v>
      </c>
      <c r="P62" s="55">
        <f>((O62-O61)/O61)*100</f>
        <v>7.1085571509054191</v>
      </c>
      <c r="Q62" s="51">
        <v>16676</v>
      </c>
      <c r="R62" s="52">
        <f t="shared" si="15"/>
        <v>648.65298621745785</v>
      </c>
      <c r="S62" s="55">
        <f>((R62-R61)/R61)*100</f>
        <v>55.850467289719631</v>
      </c>
      <c r="T62" s="108"/>
    </row>
    <row r="63" spans="1:20" s="54" customFormat="1" x14ac:dyDescent="0.25">
      <c r="A63" s="50"/>
      <c r="B63" s="50">
        <v>60</v>
      </c>
      <c r="C63" s="50" t="s">
        <v>15</v>
      </c>
      <c r="D63" s="51">
        <v>4156357</v>
      </c>
      <c r="E63" s="52">
        <f t="shared" si="12"/>
        <v>6288.5991668093302</v>
      </c>
      <c r="F63" s="53"/>
      <c r="G63" s="51">
        <v>89481</v>
      </c>
      <c r="H63" s="52">
        <f t="shared" si="13"/>
        <v>3480.5779479326184</v>
      </c>
      <c r="I63" s="53"/>
      <c r="K63" s="50"/>
      <c r="L63" s="50">
        <v>60</v>
      </c>
      <c r="M63" s="50" t="s">
        <v>15</v>
      </c>
      <c r="N63" s="51">
        <v>3985394</v>
      </c>
      <c r="O63" s="52">
        <f t="shared" si="14"/>
        <v>6029.9308716279429</v>
      </c>
      <c r="P63" s="50"/>
      <c r="Q63" s="51">
        <v>10320</v>
      </c>
      <c r="R63" s="52">
        <f t="shared" si="15"/>
        <v>401.42113323124039</v>
      </c>
      <c r="S63" s="50"/>
      <c r="T63" s="107"/>
    </row>
    <row r="64" spans="1:20" s="54" customFormat="1" x14ac:dyDescent="0.25">
      <c r="A64" s="50"/>
      <c r="B64" s="50"/>
      <c r="C64" s="50" t="s">
        <v>14</v>
      </c>
      <c r="D64" s="51">
        <v>4618405</v>
      </c>
      <c r="E64" s="52">
        <f t="shared" si="12"/>
        <v>6987.6812398424972</v>
      </c>
      <c r="F64" s="55">
        <f>((E64-E63)/E63)*100</f>
        <v>11.116658169642299</v>
      </c>
      <c r="G64" s="51">
        <v>129090</v>
      </c>
      <c r="H64" s="52">
        <f t="shared" si="13"/>
        <v>5021.2649310872885</v>
      </c>
      <c r="I64" s="55">
        <f>((H64-H63)/H63)*100</f>
        <v>44.265263016729797</v>
      </c>
      <c r="K64" s="50"/>
      <c r="L64" s="50"/>
      <c r="M64" s="50" t="s">
        <v>14</v>
      </c>
      <c r="N64" s="51">
        <v>4710579</v>
      </c>
      <c r="O64" s="52">
        <f t="shared" si="14"/>
        <v>7127.1411898904562</v>
      </c>
      <c r="P64" s="55">
        <f>((O64-O63)/O63)*100</f>
        <v>18.196067942090551</v>
      </c>
      <c r="Q64" s="51">
        <v>14938</v>
      </c>
      <c r="R64" s="52">
        <f t="shared" si="15"/>
        <v>581.04931087289424</v>
      </c>
      <c r="S64" s="55">
        <f>((R64-R63)/R63)*100</f>
        <v>44.748062015503862</v>
      </c>
      <c r="T64" s="108"/>
    </row>
    <row r="65" spans="1:11" x14ac:dyDescent="0.25">
      <c r="E65" s="30"/>
    </row>
    <row r="66" spans="1:11" x14ac:dyDescent="0.25">
      <c r="A66" s="2" t="s">
        <v>81</v>
      </c>
      <c r="K66" s="2"/>
    </row>
    <row r="100" spans="1:11" x14ac:dyDescent="0.25">
      <c r="A100" s="2" t="s">
        <v>82</v>
      </c>
      <c r="K100" s="2"/>
    </row>
    <row r="134" spans="1:11" x14ac:dyDescent="0.25">
      <c r="A134" s="2" t="s">
        <v>83</v>
      </c>
      <c r="K134" s="2"/>
    </row>
    <row r="168" spans="1:11" x14ac:dyDescent="0.25">
      <c r="A168" s="2" t="s">
        <v>84</v>
      </c>
      <c r="K168" s="2"/>
    </row>
  </sheetData>
  <mergeCells count="19">
    <mergeCell ref="G51:H51"/>
    <mergeCell ref="D36:E36"/>
    <mergeCell ref="D51:E51"/>
    <mergeCell ref="N21:O21"/>
    <mergeCell ref="Q21:R21"/>
    <mergeCell ref="N36:O36"/>
    <mergeCell ref="Q36:R36"/>
    <mergeCell ref="D6:E6"/>
    <mergeCell ref="D21:E21"/>
    <mergeCell ref="G6:H6"/>
    <mergeCell ref="G21:H21"/>
    <mergeCell ref="G36:H36"/>
    <mergeCell ref="W2:Y2"/>
    <mergeCell ref="AA2:AC2"/>
    <mergeCell ref="W1:AC1"/>
    <mergeCell ref="N51:O51"/>
    <mergeCell ref="Q51:R51"/>
    <mergeCell ref="N6:O6"/>
    <mergeCell ref="Q6:R6"/>
  </mergeCells>
  <pageMargins left="0.7" right="0.7" top="0.75" bottom="0.75" header="0.3" footer="0.3"/>
  <pageSetup scale="21" orientation="landscape" r:id="rId1"/>
  <headerFooter>
    <oddFooter>&amp;L&amp;Z&amp;F &amp;A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Index</vt:lpstr>
      <vt:lpstr>Theoretical Geometry</vt:lpstr>
      <vt:lpstr>Mobility Ratio</vt:lpstr>
      <vt:lpstr>Reynolds Number</vt:lpstr>
      <vt:lpstr>Peclet Number</vt:lpstr>
      <vt:lpstr>Image Analysis</vt:lpstr>
      <vt:lpstr>'Image Analysis'!Print_Area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rtigera</dc:creator>
  <cp:lastModifiedBy>Mays, David</cp:lastModifiedBy>
  <cp:lastPrinted>2022-08-30T19:40:01Z</cp:lastPrinted>
  <dcterms:created xsi:type="dcterms:W3CDTF">2018-06-10T04:43:31Z</dcterms:created>
  <dcterms:modified xsi:type="dcterms:W3CDTF">2023-03-26T20:01:21Z</dcterms:modified>
</cp:coreProperties>
</file>