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versityoflatvia387-my.sharepoint.com/personal/as11173_edu_lu_lv/Documents/"/>
    </mc:Choice>
  </mc:AlternateContent>
  <xr:revisionPtr revIDLastSave="0" documentId="8_{2F3B6210-EF8F-4E43-A46C-EDFA747A7E61}" xr6:coauthVersionLast="47" xr6:coauthVersionMax="47" xr10:uidLastSave="{00000000-0000-0000-0000-000000000000}"/>
  <bookViews>
    <workbookView xWindow="28680" yWindow="-120" windowWidth="29040" windowHeight="15720" xr2:uid="{32AE1618-B89A-4B6D-A5F8-035CB0C0B600}"/>
  </bookViews>
  <sheets>
    <sheet name="PHAdata" sheetId="1" r:id="rId1"/>
  </sheets>
  <definedNames>
    <definedName name="_xlnm._FilterDatabase" localSheetId="0" hidden="1">PHAdata!$A$1:$O$54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4" i="1" l="1"/>
  <c r="J54" i="1"/>
  <c r="F53" i="1"/>
  <c r="J53" i="1"/>
  <c r="F52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H39" i="1"/>
  <c r="J39" i="1"/>
  <c r="H38" i="1"/>
  <c r="J38" i="1"/>
  <c r="H37" i="1"/>
  <c r="J37" i="1"/>
  <c r="H36" i="1"/>
  <c r="J36" i="1"/>
  <c r="H35" i="1"/>
  <c r="J35" i="1"/>
  <c r="H34" i="1"/>
  <c r="J34" i="1"/>
  <c r="H33" i="1"/>
  <c r="J33" i="1"/>
  <c r="H32" i="1"/>
  <c r="J32" i="1"/>
  <c r="H31" i="1"/>
  <c r="J31" i="1"/>
  <c r="F30" i="1"/>
  <c r="H30" i="1"/>
  <c r="J30" i="1"/>
  <c r="H29" i="1"/>
  <c r="H28" i="1"/>
  <c r="J28" i="1"/>
  <c r="F27" i="1"/>
  <c r="H27" i="1"/>
  <c r="F26" i="1"/>
  <c r="H26" i="1"/>
  <c r="J25" i="1"/>
  <c r="H25" i="1"/>
  <c r="H24" i="1"/>
  <c r="H23" i="1"/>
  <c r="H22" i="1"/>
  <c r="H21" i="1"/>
  <c r="H20" i="1"/>
  <c r="H19" i="1"/>
  <c r="H18" i="1"/>
  <c r="H17" i="1"/>
  <c r="F16" i="1"/>
  <c r="H16" i="1"/>
  <c r="F15" i="1"/>
  <c r="H15" i="1"/>
  <c r="F14" i="1"/>
  <c r="H14" i="1"/>
  <c r="H13" i="1"/>
  <c r="H12" i="1"/>
  <c r="H11" i="1"/>
  <c r="H10" i="1"/>
  <c r="H9" i="1"/>
  <c r="F8" i="1"/>
  <c r="H8" i="1"/>
  <c r="F7" i="1"/>
  <c r="H7" i="1"/>
  <c r="H6" i="1"/>
  <c r="J6" i="1"/>
  <c r="H5" i="1"/>
  <c r="H4" i="1"/>
  <c r="H3" i="1"/>
  <c r="J3" i="1"/>
  <c r="J2" i="1"/>
  <c r="H2" i="1"/>
</calcChain>
</file>

<file path=xl/sharedStrings.xml><?xml version="1.0" encoding="utf-8"?>
<sst xmlns="http://schemas.openxmlformats.org/spreadsheetml/2006/main" count="575" uniqueCount="159">
  <si>
    <t>Product_group</t>
  </si>
  <si>
    <t>Microorganism</t>
  </si>
  <si>
    <t>Product</t>
  </si>
  <si>
    <t>Substrate</t>
  </si>
  <si>
    <t>Substrate_type</t>
  </si>
  <si>
    <t>Product_Yield</t>
  </si>
  <si>
    <t>PY_units</t>
  </si>
  <si>
    <t>SMB_yield</t>
  </si>
  <si>
    <t>SMBY_units</t>
  </si>
  <si>
    <t>SMBpProduct</t>
  </si>
  <si>
    <t>Ref key</t>
  </si>
  <si>
    <t>Doi / patent no.</t>
  </si>
  <si>
    <t>fed batch?</t>
  </si>
  <si>
    <t>Polymers</t>
  </si>
  <si>
    <t>Cnecator</t>
  </si>
  <si>
    <t>PHA</t>
  </si>
  <si>
    <t>Glycerol</t>
  </si>
  <si>
    <t>Waste_mimick</t>
  </si>
  <si>
    <t>g/L</t>
  </si>
  <si>
    <t>Das2018</t>
  </si>
  <si>
    <t>10.1016/j.procbio.2018.05.017</t>
  </si>
  <si>
    <t>no</t>
  </si>
  <si>
    <t>batch</t>
  </si>
  <si>
    <t>Ecoli</t>
  </si>
  <si>
    <t>Starch</t>
  </si>
  <si>
    <t>Bhatia2015</t>
  </si>
  <si>
    <t>10.1007/s00449-015-1390-y</t>
  </si>
  <si>
    <t>Glucose</t>
  </si>
  <si>
    <t>Lab</t>
  </si>
  <si>
    <t>Choi1998</t>
  </si>
  <si>
    <t>10.1128/aem.64.12.4897-4903.1998</t>
  </si>
  <si>
    <t>yes</t>
  </si>
  <si>
    <t>Molasses</t>
  </si>
  <si>
    <t>Waste</t>
  </si>
  <si>
    <t>Liu1998</t>
  </si>
  <si>
    <t>10.1023/A:1005367011378</t>
  </si>
  <si>
    <t>lactose from whey</t>
  </si>
  <si>
    <t>Ahn2000</t>
  </si>
  <si>
    <t>10.1128/aem.66.8.3624-3627.2000</t>
  </si>
  <si>
    <t>Glucose +propioni; oleic acid</t>
  </si>
  <si>
    <t>Choi1999</t>
  </si>
  <si>
    <t>10.1128/AEM.65.10.4363-4368.1999</t>
  </si>
  <si>
    <t>Decanoic acid</t>
  </si>
  <si>
    <t>Qi1998</t>
  </si>
  <si>
    <t>10.1111/j.1574-6968.1998.tb13212.x</t>
  </si>
  <si>
    <t>stirred reactor</t>
  </si>
  <si>
    <t>ref 58 in Lee1996</t>
  </si>
  <si>
    <t>10.1016/0168-1656(94)90183-X</t>
  </si>
  <si>
    <t>ref 17 in Lee1997</t>
  </si>
  <si>
    <t>https://doi.org/10.1007/BF02067442</t>
  </si>
  <si>
    <t>Sucrose</t>
  </si>
  <si>
    <t>ref 57 in Lee1996</t>
  </si>
  <si>
    <t>https://doi.org/10.1007/BF00131766</t>
  </si>
  <si>
    <t>Lactobacillus bulgaricus</t>
  </si>
  <si>
    <t>Aslim1998</t>
  </si>
  <si>
    <t>10.1016/S0378-1097(97)00557-0</t>
  </si>
  <si>
    <t>jatropha oil</t>
  </si>
  <si>
    <t>Batcha2014 in Sirohi2020</t>
  </si>
  <si>
    <t>10.1007/s00449-013-1066-4</t>
  </si>
  <si>
    <t>flask</t>
  </si>
  <si>
    <t>waste glycerol</t>
  </si>
  <si>
    <t>Cavalheiro2009 in</t>
  </si>
  <si>
    <t>10.1016/j.procbio.2009.01.008</t>
  </si>
  <si>
    <t>cooking oil</t>
  </si>
  <si>
    <t>Cruz2015</t>
  </si>
  <si>
    <t>10.1016/j.jbiotec.2014.11.022</t>
  </si>
  <si>
    <t>batch, bioreactor</t>
  </si>
  <si>
    <t>spent coffee grounds oil</t>
  </si>
  <si>
    <t>Cruz2014</t>
  </si>
  <si>
    <t>10.1016/j.biortech.2014.02.013</t>
  </si>
  <si>
    <t>Bacillus spp</t>
  </si>
  <si>
    <t>Cassava starch</t>
  </si>
  <si>
    <t>Krueger2012</t>
  </si>
  <si>
    <t>10.2225/vol15-issue3-fulltext-6</t>
  </si>
  <si>
    <t>Wheat hydrolysate</t>
  </si>
  <si>
    <t>Xu2010</t>
  </si>
  <si>
    <t>https://www.sciencedirect.com/science/article/pii/S1359511309002797</t>
  </si>
  <si>
    <t>Poomipuka2014</t>
  </si>
  <si>
    <t>10.1016/j.ijbiomac.2014.01.002</t>
  </si>
  <si>
    <t>Beer brewery wastewater and maltose</t>
  </si>
  <si>
    <t>Amini2020</t>
  </si>
  <si>
    <t>10.1016/j.jece.2019.103588</t>
  </si>
  <si>
    <t>Morya2018</t>
  </si>
  <si>
    <t>10.1016/j.biteb.2018.03.002</t>
  </si>
  <si>
    <t>kimProductionPoly3hydroxybutyric1994</t>
  </si>
  <si>
    <t>10.1002/bit.260430908</t>
  </si>
  <si>
    <t>Waste_rapeseed oil</t>
  </si>
  <si>
    <t>obrucaProductionPoly3hydroxybutyrateco3hydroxyvalerate2010</t>
  </si>
  <si>
    <t>10.1007/s10529-010-0376-8</t>
  </si>
  <si>
    <t>Date_seed oil</t>
  </si>
  <si>
    <t>yousufNovelPolyhydroxybutyratePHB</t>
  </si>
  <si>
    <t>https://www.proquest.com/docview/2116952378/abstract/93DDC66260A64221PQ/1</t>
  </si>
  <si>
    <t>Alata</t>
  </si>
  <si>
    <t>yousufNovelPolyhydroxybutyratePHB reference Kessler</t>
  </si>
  <si>
    <t>10.1002/0471250589.ebt168</t>
  </si>
  <si>
    <t>??</t>
  </si>
  <si>
    <t xml:space="preserve">Halomonas sp. </t>
  </si>
  <si>
    <t>Fructose</t>
  </si>
  <si>
    <t>parkFructoseBasedHyper2020</t>
  </si>
  <si>
    <t>10.1016/j.ijbiomac.2020.03.129</t>
  </si>
  <si>
    <t>Halomonas sp.</t>
  </si>
  <si>
    <t>quillaguamanPoly3hydroxybutyrateProduction2008</t>
  </si>
  <si>
    <t>10.1007/s00253-007-1297-x</t>
  </si>
  <si>
    <t>Glucose+propionate</t>
  </si>
  <si>
    <t xml:space="preserve">Azotobacter vinelandii </t>
  </si>
  <si>
    <t>williamj.pageGrowthAzotobacterVinelandii1993</t>
  </si>
  <si>
    <t>10.1128/aem.59.12.4236-4244.1993</t>
  </si>
  <si>
    <t>Azohydromonas australica</t>
  </si>
  <si>
    <t>gahlawatEnhancedProductionPoly2012</t>
  </si>
  <si>
    <t>10.1007/s10295-012-1138-5</t>
  </si>
  <si>
    <t>air-lift, batch</t>
  </si>
  <si>
    <t>Sugarcane baggase</t>
  </si>
  <si>
    <t>Sakthiselvan2018</t>
  </si>
  <si>
    <t>10.1016/j.eaef.2018.03.003</t>
  </si>
  <si>
    <t>Paddy straw</t>
  </si>
  <si>
    <t>Sandhya2013</t>
  </si>
  <si>
    <t>10.1007/s13762-012-0070-6</t>
  </si>
  <si>
    <t>Kenaf biomass</t>
  </si>
  <si>
    <t>Saratale2019</t>
  </si>
  <si>
    <t>10.1016/j.biortech.2019.02.083</t>
  </si>
  <si>
    <t>Sugarcane vinnase and molasses</t>
  </si>
  <si>
    <t>Dalsasso2019</t>
  </si>
  <si>
    <t>10.1016/j.procbio.2019.07.007</t>
  </si>
  <si>
    <t>Sen2019</t>
  </si>
  <si>
    <t>10.1016/j.bcab.2018.11.006</t>
  </si>
  <si>
    <t>Pseudomonas spp</t>
  </si>
  <si>
    <t>Crude glycerol</t>
  </si>
  <si>
    <t>Ashby2011</t>
  </si>
  <si>
    <t>10.1007/s11746-011-1755-6</t>
  </si>
  <si>
    <t>Kitchen waste</t>
  </si>
  <si>
    <t>g/g</t>
  </si>
  <si>
    <t>Omar2011</t>
  </si>
  <si>
    <t>10.5897/AJMR11.156</t>
  </si>
  <si>
    <t>Haloferax mediterranei</t>
  </si>
  <si>
    <t>Macroalgal biomass</t>
  </si>
  <si>
    <t>Ghosh2019</t>
  </si>
  <si>
    <t>10.1016/j.biortech.2018.09.108</t>
  </si>
  <si>
    <t>Biodiesel liquid waste</t>
  </si>
  <si>
    <t>Chanasit2016</t>
  </si>
  <si>
    <t>10.1080/09168451.2016.1158628</t>
  </si>
  <si>
    <r>
      <t>Bacillus</t>
    </r>
    <r>
      <rPr>
        <sz val="11"/>
        <color theme="1"/>
        <rFont val="Calibri"/>
        <family val="2"/>
        <scheme val="minor"/>
      </rPr>
      <t xml:space="preserve"> spp</t>
    </r>
  </si>
  <si>
    <t>PHB g/L</t>
  </si>
  <si>
    <t>DCW g/L</t>
  </si>
  <si>
    <t>Getachew2016</t>
  </si>
  <si>
    <t>10.1186/s13104-016-2321-y</t>
  </si>
  <si>
    <t>Corn cob</t>
  </si>
  <si>
    <t>Banana peel</t>
  </si>
  <si>
    <t>Teff straw</t>
  </si>
  <si>
    <t>Khanna2005</t>
  </si>
  <si>
    <t>https://doi.org/10.1016/j.procbio.2004.08.011</t>
  </si>
  <si>
    <t>Loktanella sp.</t>
  </si>
  <si>
    <t>Pine tree</t>
  </si>
  <si>
    <t>Lee2022</t>
  </si>
  <si>
    <t>https://doi.org/10.1016/j.ijbiomac.2022.03.155</t>
  </si>
  <si>
    <t>Miscanthus</t>
  </si>
  <si>
    <t>Barley straw</t>
  </si>
  <si>
    <t>Xylose</t>
  </si>
  <si>
    <t>Lopes2009</t>
  </si>
  <si>
    <t>https://link.springer.com/article/10.1007/s11274-009-0072-9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</si>
</sst>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1" xfId="0" applyBorder="1"/>
    <xf numFmtId="164" fontId="0" fillId="0" borderId="1" xfId="0" applyNumberFormat="1" applyBorder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907B9-83AB-4E63-B028-E5F3CBD84C7B}">
  <dimension ref="A1:P60"/>
  <sheetViews>
    <sheetView tabSelected="1" zoomScale="110" zoomScaleNormal="110" workbookViewId="0">
      <pane ySplit="1" topLeftCell="A2" activePane="bottomLeft" state="frozen"/>
      <selection pane="bottomLeft" activeCell="I20" sqref="I20"/>
    </sheetView>
  </sheetViews>
  <sheetFormatPr defaultRowHeight="15" customHeight="1" x14ac:dyDescent="0.3"/>
  <cols>
    <col min="1" max="2" width="17.6640625" customWidth="1"/>
    <col min="3" max="4" width="12.44140625" customWidth="1"/>
    <col min="5" max="5" width="14" customWidth="1"/>
    <col min="6" max="9" width="8.44140625" customWidth="1"/>
    <col min="10" max="10" width="12.44140625" customWidth="1"/>
    <col min="11" max="11" width="16.33203125" customWidth="1"/>
    <col min="12" max="12" width="44.44140625" customWidth="1"/>
  </cols>
  <sheetData>
    <row r="1" spans="1:16" s="1" customFormat="1" ht="14.4" x14ac:dyDescent="0.3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6" ht="14.4" x14ac:dyDescent="0.3">
      <c r="A2" t="s">
        <v>13</v>
      </c>
      <c r="B2" s="3" t="s">
        <v>14</v>
      </c>
      <c r="C2" t="s">
        <v>15</v>
      </c>
      <c r="D2" s="4" t="s">
        <v>16</v>
      </c>
      <c r="E2" t="s">
        <v>17</v>
      </c>
      <c r="F2">
        <v>0.54</v>
      </c>
      <c r="G2" t="s">
        <v>18</v>
      </c>
      <c r="H2">
        <f>1.35-F2</f>
        <v>0.81</v>
      </c>
      <c r="I2" t="s">
        <v>18</v>
      </c>
      <c r="J2" s="5">
        <f>(1.35-0.54)/0.54</f>
        <v>1.5</v>
      </c>
      <c r="K2" t="s">
        <v>19</v>
      </c>
      <c r="L2" t="s">
        <v>20</v>
      </c>
      <c r="M2" t="s">
        <v>21</v>
      </c>
      <c r="N2" t="s">
        <v>22</v>
      </c>
      <c r="P2" s="6"/>
    </row>
    <row r="3" spans="1:16" ht="14.4" x14ac:dyDescent="0.3">
      <c r="A3" t="s">
        <v>13</v>
      </c>
      <c r="B3" t="s">
        <v>23</v>
      </c>
      <c r="C3" t="s">
        <v>15</v>
      </c>
      <c r="D3" t="s">
        <v>24</v>
      </c>
      <c r="E3" t="s">
        <v>17</v>
      </c>
      <c r="F3">
        <v>1.24</v>
      </c>
      <c r="G3" t="s">
        <v>18</v>
      </c>
      <c r="H3">
        <f>2.4-F3</f>
        <v>1.1599999999999999</v>
      </c>
      <c r="I3" t="s">
        <v>18</v>
      </c>
      <c r="J3">
        <f>(H3)/F3</f>
        <v>0.93548387096774188</v>
      </c>
      <c r="K3" t="s">
        <v>25</v>
      </c>
      <c r="L3" t="s">
        <v>26</v>
      </c>
      <c r="M3" t="s">
        <v>21</v>
      </c>
      <c r="N3" t="s">
        <v>22</v>
      </c>
      <c r="P3" s="6"/>
    </row>
    <row r="4" spans="1:16" ht="14.4" x14ac:dyDescent="0.3">
      <c r="A4" t="s">
        <v>13</v>
      </c>
      <c r="B4" t="s">
        <v>23</v>
      </c>
      <c r="C4" t="s">
        <v>15</v>
      </c>
      <c r="D4" t="s">
        <v>27</v>
      </c>
      <c r="E4" t="s">
        <v>28</v>
      </c>
      <c r="F4">
        <v>141.6</v>
      </c>
      <c r="G4" t="s">
        <v>18</v>
      </c>
      <c r="H4">
        <f>194.1-F4</f>
        <v>52.5</v>
      </c>
      <c r="I4" t="s">
        <v>18</v>
      </c>
      <c r="J4">
        <v>0.37076271186440679</v>
      </c>
      <c r="K4" t="s">
        <v>29</v>
      </c>
      <c r="L4" t="s">
        <v>30</v>
      </c>
      <c r="M4" t="s">
        <v>31</v>
      </c>
      <c r="P4" s="6"/>
    </row>
    <row r="5" spans="1:16" ht="14.4" x14ac:dyDescent="0.3">
      <c r="A5" t="s">
        <v>13</v>
      </c>
      <c r="B5" t="s">
        <v>23</v>
      </c>
      <c r="C5" t="s">
        <v>15</v>
      </c>
      <c r="D5" t="s">
        <v>32</v>
      </c>
      <c r="E5" t="s">
        <v>33</v>
      </c>
      <c r="F5">
        <v>31.6</v>
      </c>
      <c r="G5" t="s">
        <v>18</v>
      </c>
      <c r="H5">
        <f>39.5-31.6</f>
        <v>7.8999999999999986</v>
      </c>
      <c r="I5" t="s">
        <v>18</v>
      </c>
      <c r="J5">
        <v>0.25316455696202528</v>
      </c>
      <c r="K5" t="s">
        <v>34</v>
      </c>
      <c r="L5" t="s">
        <v>35</v>
      </c>
      <c r="M5" t="s">
        <v>31</v>
      </c>
      <c r="P5" s="6"/>
    </row>
    <row r="6" spans="1:16" ht="14.4" x14ac:dyDescent="0.3">
      <c r="A6" t="s">
        <v>13</v>
      </c>
      <c r="B6" t="s">
        <v>23</v>
      </c>
      <c r="C6" t="s">
        <v>15</v>
      </c>
      <c r="D6" t="s">
        <v>36</v>
      </c>
      <c r="E6" t="s">
        <v>33</v>
      </c>
      <c r="F6">
        <v>96.2</v>
      </c>
      <c r="G6" t="s">
        <v>18</v>
      </c>
      <c r="H6">
        <f>119.5-F6</f>
        <v>23.299999999999997</v>
      </c>
      <c r="I6" t="s">
        <v>18</v>
      </c>
      <c r="J6">
        <f>H6/F6</f>
        <v>0.24220374220374216</v>
      </c>
      <c r="K6" t="s">
        <v>37</v>
      </c>
      <c r="L6" t="s">
        <v>38</v>
      </c>
      <c r="M6" t="s">
        <v>31</v>
      </c>
      <c r="P6" s="6"/>
    </row>
    <row r="7" spans="1:16" ht="14.4" x14ac:dyDescent="0.3">
      <c r="A7" t="s">
        <v>13</v>
      </c>
      <c r="B7" t="s">
        <v>23</v>
      </c>
      <c r="C7" t="s">
        <v>15</v>
      </c>
      <c r="D7" t="s">
        <v>39</v>
      </c>
      <c r="E7" t="s">
        <v>28</v>
      </c>
      <c r="F7">
        <f>0.782*203.1</f>
        <v>158.82419999999999</v>
      </c>
      <c r="G7" t="s">
        <v>18</v>
      </c>
      <c r="H7">
        <f>203.1-F7</f>
        <v>44.275800000000004</v>
      </c>
      <c r="I7" t="s">
        <v>18</v>
      </c>
      <c r="J7">
        <v>0.27896725440806042</v>
      </c>
      <c r="K7" t="s">
        <v>40</v>
      </c>
      <c r="L7" t="s">
        <v>41</v>
      </c>
      <c r="M7" t="s">
        <v>31</v>
      </c>
      <c r="P7" s="6"/>
    </row>
    <row r="8" spans="1:16" ht="14.4" x14ac:dyDescent="0.3">
      <c r="A8" t="s">
        <v>13</v>
      </c>
      <c r="B8" t="s">
        <v>23</v>
      </c>
      <c r="C8" t="s">
        <v>15</v>
      </c>
      <c r="D8" t="s">
        <v>42</v>
      </c>
      <c r="E8" t="s">
        <v>28</v>
      </c>
      <c r="F8">
        <f>0.38*2.6</f>
        <v>0.9880000000000001</v>
      </c>
      <c r="G8" t="s">
        <v>18</v>
      </c>
      <c r="H8">
        <f>2.6-F8</f>
        <v>1.6120000000000001</v>
      </c>
      <c r="I8" t="s">
        <v>18</v>
      </c>
      <c r="J8">
        <v>1.6262626262626263</v>
      </c>
      <c r="K8" t="s">
        <v>43</v>
      </c>
      <c r="L8" t="s">
        <v>44</v>
      </c>
      <c r="M8" t="s">
        <v>21</v>
      </c>
      <c r="N8" t="s">
        <v>45</v>
      </c>
      <c r="P8" s="6"/>
    </row>
    <row r="9" spans="1:16" ht="14.4" x14ac:dyDescent="0.3">
      <c r="A9" t="s">
        <v>13</v>
      </c>
      <c r="B9" t="s">
        <v>23</v>
      </c>
      <c r="C9" t="s">
        <v>15</v>
      </c>
      <c r="D9" t="s">
        <v>27</v>
      </c>
      <c r="E9" t="s">
        <v>28</v>
      </c>
      <c r="F9">
        <v>81.2</v>
      </c>
      <c r="G9" t="s">
        <v>18</v>
      </c>
      <c r="H9">
        <f>101.4-F9</f>
        <v>20.200000000000003</v>
      </c>
      <c r="I9" t="s">
        <v>18</v>
      </c>
      <c r="J9">
        <v>0.24876847290640397</v>
      </c>
      <c r="K9" t="s">
        <v>46</v>
      </c>
      <c r="L9" t="s">
        <v>47</v>
      </c>
      <c r="M9" t="s">
        <v>31</v>
      </c>
      <c r="P9" s="6"/>
    </row>
    <row r="10" spans="1:16" ht="14.4" x14ac:dyDescent="0.3">
      <c r="A10" t="s">
        <v>13</v>
      </c>
      <c r="B10" t="s">
        <v>23</v>
      </c>
      <c r="C10" t="s">
        <v>15</v>
      </c>
      <c r="D10" t="s">
        <v>27</v>
      </c>
      <c r="E10" t="s">
        <v>28</v>
      </c>
      <c r="F10">
        <v>65.5</v>
      </c>
      <c r="G10" t="s">
        <v>18</v>
      </c>
      <c r="H10">
        <f>175.4-65.5</f>
        <v>109.9</v>
      </c>
      <c r="I10" t="s">
        <v>18</v>
      </c>
      <c r="J10">
        <v>1.6778625954198474</v>
      </c>
      <c r="K10" t="s">
        <v>48</v>
      </c>
      <c r="L10" t="s">
        <v>49</v>
      </c>
      <c r="M10" t="s">
        <v>31</v>
      </c>
      <c r="P10" s="6"/>
    </row>
    <row r="11" spans="1:16" ht="14.4" x14ac:dyDescent="0.3">
      <c r="A11" t="s">
        <v>13</v>
      </c>
      <c r="B11" t="s">
        <v>23</v>
      </c>
      <c r="C11" t="s">
        <v>15</v>
      </c>
      <c r="D11" t="s">
        <v>50</v>
      </c>
      <c r="E11" t="s">
        <v>28</v>
      </c>
      <c r="F11">
        <v>34.299999999999997</v>
      </c>
      <c r="G11" t="s">
        <v>18</v>
      </c>
      <c r="H11">
        <f>124.6-F11</f>
        <v>90.3</v>
      </c>
      <c r="I11" t="s">
        <v>18</v>
      </c>
      <c r="J11">
        <v>2.6326530612244898</v>
      </c>
      <c r="K11" t="s">
        <v>51</v>
      </c>
      <c r="L11" t="s">
        <v>52</v>
      </c>
      <c r="M11" t="s">
        <v>31</v>
      </c>
      <c r="P11" s="6"/>
    </row>
    <row r="12" spans="1:16" ht="14.4" x14ac:dyDescent="0.3">
      <c r="A12" t="s">
        <v>13</v>
      </c>
      <c r="B12" t="s">
        <v>53</v>
      </c>
      <c r="C12" t="s">
        <v>15</v>
      </c>
      <c r="D12" t="s">
        <v>27</v>
      </c>
      <c r="E12" t="s">
        <v>28</v>
      </c>
      <c r="F12">
        <v>0.86</v>
      </c>
      <c r="G12" t="s">
        <v>18</v>
      </c>
      <c r="H12">
        <f>2.4-0.86</f>
        <v>1.54</v>
      </c>
      <c r="I12" t="s">
        <v>18</v>
      </c>
      <c r="J12">
        <v>1.793296089385475</v>
      </c>
      <c r="K12" t="s">
        <v>54</v>
      </c>
      <c r="L12" t="s">
        <v>55</v>
      </c>
      <c r="M12" t="s">
        <v>31</v>
      </c>
      <c r="P12" s="6"/>
    </row>
    <row r="13" spans="1:16" ht="14.4" x14ac:dyDescent="0.3">
      <c r="A13" t="s">
        <v>13</v>
      </c>
      <c r="B13" t="s">
        <v>14</v>
      </c>
      <c r="C13" t="s">
        <v>15</v>
      </c>
      <c r="D13" t="s">
        <v>56</v>
      </c>
      <c r="E13" t="s">
        <v>33</v>
      </c>
      <c r="F13">
        <v>15.5</v>
      </c>
      <c r="G13" t="s">
        <v>18</v>
      </c>
      <c r="H13">
        <f>20.1-15.5</f>
        <v>4.6000000000000014</v>
      </c>
      <c r="I13" t="s">
        <v>18</v>
      </c>
      <c r="J13">
        <v>0.29677419354838724</v>
      </c>
      <c r="K13" t="s">
        <v>57</v>
      </c>
      <c r="L13" t="s">
        <v>58</v>
      </c>
      <c r="M13" t="s">
        <v>21</v>
      </c>
      <c r="N13" t="s">
        <v>59</v>
      </c>
      <c r="P13" s="6"/>
    </row>
    <row r="14" spans="1:16" ht="14.4" x14ac:dyDescent="0.3">
      <c r="A14" t="s">
        <v>13</v>
      </c>
      <c r="B14" t="s">
        <v>14</v>
      </c>
      <c r="C14" t="s">
        <v>15</v>
      </c>
      <c r="D14" t="s">
        <v>60</v>
      </c>
      <c r="E14" t="s">
        <v>33</v>
      </c>
      <c r="F14">
        <f>0.38*68.8</f>
        <v>26.143999999999998</v>
      </c>
      <c r="G14" t="s">
        <v>18</v>
      </c>
      <c r="H14">
        <f>68.8-F14</f>
        <v>42.655999999999999</v>
      </c>
      <c r="I14" t="s">
        <v>18</v>
      </c>
      <c r="J14">
        <v>1.631578947368421</v>
      </c>
      <c r="K14" t="s">
        <v>61</v>
      </c>
      <c r="L14" t="s">
        <v>62</v>
      </c>
      <c r="M14" t="s">
        <v>31</v>
      </c>
      <c r="P14" s="6"/>
    </row>
    <row r="15" spans="1:16" ht="14.4" x14ac:dyDescent="0.3">
      <c r="A15" t="s">
        <v>13</v>
      </c>
      <c r="B15" t="s">
        <v>14</v>
      </c>
      <c r="C15" t="s">
        <v>15</v>
      </c>
      <c r="D15" t="s">
        <v>63</v>
      </c>
      <c r="E15" t="s">
        <v>33</v>
      </c>
      <c r="F15">
        <f>0.63*11.6</f>
        <v>7.3079999999999998</v>
      </c>
      <c r="G15" t="s">
        <v>18</v>
      </c>
      <c r="H15">
        <f>11.6-F15</f>
        <v>4.2919999999999998</v>
      </c>
      <c r="I15" t="s">
        <v>18</v>
      </c>
      <c r="J15">
        <v>0.58730158730158732</v>
      </c>
      <c r="K15" t="s">
        <v>64</v>
      </c>
      <c r="L15" t="s">
        <v>65</v>
      </c>
      <c r="M15" t="s">
        <v>21</v>
      </c>
      <c r="N15" t="s">
        <v>66</v>
      </c>
      <c r="P15" s="6"/>
    </row>
    <row r="16" spans="1:16" ht="14.4" x14ac:dyDescent="0.3">
      <c r="A16" t="s">
        <v>13</v>
      </c>
      <c r="B16" t="s">
        <v>14</v>
      </c>
      <c r="C16" t="s">
        <v>15</v>
      </c>
      <c r="D16" t="s">
        <v>67</v>
      </c>
      <c r="E16" t="s">
        <v>33</v>
      </c>
      <c r="F16">
        <f>0.78*16.7</f>
        <v>13.026</v>
      </c>
      <c r="G16" t="s">
        <v>18</v>
      </c>
      <c r="H16">
        <f>16.7-F16</f>
        <v>3.6739999999999995</v>
      </c>
      <c r="I16" t="s">
        <v>18</v>
      </c>
      <c r="J16">
        <v>0.28205128205128205</v>
      </c>
      <c r="K16" t="s">
        <v>68</v>
      </c>
      <c r="L16" t="s">
        <v>69</v>
      </c>
      <c r="M16" t="s">
        <v>31</v>
      </c>
      <c r="P16" s="6"/>
    </row>
    <row r="17" spans="1:16" ht="14.4" x14ac:dyDescent="0.3">
      <c r="A17" t="s">
        <v>13</v>
      </c>
      <c r="B17" t="s">
        <v>70</v>
      </c>
      <c r="C17" t="s">
        <v>15</v>
      </c>
      <c r="D17" t="s">
        <v>71</v>
      </c>
      <c r="E17" t="s">
        <v>33</v>
      </c>
      <c r="F17">
        <v>1.476</v>
      </c>
      <c r="G17" t="s">
        <v>18</v>
      </c>
      <c r="H17">
        <f>4.97-F17</f>
        <v>3.4939999999999998</v>
      </c>
      <c r="I17" t="s">
        <v>18</v>
      </c>
      <c r="J17">
        <v>2.3672086720867203</v>
      </c>
      <c r="K17" t="s">
        <v>72</v>
      </c>
      <c r="L17" t="s">
        <v>73</v>
      </c>
      <c r="M17" t="s">
        <v>21</v>
      </c>
      <c r="P17" s="6"/>
    </row>
    <row r="18" spans="1:16" ht="14.4" x14ac:dyDescent="0.3">
      <c r="A18" t="s">
        <v>13</v>
      </c>
      <c r="B18" t="s">
        <v>14</v>
      </c>
      <c r="C18" t="s">
        <v>15</v>
      </c>
      <c r="D18" t="s">
        <v>74</v>
      </c>
      <c r="E18" t="s">
        <v>33</v>
      </c>
      <c r="F18">
        <v>162.80000000000001</v>
      </c>
      <c r="G18" t="s">
        <v>18</v>
      </c>
      <c r="H18">
        <f>175.05-F18</f>
        <v>12.25</v>
      </c>
      <c r="I18" t="s">
        <v>18</v>
      </c>
      <c r="J18">
        <v>7.5245700245700223E-2</v>
      </c>
      <c r="K18" t="s">
        <v>75</v>
      </c>
      <c r="L18" t="s">
        <v>76</v>
      </c>
      <c r="M18" t="s">
        <v>31</v>
      </c>
      <c r="P18" s="6"/>
    </row>
    <row r="19" spans="1:16" ht="14.4" x14ac:dyDescent="0.3">
      <c r="A19" t="s">
        <v>13</v>
      </c>
      <c r="B19" t="s">
        <v>14</v>
      </c>
      <c r="C19" t="s">
        <v>15</v>
      </c>
      <c r="D19" t="s">
        <v>71</v>
      </c>
      <c r="E19" t="s">
        <v>33</v>
      </c>
      <c r="F19">
        <v>3.677</v>
      </c>
      <c r="G19" t="s">
        <v>18</v>
      </c>
      <c r="H19">
        <f>5.97-F19</f>
        <v>2.2929999999999997</v>
      </c>
      <c r="I19" t="s">
        <v>18</v>
      </c>
      <c r="J19">
        <v>0.62360620070709794</v>
      </c>
      <c r="K19" t="s">
        <v>77</v>
      </c>
      <c r="L19" t="s">
        <v>78</v>
      </c>
      <c r="M19" t="s">
        <v>21</v>
      </c>
      <c r="N19" t="s">
        <v>59</v>
      </c>
      <c r="P19" s="6"/>
    </row>
    <row r="20" spans="1:16" ht="14.4" x14ac:dyDescent="0.3">
      <c r="A20" t="s">
        <v>13</v>
      </c>
      <c r="B20" t="s">
        <v>14</v>
      </c>
      <c r="C20" t="s">
        <v>15</v>
      </c>
      <c r="D20" t="s">
        <v>79</v>
      </c>
      <c r="E20" t="s">
        <v>33</v>
      </c>
      <c r="F20">
        <v>3</v>
      </c>
      <c r="G20" t="s">
        <v>18</v>
      </c>
      <c r="H20">
        <f>7.9-F20</f>
        <v>4.9000000000000004</v>
      </c>
      <c r="I20" t="s">
        <v>18</v>
      </c>
      <c r="J20">
        <v>1.6333333333333335</v>
      </c>
      <c r="K20" t="s">
        <v>80</v>
      </c>
      <c r="L20" t="s">
        <v>81</v>
      </c>
      <c r="M20" t="s">
        <v>21</v>
      </c>
      <c r="N20" t="s">
        <v>59</v>
      </c>
      <c r="P20" s="6"/>
    </row>
    <row r="21" spans="1:16" ht="14.4" x14ac:dyDescent="0.3">
      <c r="A21" t="s">
        <v>13</v>
      </c>
      <c r="B21" t="s">
        <v>70</v>
      </c>
      <c r="C21" t="s">
        <v>15</v>
      </c>
      <c r="D21" t="s">
        <v>16</v>
      </c>
      <c r="E21" t="s">
        <v>17</v>
      </c>
      <c r="F21">
        <v>4.4400000000000004</v>
      </c>
      <c r="G21" t="s">
        <v>18</v>
      </c>
      <c r="H21">
        <f>5.21-F21</f>
        <v>0.76999999999999957</v>
      </c>
      <c r="I21" t="s">
        <v>18</v>
      </c>
      <c r="J21">
        <v>0.17342342342342329</v>
      </c>
      <c r="K21" t="s">
        <v>82</v>
      </c>
      <c r="L21" t="s">
        <v>83</v>
      </c>
      <c r="M21" t="s">
        <v>21</v>
      </c>
      <c r="N21" t="s">
        <v>59</v>
      </c>
      <c r="P21" s="6"/>
    </row>
    <row r="22" spans="1:16" ht="14.4" x14ac:dyDescent="0.3">
      <c r="A22" t="s">
        <v>13</v>
      </c>
      <c r="B22" t="s">
        <v>14</v>
      </c>
      <c r="C22" t="s">
        <v>15</v>
      </c>
      <c r="D22" t="s">
        <v>27</v>
      </c>
      <c r="E22" t="s">
        <v>28</v>
      </c>
      <c r="F22">
        <v>121</v>
      </c>
      <c r="G22" t="s">
        <v>18</v>
      </c>
      <c r="H22">
        <f>164-F22</f>
        <v>43</v>
      </c>
      <c r="I22" t="s">
        <v>18</v>
      </c>
      <c r="J22">
        <v>0.35537190082644626</v>
      </c>
      <c r="K22" t="s">
        <v>84</v>
      </c>
      <c r="L22" t="s">
        <v>85</v>
      </c>
      <c r="M22" t="s">
        <v>31</v>
      </c>
      <c r="P22" s="6"/>
    </row>
    <row r="23" spans="1:16" ht="14.4" x14ac:dyDescent="0.3">
      <c r="A23" t="s">
        <v>13</v>
      </c>
      <c r="B23" t="s">
        <v>14</v>
      </c>
      <c r="C23" t="s">
        <v>15</v>
      </c>
      <c r="D23" t="s">
        <v>86</v>
      </c>
      <c r="E23" t="s">
        <v>33</v>
      </c>
      <c r="F23">
        <v>105</v>
      </c>
      <c r="G23" t="s">
        <v>18</v>
      </c>
      <c r="H23">
        <f>138-F23</f>
        <v>33</v>
      </c>
      <c r="I23" t="s">
        <v>18</v>
      </c>
      <c r="J23">
        <v>0.31428571428571428</v>
      </c>
      <c r="K23" t="s">
        <v>87</v>
      </c>
      <c r="L23" t="s">
        <v>88</v>
      </c>
      <c r="M23" t="s">
        <v>31</v>
      </c>
      <c r="P23" s="6"/>
    </row>
    <row r="24" spans="1:16" ht="14.4" x14ac:dyDescent="0.3">
      <c r="A24" t="s">
        <v>13</v>
      </c>
      <c r="B24" t="s">
        <v>14</v>
      </c>
      <c r="C24" t="s">
        <v>15</v>
      </c>
      <c r="D24" t="s">
        <v>89</v>
      </c>
      <c r="E24" t="s">
        <v>33</v>
      </c>
      <c r="F24">
        <v>11.77</v>
      </c>
      <c r="G24" t="s">
        <v>18</v>
      </c>
      <c r="H24">
        <f>14.35-F24</f>
        <v>2.58</v>
      </c>
      <c r="I24" t="s">
        <v>18</v>
      </c>
      <c r="J24">
        <v>0.21920135938827537</v>
      </c>
      <c r="K24" t="s">
        <v>90</v>
      </c>
      <c r="L24" t="s">
        <v>91</v>
      </c>
      <c r="M24" t="s">
        <v>21</v>
      </c>
      <c r="N24" t="s">
        <v>59</v>
      </c>
      <c r="P24" s="6"/>
    </row>
    <row r="25" spans="1:16" ht="14.4" x14ac:dyDescent="0.3">
      <c r="A25" t="s">
        <v>13</v>
      </c>
      <c r="B25" t="s">
        <v>92</v>
      </c>
      <c r="C25" t="s">
        <v>15</v>
      </c>
      <c r="D25" t="s">
        <v>50</v>
      </c>
      <c r="E25" t="s">
        <v>28</v>
      </c>
      <c r="F25">
        <v>60</v>
      </c>
      <c r="G25" t="s">
        <v>18</v>
      </c>
      <c r="H25">
        <f>F25/0.85-F25</f>
        <v>10.588235294117652</v>
      </c>
      <c r="I25" t="s">
        <v>18</v>
      </c>
      <c r="J25">
        <f>15/85</f>
        <v>0.17647058823529413</v>
      </c>
      <c r="K25" t="s">
        <v>93</v>
      </c>
      <c r="L25" t="s">
        <v>94</v>
      </c>
      <c r="M25" t="s">
        <v>95</v>
      </c>
      <c r="P25" s="6"/>
    </row>
    <row r="26" spans="1:16" ht="14.4" x14ac:dyDescent="0.3">
      <c r="A26" t="s">
        <v>13</v>
      </c>
      <c r="B26" t="s">
        <v>96</v>
      </c>
      <c r="C26" t="s">
        <v>15</v>
      </c>
      <c r="D26" t="s">
        <v>97</v>
      </c>
      <c r="E26" t="s">
        <v>28</v>
      </c>
      <c r="F26">
        <f>0.9462*9.15</f>
        <v>8.6577300000000008</v>
      </c>
      <c r="G26" t="s">
        <v>18</v>
      </c>
      <c r="H26">
        <f>9.15-F26</f>
        <v>0.49226999999999954</v>
      </c>
      <c r="I26" t="s">
        <v>18</v>
      </c>
      <c r="J26">
        <v>5.7082452431289704E-2</v>
      </c>
      <c r="K26" t="s">
        <v>98</v>
      </c>
      <c r="L26" t="s">
        <v>99</v>
      </c>
      <c r="M26" t="s">
        <v>21</v>
      </c>
      <c r="N26" t="s">
        <v>22</v>
      </c>
      <c r="P26" s="6"/>
    </row>
    <row r="27" spans="1:16" ht="14.4" x14ac:dyDescent="0.3">
      <c r="A27" t="s">
        <v>13</v>
      </c>
      <c r="B27" t="s">
        <v>100</v>
      </c>
      <c r="C27" t="s">
        <v>15</v>
      </c>
      <c r="D27" t="s">
        <v>27</v>
      </c>
      <c r="E27" t="s">
        <v>28</v>
      </c>
      <c r="F27">
        <f>0.81*44</f>
        <v>35.64</v>
      </c>
      <c r="G27" t="s">
        <v>18</v>
      </c>
      <c r="H27">
        <f>44-F27</f>
        <v>8.36</v>
      </c>
      <c r="I27" t="s">
        <v>18</v>
      </c>
      <c r="J27">
        <v>0.23456790123456789</v>
      </c>
      <c r="K27" t="s">
        <v>101</v>
      </c>
      <c r="L27" t="s">
        <v>102</v>
      </c>
      <c r="M27" t="s">
        <v>31</v>
      </c>
      <c r="P27" s="6"/>
    </row>
    <row r="28" spans="1:16" ht="14.4" x14ac:dyDescent="0.3">
      <c r="A28" t="s">
        <v>13</v>
      </c>
      <c r="B28" t="s">
        <v>14</v>
      </c>
      <c r="C28" t="s">
        <v>15</v>
      </c>
      <c r="D28" t="s">
        <v>103</v>
      </c>
      <c r="E28" t="s">
        <v>28</v>
      </c>
      <c r="F28">
        <v>117</v>
      </c>
      <c r="G28" t="s">
        <v>18</v>
      </c>
      <c r="H28">
        <f>158-F28</f>
        <v>41</v>
      </c>
      <c r="I28" t="s">
        <v>18</v>
      </c>
      <c r="J28">
        <f>H28/F28</f>
        <v>0.3504273504273504</v>
      </c>
      <c r="K28" t="s">
        <v>84</v>
      </c>
      <c r="L28" t="s">
        <v>85</v>
      </c>
      <c r="M28" t="s">
        <v>31</v>
      </c>
      <c r="P28" s="6"/>
    </row>
    <row r="29" spans="1:16" ht="14.4" x14ac:dyDescent="0.3">
      <c r="A29" t="s">
        <v>13</v>
      </c>
      <c r="B29" t="s">
        <v>104</v>
      </c>
      <c r="C29" t="s">
        <v>15</v>
      </c>
      <c r="D29" t="s">
        <v>27</v>
      </c>
      <c r="E29" t="s">
        <v>28</v>
      </c>
      <c r="F29">
        <v>25</v>
      </c>
      <c r="G29" t="s">
        <v>18</v>
      </c>
      <c r="H29">
        <f>25/0.85-F29</f>
        <v>4.411764705882355</v>
      </c>
      <c r="I29" t="s">
        <v>18</v>
      </c>
      <c r="J29">
        <v>0.17647058823529413</v>
      </c>
      <c r="K29" t="s">
        <v>105</v>
      </c>
      <c r="L29" t="s">
        <v>106</v>
      </c>
      <c r="M29" t="s">
        <v>31</v>
      </c>
      <c r="P29" s="6"/>
    </row>
    <row r="30" spans="1:16" ht="14.4" x14ac:dyDescent="0.3">
      <c r="A30" t="s">
        <v>13</v>
      </c>
      <c r="B30" t="s">
        <v>107</v>
      </c>
      <c r="C30" t="s">
        <v>15</v>
      </c>
      <c r="D30" t="s">
        <v>50</v>
      </c>
      <c r="E30" t="s">
        <v>28</v>
      </c>
      <c r="F30">
        <f>7.8</f>
        <v>7.8</v>
      </c>
      <c r="G30" t="s">
        <v>18</v>
      </c>
      <c r="H30">
        <f>10.76-F30</f>
        <v>2.96</v>
      </c>
      <c r="I30" t="s">
        <v>18</v>
      </c>
      <c r="J30">
        <f>H30/F30</f>
        <v>0.37948717948717947</v>
      </c>
      <c r="K30" t="s">
        <v>108</v>
      </c>
      <c r="L30" t="s">
        <v>109</v>
      </c>
      <c r="M30" t="s">
        <v>21</v>
      </c>
      <c r="N30" t="s">
        <v>110</v>
      </c>
      <c r="P30" s="6"/>
    </row>
    <row r="31" spans="1:16" ht="14.4" x14ac:dyDescent="0.3">
      <c r="A31" t="s">
        <v>13</v>
      </c>
      <c r="B31" t="s">
        <v>70</v>
      </c>
      <c r="C31" t="s">
        <v>15</v>
      </c>
      <c r="D31" t="s">
        <v>111</v>
      </c>
      <c r="E31" t="s">
        <v>33</v>
      </c>
      <c r="F31">
        <v>5.9</v>
      </c>
      <c r="G31" t="s">
        <v>18</v>
      </c>
      <c r="H31">
        <f>8.5-F31</f>
        <v>2.5999999999999996</v>
      </c>
      <c r="I31" t="s">
        <v>18</v>
      </c>
      <c r="J31">
        <f>H31/F31</f>
        <v>0.44067796610169485</v>
      </c>
      <c r="K31" t="s">
        <v>112</v>
      </c>
      <c r="L31" t="s">
        <v>113</v>
      </c>
      <c r="M31" t="s">
        <v>21</v>
      </c>
      <c r="N31" t="s">
        <v>22</v>
      </c>
      <c r="P31" s="6"/>
    </row>
    <row r="32" spans="1:16" ht="14.4" x14ac:dyDescent="0.3">
      <c r="A32" t="s">
        <v>13</v>
      </c>
      <c r="B32" t="s">
        <v>14</v>
      </c>
      <c r="C32" t="s">
        <v>15</v>
      </c>
      <c r="D32" t="s">
        <v>114</v>
      </c>
      <c r="E32" t="s">
        <v>33</v>
      </c>
      <c r="F32">
        <v>7.21</v>
      </c>
      <c r="G32" t="s">
        <v>18</v>
      </c>
      <c r="H32">
        <f>19.2-F32</f>
        <v>11.989999999999998</v>
      </c>
      <c r="I32" t="s">
        <v>18</v>
      </c>
      <c r="J32">
        <f t="shared" ref="J32:J39" si="0">H32/F32</f>
        <v>1.6629680998613035</v>
      </c>
      <c r="K32" t="s">
        <v>115</v>
      </c>
      <c r="L32" t="s">
        <v>116</v>
      </c>
      <c r="M32" t="s">
        <v>21</v>
      </c>
      <c r="N32" t="s">
        <v>59</v>
      </c>
      <c r="P32" s="6"/>
    </row>
    <row r="33" spans="1:16" ht="14.4" x14ac:dyDescent="0.3">
      <c r="A33" t="s">
        <v>13</v>
      </c>
      <c r="B33" t="s">
        <v>14</v>
      </c>
      <c r="C33" t="s">
        <v>15</v>
      </c>
      <c r="D33" t="s">
        <v>117</v>
      </c>
      <c r="E33" t="s">
        <v>33</v>
      </c>
      <c r="F33">
        <v>4.8099999999999996</v>
      </c>
      <c r="G33" t="s">
        <v>18</v>
      </c>
      <c r="H33">
        <f>9.2-F33</f>
        <v>4.3899999999999997</v>
      </c>
      <c r="I33" t="s">
        <v>18</v>
      </c>
      <c r="J33">
        <f t="shared" si="0"/>
        <v>0.91268191268191268</v>
      </c>
      <c r="K33" t="s">
        <v>118</v>
      </c>
      <c r="L33" t="s">
        <v>119</v>
      </c>
      <c r="M33" t="s">
        <v>21</v>
      </c>
      <c r="N33" t="s">
        <v>22</v>
      </c>
      <c r="P33" s="6"/>
    </row>
    <row r="34" spans="1:16" ht="14.4" x14ac:dyDescent="0.3">
      <c r="A34" t="s">
        <v>13</v>
      </c>
      <c r="B34" t="s">
        <v>14</v>
      </c>
      <c r="C34" t="s">
        <v>15</v>
      </c>
      <c r="D34" t="s">
        <v>120</v>
      </c>
      <c r="E34" t="s">
        <v>33</v>
      </c>
      <c r="F34">
        <v>11.7</v>
      </c>
      <c r="G34" t="s">
        <v>18</v>
      </c>
      <c r="H34">
        <f>20.89-F34</f>
        <v>9.1900000000000013</v>
      </c>
      <c r="I34" t="s">
        <v>18</v>
      </c>
      <c r="J34">
        <f t="shared" si="0"/>
        <v>0.78547008547008568</v>
      </c>
      <c r="K34" t="s">
        <v>121</v>
      </c>
      <c r="L34" t="s">
        <v>122</v>
      </c>
      <c r="M34" t="s">
        <v>31</v>
      </c>
      <c r="P34" s="6"/>
    </row>
    <row r="35" spans="1:16" ht="14.4" x14ac:dyDescent="0.3">
      <c r="A35" t="s">
        <v>13</v>
      </c>
      <c r="B35" t="s">
        <v>14</v>
      </c>
      <c r="C35" t="s">
        <v>15</v>
      </c>
      <c r="D35" t="s">
        <v>32</v>
      </c>
      <c r="E35" t="s">
        <v>33</v>
      </c>
      <c r="F35">
        <v>0.77</v>
      </c>
      <c r="G35" t="s">
        <v>18</v>
      </c>
      <c r="H35">
        <f>2.86-F35</f>
        <v>2.09</v>
      </c>
      <c r="I35" t="s">
        <v>18</v>
      </c>
      <c r="J35">
        <f t="shared" si="0"/>
        <v>2.714285714285714</v>
      </c>
      <c r="K35" t="s">
        <v>123</v>
      </c>
      <c r="L35" t="s">
        <v>124</v>
      </c>
      <c r="M35" t="s">
        <v>21</v>
      </c>
      <c r="N35" t="s">
        <v>59</v>
      </c>
      <c r="P35" s="6"/>
    </row>
    <row r="36" spans="1:16" ht="14.4" x14ac:dyDescent="0.3">
      <c r="A36" t="s">
        <v>13</v>
      </c>
      <c r="B36" t="s">
        <v>125</v>
      </c>
      <c r="C36" t="s">
        <v>15</v>
      </c>
      <c r="D36" t="s">
        <v>126</v>
      </c>
      <c r="E36" t="s">
        <v>33</v>
      </c>
      <c r="F36">
        <v>1.1399999999999999</v>
      </c>
      <c r="G36" t="s">
        <v>18</v>
      </c>
      <c r="H36">
        <f>3-F36</f>
        <v>1.86</v>
      </c>
      <c r="I36" t="s">
        <v>18</v>
      </c>
      <c r="J36">
        <f t="shared" si="0"/>
        <v>1.6315789473684212</v>
      </c>
      <c r="K36" t="s">
        <v>127</v>
      </c>
      <c r="L36" t="s">
        <v>128</v>
      </c>
      <c r="M36" t="s">
        <v>21</v>
      </c>
      <c r="N36" t="s">
        <v>66</v>
      </c>
      <c r="P36" s="6"/>
    </row>
    <row r="37" spans="1:16" ht="14.4" x14ac:dyDescent="0.3">
      <c r="A37" t="s">
        <v>13</v>
      </c>
      <c r="B37" t="s">
        <v>14</v>
      </c>
      <c r="C37" t="s">
        <v>15</v>
      </c>
      <c r="D37" t="s">
        <v>129</v>
      </c>
      <c r="E37" t="s">
        <v>33</v>
      </c>
      <c r="F37">
        <v>12.2</v>
      </c>
      <c r="G37" t="s">
        <v>130</v>
      </c>
      <c r="H37">
        <f>14.44-F37</f>
        <v>2.2400000000000002</v>
      </c>
      <c r="I37" t="s">
        <v>130</v>
      </c>
      <c r="J37">
        <f t="shared" si="0"/>
        <v>0.1836065573770492</v>
      </c>
      <c r="K37" t="s">
        <v>131</v>
      </c>
      <c r="L37" t="s">
        <v>132</v>
      </c>
      <c r="M37" t="s">
        <v>31</v>
      </c>
      <c r="P37" s="6"/>
    </row>
    <row r="38" spans="1:16" ht="14.4" x14ac:dyDescent="0.3">
      <c r="A38" t="s">
        <v>13</v>
      </c>
      <c r="B38" t="s">
        <v>133</v>
      </c>
      <c r="C38" t="s">
        <v>15</v>
      </c>
      <c r="D38" t="s">
        <v>134</v>
      </c>
      <c r="E38" t="s">
        <v>33</v>
      </c>
      <c r="F38">
        <v>2.2000000000000002</v>
      </c>
      <c r="G38" t="s">
        <v>18</v>
      </c>
      <c r="H38">
        <f>3.8-F38</f>
        <v>1.5999999999999996</v>
      </c>
      <c r="I38" t="s">
        <v>18</v>
      </c>
      <c r="J38">
        <f t="shared" si="0"/>
        <v>0.72727272727272707</v>
      </c>
      <c r="K38" t="s">
        <v>135</v>
      </c>
      <c r="L38" t="s">
        <v>136</v>
      </c>
      <c r="M38" t="s">
        <v>21</v>
      </c>
      <c r="P38" s="6"/>
    </row>
    <row r="39" spans="1:16" ht="14.4" x14ac:dyDescent="0.3">
      <c r="A39" t="s">
        <v>13</v>
      </c>
      <c r="B39" t="s">
        <v>125</v>
      </c>
      <c r="C39" t="s">
        <v>15</v>
      </c>
      <c r="D39" t="s">
        <v>137</v>
      </c>
      <c r="E39" t="s">
        <v>33</v>
      </c>
      <c r="F39">
        <v>2.6</v>
      </c>
      <c r="G39" t="s">
        <v>18</v>
      </c>
      <c r="H39">
        <f>3.65-F39</f>
        <v>1.0499999999999998</v>
      </c>
      <c r="I39" t="s">
        <v>18</v>
      </c>
      <c r="J39">
        <f t="shared" si="0"/>
        <v>0.40384615384615374</v>
      </c>
      <c r="K39" t="s">
        <v>138</v>
      </c>
      <c r="L39" t="s">
        <v>139</v>
      </c>
      <c r="M39" t="s">
        <v>21</v>
      </c>
      <c r="N39" t="s">
        <v>59</v>
      </c>
      <c r="P39" s="6"/>
    </row>
    <row r="40" spans="1:16" ht="14.4" x14ac:dyDescent="0.3">
      <c r="A40" t="s">
        <v>13</v>
      </c>
      <c r="B40" t="s">
        <v>140</v>
      </c>
      <c r="C40" t="s">
        <v>15</v>
      </c>
      <c r="D40" t="s">
        <v>111</v>
      </c>
      <c r="E40" t="s">
        <v>33</v>
      </c>
      <c r="F40">
        <v>5</v>
      </c>
      <c r="G40" t="s">
        <v>141</v>
      </c>
      <c r="H40">
        <v>9</v>
      </c>
      <c r="I40" t="s">
        <v>142</v>
      </c>
      <c r="J40">
        <f>(H40-F40)/F40</f>
        <v>0.8</v>
      </c>
      <c r="K40" t="s">
        <v>143</v>
      </c>
      <c r="L40" t="s">
        <v>144</v>
      </c>
      <c r="M40" t="s">
        <v>21</v>
      </c>
      <c r="N40" t="s">
        <v>59</v>
      </c>
      <c r="P40" s="6"/>
    </row>
    <row r="41" spans="1:16" ht="14.4" x14ac:dyDescent="0.3">
      <c r="A41" t="s">
        <v>13</v>
      </c>
      <c r="B41" t="s">
        <v>70</v>
      </c>
      <c r="C41" t="s">
        <v>15</v>
      </c>
      <c r="D41" t="s">
        <v>145</v>
      </c>
      <c r="E41" t="s">
        <v>33</v>
      </c>
      <c r="F41">
        <v>4.8</v>
      </c>
      <c r="G41" t="s">
        <v>141</v>
      </c>
      <c r="H41">
        <v>9.3000000000000007</v>
      </c>
      <c r="I41" t="s">
        <v>142</v>
      </c>
      <c r="J41">
        <f t="shared" ref="J41:J47" si="1">(H41-F41)/F41</f>
        <v>0.93750000000000022</v>
      </c>
      <c r="K41" t="s">
        <v>143</v>
      </c>
      <c r="L41" t="s">
        <v>144</v>
      </c>
      <c r="M41" t="s">
        <v>21</v>
      </c>
      <c r="N41" t="s">
        <v>59</v>
      </c>
      <c r="P41" s="6"/>
    </row>
    <row r="42" spans="1:16" ht="14.4" x14ac:dyDescent="0.3">
      <c r="A42" t="s">
        <v>13</v>
      </c>
      <c r="B42" t="s">
        <v>70</v>
      </c>
      <c r="C42" t="s">
        <v>15</v>
      </c>
      <c r="D42" t="s">
        <v>146</v>
      </c>
      <c r="E42" t="s">
        <v>33</v>
      </c>
      <c r="F42">
        <v>2.1</v>
      </c>
      <c r="G42" t="s">
        <v>141</v>
      </c>
      <c r="H42">
        <v>7.8</v>
      </c>
      <c r="I42" t="s">
        <v>142</v>
      </c>
      <c r="J42">
        <f t="shared" si="1"/>
        <v>2.714285714285714</v>
      </c>
      <c r="K42" t="s">
        <v>143</v>
      </c>
      <c r="L42" t="s">
        <v>144</v>
      </c>
      <c r="M42" t="s">
        <v>21</v>
      </c>
      <c r="N42" t="s">
        <v>59</v>
      </c>
      <c r="P42" s="6"/>
    </row>
    <row r="43" spans="1:16" ht="14.4" x14ac:dyDescent="0.3">
      <c r="A43" t="s">
        <v>13</v>
      </c>
      <c r="B43" t="s">
        <v>70</v>
      </c>
      <c r="C43" t="s">
        <v>15</v>
      </c>
      <c r="D43" t="s">
        <v>147</v>
      </c>
      <c r="E43" t="s">
        <v>33</v>
      </c>
      <c r="F43">
        <v>3.2</v>
      </c>
      <c r="G43" t="s">
        <v>141</v>
      </c>
      <c r="H43">
        <v>8.3000000000000007</v>
      </c>
      <c r="I43" t="s">
        <v>142</v>
      </c>
      <c r="J43">
        <f t="shared" si="1"/>
        <v>1.59375</v>
      </c>
      <c r="K43" t="s">
        <v>143</v>
      </c>
      <c r="L43" t="s">
        <v>144</v>
      </c>
      <c r="M43" t="s">
        <v>21</v>
      </c>
      <c r="N43" t="s">
        <v>59</v>
      </c>
      <c r="P43" s="6"/>
    </row>
    <row r="44" spans="1:16" ht="14.4" x14ac:dyDescent="0.3">
      <c r="A44" t="s">
        <v>13</v>
      </c>
      <c r="B44" t="s">
        <v>70</v>
      </c>
      <c r="C44" t="s">
        <v>15</v>
      </c>
      <c r="D44" t="s">
        <v>27</v>
      </c>
      <c r="E44" t="s">
        <v>28</v>
      </c>
      <c r="F44">
        <v>6.1</v>
      </c>
      <c r="G44" t="s">
        <v>141</v>
      </c>
      <c r="H44">
        <v>10</v>
      </c>
      <c r="I44" t="s">
        <v>142</v>
      </c>
      <c r="J44">
        <f t="shared" si="1"/>
        <v>0.63934426229508201</v>
      </c>
      <c r="K44" t="s">
        <v>143</v>
      </c>
      <c r="L44" t="s">
        <v>144</v>
      </c>
      <c r="M44" t="s">
        <v>21</v>
      </c>
      <c r="N44" t="s">
        <v>59</v>
      </c>
      <c r="P44" s="6"/>
    </row>
    <row r="45" spans="1:16" ht="14.4" x14ac:dyDescent="0.3">
      <c r="A45" t="s">
        <v>13</v>
      </c>
      <c r="B45" t="s">
        <v>70</v>
      </c>
      <c r="C45" t="s">
        <v>15</v>
      </c>
      <c r="D45" t="s">
        <v>50</v>
      </c>
      <c r="E45" t="s">
        <v>28</v>
      </c>
      <c r="F45">
        <v>4.2</v>
      </c>
      <c r="G45" t="s">
        <v>141</v>
      </c>
      <c r="H45">
        <v>8.6</v>
      </c>
      <c r="I45" t="s">
        <v>142</v>
      </c>
      <c r="J45">
        <f t="shared" si="1"/>
        <v>1.0476190476190474</v>
      </c>
      <c r="K45" t="s">
        <v>143</v>
      </c>
      <c r="L45" t="s">
        <v>144</v>
      </c>
      <c r="M45" t="s">
        <v>21</v>
      </c>
      <c r="N45" t="s">
        <v>59</v>
      </c>
      <c r="P45" s="6"/>
    </row>
    <row r="46" spans="1:16" ht="14.4" x14ac:dyDescent="0.3">
      <c r="A46" t="s">
        <v>13</v>
      </c>
      <c r="B46" t="s">
        <v>70</v>
      </c>
      <c r="C46" t="s">
        <v>15</v>
      </c>
      <c r="D46" t="s">
        <v>97</v>
      </c>
      <c r="E46" t="s">
        <v>28</v>
      </c>
      <c r="F46">
        <v>5.2</v>
      </c>
      <c r="G46" t="s">
        <v>141</v>
      </c>
      <c r="H46">
        <v>9.6</v>
      </c>
      <c r="I46" t="s">
        <v>142</v>
      </c>
      <c r="J46">
        <f t="shared" si="1"/>
        <v>0.84615384615384603</v>
      </c>
      <c r="K46" t="s">
        <v>143</v>
      </c>
      <c r="L46" t="s">
        <v>144</v>
      </c>
      <c r="M46" t="s">
        <v>21</v>
      </c>
      <c r="N46" t="s">
        <v>59</v>
      </c>
      <c r="P46" s="6"/>
    </row>
    <row r="47" spans="1:16" ht="14.4" x14ac:dyDescent="0.3">
      <c r="A47" t="s">
        <v>13</v>
      </c>
      <c r="B47" t="s">
        <v>14</v>
      </c>
      <c r="C47" t="s">
        <v>15</v>
      </c>
      <c r="D47" t="s">
        <v>97</v>
      </c>
      <c r="E47" t="s">
        <v>28</v>
      </c>
      <c r="F47">
        <v>1.4</v>
      </c>
      <c r="G47" t="s">
        <v>141</v>
      </c>
      <c r="H47">
        <v>3.25</v>
      </c>
      <c r="I47" t="s">
        <v>142</v>
      </c>
      <c r="J47">
        <f t="shared" si="1"/>
        <v>1.3214285714285716</v>
      </c>
      <c r="K47" t="s">
        <v>148</v>
      </c>
      <c r="L47" t="s">
        <v>149</v>
      </c>
      <c r="M47" t="s">
        <v>21</v>
      </c>
      <c r="N47" t="s">
        <v>59</v>
      </c>
      <c r="P47" s="6"/>
    </row>
    <row r="48" spans="1:16" ht="14.4" x14ac:dyDescent="0.3">
      <c r="A48" t="s">
        <v>13</v>
      </c>
      <c r="B48" t="s">
        <v>150</v>
      </c>
      <c r="C48" t="s">
        <v>15</v>
      </c>
      <c r="D48" t="s">
        <v>151</v>
      </c>
      <c r="E48" t="s">
        <v>33</v>
      </c>
      <c r="F48">
        <v>3.66</v>
      </c>
      <c r="G48" t="s">
        <v>141</v>
      </c>
      <c r="H48">
        <v>4.68</v>
      </c>
      <c r="I48" t="s">
        <v>142</v>
      </c>
      <c r="J48">
        <f>(H48-F48)/F48</f>
        <v>0.2786885245901638</v>
      </c>
      <c r="K48" t="s">
        <v>152</v>
      </c>
      <c r="L48" t="s">
        <v>153</v>
      </c>
      <c r="M48" t="s">
        <v>21</v>
      </c>
      <c r="N48" t="s">
        <v>59</v>
      </c>
      <c r="P48" s="6"/>
    </row>
    <row r="49" spans="1:16" ht="14.4" x14ac:dyDescent="0.3">
      <c r="A49" t="s">
        <v>13</v>
      </c>
      <c r="B49" t="s">
        <v>150</v>
      </c>
      <c r="C49" t="s">
        <v>15</v>
      </c>
      <c r="D49" t="s">
        <v>154</v>
      </c>
      <c r="E49" t="s">
        <v>33</v>
      </c>
      <c r="F49">
        <v>3.46</v>
      </c>
      <c r="G49" t="s">
        <v>141</v>
      </c>
      <c r="H49">
        <v>5</v>
      </c>
      <c r="I49" t="s">
        <v>142</v>
      </c>
      <c r="J49">
        <f>(H49-F49)/F49</f>
        <v>0.44508670520231214</v>
      </c>
      <c r="K49" t="s">
        <v>152</v>
      </c>
      <c r="L49" t="s">
        <v>153</v>
      </c>
      <c r="M49" t="s">
        <v>21</v>
      </c>
      <c r="N49" t="s">
        <v>59</v>
      </c>
      <c r="P49" s="6"/>
    </row>
    <row r="50" spans="1:16" ht="14.4" x14ac:dyDescent="0.3">
      <c r="A50" t="s">
        <v>13</v>
      </c>
      <c r="B50" t="s">
        <v>150</v>
      </c>
      <c r="C50" t="s">
        <v>15</v>
      </c>
      <c r="D50" t="s">
        <v>155</v>
      </c>
      <c r="E50" t="s">
        <v>33</v>
      </c>
      <c r="F50">
        <v>3.36</v>
      </c>
      <c r="G50" t="s">
        <v>141</v>
      </c>
      <c r="H50">
        <v>5.5</v>
      </c>
      <c r="I50" t="s">
        <v>142</v>
      </c>
      <c r="J50">
        <f>(H50-F50)/F50</f>
        <v>0.63690476190476197</v>
      </c>
      <c r="K50" t="s">
        <v>152</v>
      </c>
      <c r="L50" t="s">
        <v>153</v>
      </c>
      <c r="M50" t="s">
        <v>21</v>
      </c>
      <c r="N50" t="s">
        <v>59</v>
      </c>
      <c r="P50" s="6"/>
    </row>
    <row r="51" spans="1:16" ht="14.4" x14ac:dyDescent="0.3">
      <c r="A51" t="s">
        <v>13</v>
      </c>
      <c r="B51" t="s">
        <v>150</v>
      </c>
      <c r="C51" t="s">
        <v>15</v>
      </c>
      <c r="D51" t="s">
        <v>27</v>
      </c>
      <c r="E51" t="s">
        <v>28</v>
      </c>
      <c r="F51">
        <v>1.68</v>
      </c>
      <c r="G51" t="s">
        <v>141</v>
      </c>
      <c r="H51">
        <v>2.2400000000000002</v>
      </c>
      <c r="I51" t="s">
        <v>142</v>
      </c>
      <c r="J51">
        <f>(H51-F51)/F51</f>
        <v>0.33333333333333354</v>
      </c>
      <c r="K51" t="s">
        <v>152</v>
      </c>
      <c r="L51" t="s">
        <v>153</v>
      </c>
      <c r="M51" t="s">
        <v>21</v>
      </c>
      <c r="N51" t="s">
        <v>59</v>
      </c>
      <c r="P51" s="6"/>
    </row>
    <row r="52" spans="1:16" ht="14.4" x14ac:dyDescent="0.3">
      <c r="A52" t="s">
        <v>13</v>
      </c>
      <c r="B52" t="s">
        <v>70</v>
      </c>
      <c r="C52" t="s">
        <v>15</v>
      </c>
      <c r="D52" t="s">
        <v>156</v>
      </c>
      <c r="E52" t="s">
        <v>17</v>
      </c>
      <c r="F52">
        <f>54.61/100*H52</f>
        <v>2.9926280000000003</v>
      </c>
      <c r="G52" t="s">
        <v>141</v>
      </c>
      <c r="H52">
        <v>5.48</v>
      </c>
      <c r="I52" t="s">
        <v>142</v>
      </c>
      <c r="J52">
        <f t="shared" ref="J52:J53" si="2">(H52-F52)/F52</f>
        <v>0.83116645303058045</v>
      </c>
      <c r="K52" t="s">
        <v>157</v>
      </c>
      <c r="L52" t="s">
        <v>158</v>
      </c>
      <c r="M52" t="s">
        <v>21</v>
      </c>
      <c r="N52" t="s">
        <v>59</v>
      </c>
      <c r="P52" s="6"/>
    </row>
    <row r="53" spans="1:16" ht="14.4" x14ac:dyDescent="0.3">
      <c r="A53" t="s">
        <v>13</v>
      </c>
      <c r="B53" t="s">
        <v>70</v>
      </c>
      <c r="C53" t="s">
        <v>15</v>
      </c>
      <c r="D53" t="s">
        <v>156</v>
      </c>
      <c r="E53" t="s">
        <v>17</v>
      </c>
      <c r="F53">
        <f>54.84/100*H53</f>
        <v>2.2813440000000003</v>
      </c>
      <c r="G53" t="s">
        <v>141</v>
      </c>
      <c r="H53">
        <v>4.16</v>
      </c>
      <c r="I53" t="s">
        <v>142</v>
      </c>
      <c r="J53">
        <f t="shared" si="2"/>
        <v>0.82348650619985397</v>
      </c>
      <c r="K53" t="s">
        <v>157</v>
      </c>
      <c r="L53" t="s">
        <v>158</v>
      </c>
      <c r="M53" t="s">
        <v>21</v>
      </c>
      <c r="N53" t="s">
        <v>59</v>
      </c>
      <c r="P53" s="6"/>
    </row>
    <row r="54" spans="1:16" ht="14.4" x14ac:dyDescent="0.3">
      <c r="A54" t="s">
        <v>13</v>
      </c>
      <c r="B54" t="s">
        <v>70</v>
      </c>
      <c r="C54" t="s">
        <v>15</v>
      </c>
      <c r="D54" t="s">
        <v>156</v>
      </c>
      <c r="E54" t="s">
        <v>17</v>
      </c>
      <c r="F54">
        <f>46.67/100*H54</f>
        <v>1.07341</v>
      </c>
      <c r="G54" t="s">
        <v>141</v>
      </c>
      <c r="H54">
        <v>2.2999999999999998</v>
      </c>
      <c r="I54" t="s">
        <v>142</v>
      </c>
      <c r="J54">
        <f>(H54-F54)/F54</f>
        <v>1.1427040925648166</v>
      </c>
      <c r="K54" t="s">
        <v>157</v>
      </c>
      <c r="L54" t="s">
        <v>158</v>
      </c>
      <c r="M54" t="s">
        <v>21</v>
      </c>
      <c r="N54" t="s">
        <v>59</v>
      </c>
      <c r="P54" s="6"/>
    </row>
    <row r="55" spans="1:16" ht="15" customHeight="1" x14ac:dyDescent="0.3">
      <c r="P55" s="6"/>
    </row>
    <row r="56" spans="1:16" ht="15" customHeight="1" x14ac:dyDescent="0.3">
      <c r="P56" s="6"/>
    </row>
    <row r="57" spans="1:16" ht="15" customHeight="1" x14ac:dyDescent="0.3">
      <c r="P57" s="6"/>
    </row>
    <row r="58" spans="1:16" ht="15" customHeight="1" x14ac:dyDescent="0.3">
      <c r="P58" s="6"/>
    </row>
    <row r="59" spans="1:16" ht="15" customHeight="1" x14ac:dyDescent="0.3">
      <c r="P59" s="6"/>
    </row>
    <row r="60" spans="1:16" ht="15" customHeight="1" x14ac:dyDescent="0.3">
      <c r="P60" s="6"/>
    </row>
  </sheetData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23A6FE110FC04893E2AE69651518CC" ma:contentTypeVersion="7" ma:contentTypeDescription="Create a new document." ma:contentTypeScope="" ma:versionID="d7d1d3c5912bd77cf04457304ec9041c">
  <xsd:schema xmlns:xsd="http://www.w3.org/2001/XMLSchema" xmlns:xs="http://www.w3.org/2001/XMLSchema" xmlns:p="http://schemas.microsoft.com/office/2006/metadata/properties" xmlns:ns2="51d85fb0-8842-4135-abad-4f96222165c6" targetNamespace="http://schemas.microsoft.com/office/2006/metadata/properties" ma:root="true" ma:fieldsID="7eefe8534bd0cad21431cea1525895b7" ns2:_="">
    <xsd:import namespace="51d85fb0-8842-4135-abad-4f96222165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d85fb0-8842-4135-abad-4f96222165c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0bc0b185-4452-496b-8675-b05c2822374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1d85fb0-8842-4135-abad-4f96222165c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784C868-AB92-4648-B3A5-1A04B8EBEF52}"/>
</file>

<file path=customXml/itemProps2.xml><?xml version="1.0" encoding="utf-8"?>
<ds:datastoreItem xmlns:ds="http://schemas.openxmlformats.org/officeDocument/2006/customXml" ds:itemID="{19A9181A-4141-4B88-8160-00D1091513BB}"/>
</file>

<file path=customXml/itemProps3.xml><?xml version="1.0" encoding="utf-8"?>
<ds:datastoreItem xmlns:ds="http://schemas.openxmlformats.org/officeDocument/2006/customXml" ds:itemID="{E0CF0509-4669-416D-A39C-CCADB03A7C7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PHAdata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Stikane</dc:creator>
  <cp:lastModifiedBy>Anna Stikane</cp:lastModifiedBy>
  <dcterms:created xsi:type="dcterms:W3CDTF">2023-04-30T09:32:45Z</dcterms:created>
  <dcterms:modified xsi:type="dcterms:W3CDTF">2023-04-30T09:32:59Z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0x010100B023A6FE110FC04893E2AE69651518CC</vt:lpwstr>
  </property>
</Properties>
</file>