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3.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updateLinks="never" codeName="ThisWorkbook"/>
  <mc:AlternateContent xmlns:mc="http://schemas.openxmlformats.org/markup-compatibility/2006">
    <mc:Choice Requires="x15">
      <x15ac:absPath xmlns:x15ac="http://schemas.microsoft.com/office/spreadsheetml/2010/11/ac" url="C:\Users\user\Dropbox\1_1_MAKALELER\MAKALELER_2023\CDW Recycle Centres\Recycling\Revision\"/>
    </mc:Choice>
  </mc:AlternateContent>
  <bookViews>
    <workbookView xWindow="-120" yWindow="-120" windowWidth="29040" windowHeight="15840" tabRatio="844" activeTab="4"/>
  </bookViews>
  <sheets>
    <sheet name="Methodology " sheetId="1" r:id="rId1"/>
    <sheet name="Hoja1" sheetId="180" state="hidden" r:id="rId2"/>
    <sheet name="Costs" sheetId="175" r:id="rId3"/>
    <sheet name="Benefits" sheetId="182" r:id="rId4"/>
    <sheet name="CBA" sheetId="183" r:id="rId5"/>
    <sheet name="Overview-COST BENEFIT" sheetId="167" state="hidden" r:id="rId6"/>
    <sheet name="Overview-CO-BENEFITS" sheetId="176" state="hidden" r:id="rId7"/>
    <sheet name="Hoja2" sheetId="181" state="hidden" r:id="rId8"/>
    <sheet name="4-D assessment" sheetId="177" state="hidden" r:id="rId9"/>
    <sheet name="PF 1, 2 and 3 CBA" sheetId="74" state="hidden" r:id="rId10"/>
    <sheet name="PF 6-Calculations" sheetId="114" state="hidden" r:id="rId11"/>
    <sheet name="PAP 1, 2 and 3 CBA" sheetId="112" state="hidden" r:id="rId12"/>
    <sheet name="Regret Table Petrotrin" sheetId="80" state="hidden" r:id="rId13"/>
  </sheets>
  <externalReferences>
    <externalReference r:id="rId14"/>
    <externalReference r:id="rId15"/>
    <externalReference r:id="rId16"/>
  </externalReferences>
  <definedNames>
    <definedName name="_xlnm._FilterDatabase" localSheetId="8" hidden="1">'4-D assessment'!$T$2:$AG$2</definedName>
    <definedName name="_xlnm._FilterDatabase" localSheetId="6" hidden="1">'Overview-CO-BENEFITS'!$A$11:$K$11</definedName>
    <definedName name="_xlnm._FilterDatabase" localSheetId="5" hidden="1">'Overview-COST BENEFIT'!$B$10:$K$20</definedName>
    <definedName name="ç">#N/A</definedName>
    <definedName name="cd" localSheetId="2">#N/A</definedName>
    <definedName name="cd" localSheetId="6">#N/A</definedName>
    <definedName name="cd" localSheetId="5">#N/A</definedName>
    <definedName name="cd" localSheetId="11">#N/A</definedName>
    <definedName name="cd" localSheetId="9">#N/A</definedName>
    <definedName name="cd" localSheetId="12">IF('Regret Table Petrotrin'!rngPlant=7,INDEX([0]!rngCost,7),0)</definedName>
    <definedName name="cd">IF('Regret Table Petrotrin'!rngPlant=7,INDEX([0]!rngCost,7),0)</definedName>
    <definedName name="cdvgsfd" localSheetId="2">#N/A</definedName>
    <definedName name="cdvgsfd" localSheetId="6">#N/A</definedName>
    <definedName name="cdvgsfd" localSheetId="5">#N/A</definedName>
    <definedName name="cdvgsfd" localSheetId="11">#N/A</definedName>
    <definedName name="cdvgsfd" localSheetId="9">#N/A</definedName>
    <definedName name="cdvgsfd" localSheetId="12">IF('Regret Table Petrotrin'!rngPlant=9,INDEX([0]!rngCost,9),0)</definedName>
    <definedName name="cdvgsfd">IF('Regret Table Petrotrin'!rngPlant=9,INDEX([0]!rngCost,9),0)</definedName>
    <definedName name="cvfdv">#N/A</definedName>
    <definedName name="cvvc" localSheetId="2">#N/A</definedName>
    <definedName name="cvvc" localSheetId="6">#N/A</definedName>
    <definedName name="cvvc" localSheetId="5">#N/A</definedName>
    <definedName name="cvvc" localSheetId="11">#N/A</definedName>
    <definedName name="cvvc" localSheetId="9">#N/A</definedName>
    <definedName name="cvvc" localSheetId="12">IF('Regret Table Petrotrin'!rngPlant=8,INDEX([0]!rngCost,8),0)</definedName>
    <definedName name="cvvc">IF('Regret Table Petrotrin'!rngPlant=8,INDEX([0]!rngCost,8),0)</definedName>
    <definedName name="dsfsdf">#N/A</definedName>
    <definedName name="ewew" localSheetId="6">OFFSET(#REF!,0,0,COUNTA(#REF!)-1,1)</definedName>
    <definedName name="ewew">OFFSET(#REF!,0,0,COUNTA(#REF!)-1,1)</definedName>
    <definedName name="fdghdh" localSheetId="2">#N/A</definedName>
    <definedName name="fdghdh" localSheetId="6">#N/A</definedName>
    <definedName name="fdghdh" localSheetId="5">#N/A</definedName>
    <definedName name="fdghdh" localSheetId="11">#N/A</definedName>
    <definedName name="fdghdh" localSheetId="9">#N/A</definedName>
    <definedName name="fdghdh" localSheetId="12">IF('Regret Table Petrotrin'!rngPlant=7,INDEX([0]!dsfsdf,7),0)</definedName>
    <definedName name="fdghdh">IF('Regret Table Petrotrin'!rngPlant=7,INDEX([0]!dsfsdf,7),0)</definedName>
    <definedName name="hfydjgf" localSheetId="2">#N/A</definedName>
    <definedName name="hfydjgf" localSheetId="6">#N/A</definedName>
    <definedName name="hfydjgf" localSheetId="5">#N/A</definedName>
    <definedName name="hfydjgf" localSheetId="11">#N/A</definedName>
    <definedName name="hfydjgf" localSheetId="9">#N/A</definedName>
    <definedName name="hfydjgf" localSheetId="12">IF('Regret Table Petrotrin'!rngPlant=8,INDEX([0]!dsfsdf,8),0)</definedName>
    <definedName name="hfydjgf">IF('Regret Table Petrotrin'!rngPlant=8,INDEX([0]!dsfsdf,8),0)</definedName>
    <definedName name="hfyjhydj">#N/A</definedName>
    <definedName name="hgddh" localSheetId="2">OFFSET(#REF!,0,0,COUNTA(#REF!)-1,1)</definedName>
    <definedName name="hgddh" localSheetId="6">OFFSET(#REF!,0,0,COUNTA(#REF!)-1,1)</definedName>
    <definedName name="hgddh" localSheetId="5">OFFSET(#REF!,0,0,COUNTA(#REF!)-1,1)</definedName>
    <definedName name="hgddh" localSheetId="11">OFFSET(#REF!,0,0,COUNTA(#REF!)-1,1)</definedName>
    <definedName name="hgddh" localSheetId="10">OFFSET(#REF!,0,0,COUNTA(#REF!)-1,1)</definedName>
    <definedName name="hgddh" localSheetId="12">OFFSET(#REF!,0,0,COUNTA(#REF!)-1,1)</definedName>
    <definedName name="hgddh">OFFSET(#REF!,0,0,COUNTA(#REF!)-1,1)</definedName>
    <definedName name="rerqwr">#N/A</definedName>
    <definedName name="rngBins">#N/A</definedName>
    <definedName name="rngCost">#N/A</definedName>
    <definedName name="rngPlant" localSheetId="6">MATCH([0]!rngBins,[0]!rngVCum,1)</definedName>
    <definedName name="rngPlant" localSheetId="5">MATCH(rngBins,[0]!rngVCum,1)</definedName>
    <definedName name="rngPlant" localSheetId="11">MATCH([0]!rngBins,[0]!rngVCum,1)</definedName>
    <definedName name="rngPlant" localSheetId="9">MATCH(rngBins,[0]!rngVCum,1)</definedName>
    <definedName name="rngPlant" localSheetId="12">MATCH([0]!rngBins,[0]!rngVCum,1)</definedName>
    <definedName name="rngPlant">MATCH(rngBins,[0]!rngVCum,1)</definedName>
    <definedName name="rngSer1" localSheetId="6">IF('Overview-CO-BENEFITS'!rngPlant=1,INDEX([0]!rngCost,1),0)</definedName>
    <definedName name="rngSer1" localSheetId="5">IF('Overview-COST BENEFIT'!rngPlant=1,INDEX(rngCost,1),0)</definedName>
    <definedName name="rngSer1" localSheetId="11">IF('PAP 1, 2 and 3 CBA'!rngPlant=1,INDEX([0]!rngCost,1),0)</definedName>
    <definedName name="rngSer1" localSheetId="9">IF('PF 1, 2 and 3 CBA'!rngPlant=1,INDEX(rngCost,1),0)</definedName>
    <definedName name="rngSer1" localSheetId="12">IF('Regret Table Petrotrin'!rngPlant=1,INDEX([0]!rngCost,1),0)</definedName>
    <definedName name="rngSer1">IF(rngPlant=1,INDEX(rngCost,1),0)</definedName>
    <definedName name="rngSer10" localSheetId="2">#N/A</definedName>
    <definedName name="rngSer10" localSheetId="6">#N/A</definedName>
    <definedName name="rngSer10" localSheetId="5">IF('[1]MEDIDAS ACB'!rngPlant=10,INDEX([0]!rngCost,10),0)</definedName>
    <definedName name="rngSer10" localSheetId="11">IF('PAP 1, 2 and 3 CBA'!rngPlant=10,INDEX([0]!rngCost,10),0)</definedName>
    <definedName name="rngSer10" localSheetId="9">IF('PF 1, 2 and 3 CBA'!rngPlant=10,INDEX([0]!rngCost,10),0)</definedName>
    <definedName name="rngSer10" localSheetId="12">IF('Regret Table Petrotrin'!rngPlant=10,INDEX([0]!rngCost,10),0)</definedName>
    <definedName name="rngSer10">IF('[1]MEDIDAS ACB'!rngPlant=10,INDEX([0]!rngCost,10),0)</definedName>
    <definedName name="rngSer11" localSheetId="2">#N/A</definedName>
    <definedName name="rngSer11" localSheetId="6">#N/A</definedName>
    <definedName name="rngSer11" localSheetId="5">IF('[1]MEDIDAS ACB'!rngPlant=11,INDEX([0]!rngCost,11),0)</definedName>
    <definedName name="rngSer11" localSheetId="11">IF('PAP 1, 2 and 3 CBA'!rngPlant=11,INDEX([0]!rngCost,11),0)</definedName>
    <definedName name="rngSer11" localSheetId="9">IF('PF 1, 2 and 3 CBA'!rngPlant=11,INDEX([0]!rngCost,11),0)</definedName>
    <definedName name="rngSer11" localSheetId="12">IF('Regret Table Petrotrin'!rngPlant=11,INDEX([0]!rngCost,11),0)</definedName>
    <definedName name="rngSer11">IF('[1]MEDIDAS ACB'!rngPlant=11,INDEX([0]!rngCost,11),0)</definedName>
    <definedName name="rngSer2" localSheetId="6">IF('Overview-CO-BENEFITS'!rngPlant=2,INDEX([0]!rngCost,2),0)</definedName>
    <definedName name="rngSer2" localSheetId="5">IF('Overview-COST BENEFIT'!rngPlant=2,INDEX(rngCost,2),0)</definedName>
    <definedName name="rngSer2" localSheetId="11">IF('PAP 1, 2 and 3 CBA'!rngPlant=2,INDEX([0]!rngCost,2),0)</definedName>
    <definedName name="rngSer2" localSheetId="9">IF('PF 1, 2 and 3 CBA'!rngPlant=2,INDEX(rngCost,2),0)</definedName>
    <definedName name="rngSer2" localSheetId="12">IF('Regret Table Petrotrin'!rngPlant=2,INDEX([0]!rngCost,2),0)</definedName>
    <definedName name="rngSer2">IF(rngPlant=2,INDEX(rngCost,2),0)</definedName>
    <definedName name="rngSer3" localSheetId="6">IF('Overview-CO-BENEFITS'!rngPlant=3,INDEX([0]!rngCost,3),0)</definedName>
    <definedName name="rngSer3" localSheetId="5">IF('Overview-COST BENEFIT'!rngPlant=3,INDEX(rngCost,3),0)</definedName>
    <definedName name="rngSer3" localSheetId="11">IF('PAP 1, 2 and 3 CBA'!rngPlant=3,INDEX([0]!rngCost,3),0)</definedName>
    <definedName name="rngSer3" localSheetId="9">IF('PF 1, 2 and 3 CBA'!rngPlant=3,INDEX(rngCost,3),0)</definedName>
    <definedName name="rngSer3" localSheetId="12">IF('Regret Table Petrotrin'!rngPlant=3,INDEX([0]!rngCost,3),0)</definedName>
    <definedName name="rngSer3">IF(rngPlant=3,INDEX(rngCost,3),0)</definedName>
    <definedName name="rngSer4" localSheetId="6">IF('Overview-CO-BENEFITS'!rngPlant=4,INDEX([0]!rngCost,4),0)</definedName>
    <definedName name="rngSer4" localSheetId="5">IF('Overview-COST BENEFIT'!rngPlant=4,INDEX(rngCost,4),0)</definedName>
    <definedName name="rngSer4" localSheetId="11">IF('PAP 1, 2 and 3 CBA'!rngPlant=4,INDEX([0]!rngCost,4),0)</definedName>
    <definedName name="rngSer4" localSheetId="9">IF('PF 1, 2 and 3 CBA'!rngPlant=4,INDEX(rngCost,4),0)</definedName>
    <definedName name="rngSer4" localSheetId="12">IF('Regret Table Petrotrin'!rngPlant=4,INDEX([0]!rngCost,4),0)</definedName>
    <definedName name="rngSer4">IF(rngPlant=4,INDEX(rngCost,4),0)</definedName>
    <definedName name="rngSer5" localSheetId="6">IF('Overview-CO-BENEFITS'!rngPlant=5,INDEX([0]!rngCost,5),0)</definedName>
    <definedName name="rngSer5" localSheetId="5">IF('Overview-COST BENEFIT'!rngPlant=5,INDEX(rngCost,5),0)</definedName>
    <definedName name="rngSer5" localSheetId="11">IF('PAP 1, 2 and 3 CBA'!rngPlant=5,INDEX([0]!rngCost,5),0)</definedName>
    <definedName name="rngSer5" localSheetId="9">IF('PF 1, 2 and 3 CBA'!rngPlant=5,INDEX(rngCost,5),0)</definedName>
    <definedName name="rngSer5" localSheetId="12">IF('Regret Table Petrotrin'!rngPlant=5,INDEX([0]!rngCost,5),0)</definedName>
    <definedName name="rngSer5">IF(rngPlant=5,INDEX(rngCost,5),0)</definedName>
    <definedName name="rngSer6" localSheetId="2">#N/A</definedName>
    <definedName name="rngSer6" localSheetId="6">#N/A</definedName>
    <definedName name="rngSer6" localSheetId="5">IF('[1]MEDIDAS ACB'!rngPlant=6,INDEX([0]!rngCost,6),0)</definedName>
    <definedName name="rngSer6" localSheetId="11">IF('PAP 1, 2 and 3 CBA'!rngPlant=6,INDEX([0]!rngCost,6),0)</definedName>
    <definedName name="rngSer6" localSheetId="9">IF('PF 1, 2 and 3 CBA'!rngPlant=6,INDEX([0]!rngCost,6),0)</definedName>
    <definedName name="rngSer6" localSheetId="12">IF('Regret Table Petrotrin'!rngPlant=6,INDEX([0]!rngCost,6),0)</definedName>
    <definedName name="rngSer6">IF('[1]MEDIDAS ACB'!rngPlant=6,INDEX([0]!rngCost,6),0)</definedName>
    <definedName name="rngSer7" localSheetId="2">#N/A</definedName>
    <definedName name="rngSer7" localSheetId="6">#N/A</definedName>
    <definedName name="rngSer7" localSheetId="5">IF('[1]MEDIDAS ACB'!rngPlant=7,INDEX([0]!rngCost,7),0)</definedName>
    <definedName name="rngSer7" localSheetId="11">IF('PAP 1, 2 and 3 CBA'!rngPlant=7,INDEX([0]!rngCost,7),0)</definedName>
    <definedName name="rngSer7" localSheetId="9">IF('PF 1, 2 and 3 CBA'!rngPlant=7,INDEX([0]!rngCost,7),0)</definedName>
    <definedName name="rngSer7" localSheetId="12">IF('Regret Table Petrotrin'!rngPlant=7,INDEX([0]!rngCost,7),0)</definedName>
    <definedName name="rngSer7">IF('[1]MEDIDAS ACB'!rngPlant=7,INDEX([0]!rngCost,7),0)</definedName>
    <definedName name="rngSer8" localSheetId="2">#N/A</definedName>
    <definedName name="rngSer8" localSheetId="6">#N/A</definedName>
    <definedName name="rngSer8" localSheetId="5">IF('[1]MEDIDAS ACB'!rngPlant=8,INDEX([0]!rngCost,8),0)</definedName>
    <definedName name="rngSer8" localSheetId="11">IF('PAP 1, 2 and 3 CBA'!rngPlant=8,INDEX([0]!rngCost,8),0)</definedName>
    <definedName name="rngSer8" localSheetId="9">IF('PF 1, 2 and 3 CBA'!rngPlant=8,INDEX([0]!rngCost,8),0)</definedName>
    <definedName name="rngSer8" localSheetId="12">IF('Regret Table Petrotrin'!rngPlant=8,INDEX([0]!rngCost,8),0)</definedName>
    <definedName name="rngSer8">IF('[1]MEDIDAS ACB'!rngPlant=8,INDEX([0]!rngCost,8),0)</definedName>
    <definedName name="rngSer9" localSheetId="2">#N/A</definedName>
    <definedName name="rngSer9" localSheetId="6">#N/A</definedName>
    <definedName name="rngSer9" localSheetId="5">IF('[1]MEDIDAS ACB'!rngPlant=9,INDEX([0]!rngCost,9),0)</definedName>
    <definedName name="rngSer9" localSheetId="11">IF('PAP 1, 2 and 3 CBA'!rngPlant=9,INDEX([0]!rngCost,9),0)</definedName>
    <definedName name="rngSer9" localSheetId="9">IF('PF 1, 2 and 3 CBA'!rngPlant=9,INDEX([0]!rngCost,9),0)</definedName>
    <definedName name="rngSer9" localSheetId="12">IF('Regret Table Petrotrin'!rngPlant=9,INDEX([0]!rngCost,9),0)</definedName>
    <definedName name="rngSer9">IF('[1]MEDIDAS ACB'!rngPlant=9,INDEX([0]!rngCost,9),0)</definedName>
    <definedName name="rngVCum">#N/A</definedName>
    <definedName name="rngVol" localSheetId="2">OFFSET(#REF!,0,0,COUNTA(#REF!)-1,1)</definedName>
    <definedName name="rngVol" localSheetId="6">OFFSET(#REF!,0,0,COUNTA(#REF!)-1,1)</definedName>
    <definedName name="rngVol" localSheetId="5">OFFSET(#REF!,0,0,COUNTA(#REF!)-1,1)</definedName>
    <definedName name="rngVol" localSheetId="11">OFFSET(#REF!,0,0,COUNTA(#REF!)-1,1)</definedName>
    <definedName name="rngVol" localSheetId="10">OFFSET(#REF!,0,0,COUNTA(#REF!)-1,1)</definedName>
    <definedName name="rngVol" localSheetId="12">OFFSET(#REF!,0,0,COUNTA(#REF!)-1,1)</definedName>
    <definedName name="rngVol">OFFSET(#REF!,0,0,COUNTA(#REF!)-1,1)</definedName>
    <definedName name="sdfgfd" localSheetId="6">IF('Overview-CO-BENEFITS'!rngPlant=5,INDEX([0]!dsfsdf,5),0)</definedName>
    <definedName name="sdfgfd" localSheetId="5">IF('Overview-COST BENEFIT'!rngPlant=5,INDEX(dsfsdf,5),0)</definedName>
    <definedName name="sdfgfd" localSheetId="11">IF('PAP 1, 2 and 3 CBA'!rngPlant=5,INDEX([0]!dsfsdf,5),0)</definedName>
    <definedName name="sdfgfd" localSheetId="9">IF('PF 1, 2 and 3 CBA'!rngPlant=5,INDEX(dsfsdf,5),0)</definedName>
    <definedName name="sdfgfd" localSheetId="12">IF('Regret Table Petrotrin'!rngPlant=5,INDEX([0]!dsfsdf,5),0)</definedName>
    <definedName name="sdfgfd">IF(rngPlant=5,INDEX(dsfsdf,5),0)</definedName>
    <definedName name="sdfgs" localSheetId="2">#N/A</definedName>
    <definedName name="sdfgs" localSheetId="6">#N/A</definedName>
    <definedName name="sdfgs" localSheetId="5">IF('[1]MEDIDAS ACB'!rngPlant=6,INDEX([0]!dsfsdf,6),0)</definedName>
    <definedName name="sdfgs" localSheetId="11">IF('PAP 1, 2 and 3 CBA'!rngPlant=6,INDEX([0]!dsfsdf,6),0)</definedName>
    <definedName name="sdfgs" localSheetId="9">IF('PF 1, 2 and 3 CBA'!rngPlant=6,INDEX([0]!dsfsdf,6),0)</definedName>
    <definedName name="sdfgs" localSheetId="12">IF('Regret Table Petrotrin'!rngPlant=6,INDEX([0]!dsfsdf,6),0)</definedName>
    <definedName name="sdfgs">IF('[1]MEDIDAS ACB'!rngPlant=6,INDEX([0]!dsfsdf,6),0)</definedName>
    <definedName name="USDTT" localSheetId="2">#REF!</definedName>
    <definedName name="USDTT" localSheetId="6">[2]Auxiliary!#REF!</definedName>
    <definedName name="USDTT" localSheetId="5">[2]Auxiliary!#REF!</definedName>
    <definedName name="USDTT" localSheetId="11">#REF!</definedName>
    <definedName name="USDTT" localSheetId="9">#REF!</definedName>
    <definedName name="USDTT">#REF!</definedName>
    <definedName name="xcdvc" localSheetId="2">TRANSPOSE(SUM(Costs!hgddh)*ROW(#REF!)/100)</definedName>
    <definedName name="xcdvc" localSheetId="6">TRANSPOSE(SUM('Overview-CO-BENEFITS'!hgddh)*ROW(#REF!)/100)</definedName>
    <definedName name="xcdvc" localSheetId="5">TRANSPOSE(SUM('Overview-COST BENEFIT'!hgddh)*ROW(#REF!)/100)</definedName>
    <definedName name="xcdvc" localSheetId="11">TRANSPOSE(SUM('PAP 1, 2 and 3 CBA'!hgddh)*ROW(#REF!)/100)</definedName>
    <definedName name="xcdvc" localSheetId="9">TRANSPOSE(SUM(hgddh)*ROW(#REF!)/100)</definedName>
    <definedName name="xcdvc" localSheetId="10">TRANSPOSE(SUM('PF 6-Calculations'!hgddh)*ROW(#REF!)/100)</definedName>
    <definedName name="xcdvc" localSheetId="12">TRANSPOSE(SUM('Regret Table Petrotrin'!hgddh)*ROW(#REF!)/100)</definedName>
    <definedName name="xcdvc">TRANSPOSE(SUM(hgddh)*ROW(#REF!)/100)</definedName>
    <definedName name="xfcdbghb" localSheetId="2">#N/A</definedName>
    <definedName name="xfcdbghb" localSheetId="6">#N/A</definedName>
    <definedName name="xfcdbghb" localSheetId="5">IF('[1]MEDIDAS ACB'!rngPlant=9,INDEX([0]!dsfsdf,9),0)</definedName>
    <definedName name="xfcdbghb" localSheetId="11">IF('PAP 1, 2 and 3 CBA'!rngPlant=9,INDEX([0]!dsfsdf,9),0)</definedName>
    <definedName name="xfcdbghb" localSheetId="9">IF('PF 1, 2 and 3 CBA'!rngPlant=9,INDEX([0]!dsfsdf,9),0)</definedName>
    <definedName name="xfcdbghb" localSheetId="12">IF('Regret Table Petrotrin'!rngPlant=9,INDEX([0]!dsfsdf,9),0)</definedName>
    <definedName name="xfcdbghb">IF('[1]MEDIDAS ACB'!rngPlant=9,INDEX([0]!dsfsdf,9),0)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183" l="1"/>
  <c r="C22" i="183"/>
  <c r="E9" i="183"/>
  <c r="E10" i="183" s="1"/>
  <c r="M16" i="182"/>
  <c r="L16" i="182"/>
  <c r="K16" i="182"/>
  <c r="J16" i="182"/>
  <c r="I16" i="182"/>
  <c r="H16" i="182"/>
  <c r="G16" i="182"/>
  <c r="F16" i="182"/>
  <c r="M14" i="182"/>
  <c r="M9" i="183" s="1"/>
  <c r="M10" i="183" s="1"/>
  <c r="L14" i="182"/>
  <c r="L9" i="183" s="1"/>
  <c r="L10" i="183" s="1"/>
  <c r="K14" i="182"/>
  <c r="K9" i="183" s="1"/>
  <c r="K10" i="183" s="1"/>
  <c r="J14" i="182"/>
  <c r="J9" i="183" s="1"/>
  <c r="J10" i="183" s="1"/>
  <c r="I14" i="182"/>
  <c r="I9" i="183" s="1"/>
  <c r="I10" i="183" s="1"/>
  <c r="H14" i="182"/>
  <c r="H9" i="183" s="1"/>
  <c r="H10" i="183" s="1"/>
  <c r="G14" i="182"/>
  <c r="G9" i="183" s="1"/>
  <c r="G10" i="183" s="1"/>
  <c r="F14" i="182"/>
  <c r="F9" i="183" s="1"/>
  <c r="F10" i="183" s="1"/>
  <c r="N10" i="183" l="1"/>
  <c r="C6" i="182" s="1"/>
  <c r="E18" i="183"/>
  <c r="D23" i="183" s="1"/>
  <c r="C13" i="175"/>
  <c r="C11" i="175"/>
  <c r="L14" i="175" l="1"/>
  <c r="C17" i="175"/>
  <c r="C15" i="175"/>
  <c r="L12" i="175" l="1"/>
  <c r="E11" i="180"/>
  <c r="D11" i="180"/>
  <c r="M7" i="183" l="1"/>
  <c r="M8" i="183" s="1"/>
  <c r="M11" i="183" s="1"/>
  <c r="L7" i="183"/>
  <c r="L8" i="183" s="1"/>
  <c r="L11" i="183" s="1"/>
  <c r="H7" i="183"/>
  <c r="H8" i="183" s="1"/>
  <c r="H11" i="183" s="1"/>
  <c r="G7" i="183"/>
  <c r="G8" i="183" s="1"/>
  <c r="G11" i="183" s="1"/>
  <c r="F7" i="183"/>
  <c r="F8" i="183" s="1"/>
  <c r="K7" i="183"/>
  <c r="K8" i="183" s="1"/>
  <c r="K11" i="183" s="1"/>
  <c r="J7" i="183"/>
  <c r="J8" i="183" s="1"/>
  <c r="J11" i="183" s="1"/>
  <c r="I7" i="183"/>
  <c r="I8" i="183" s="1"/>
  <c r="I11" i="183" s="1"/>
  <c r="J16" i="176"/>
  <c r="C3" i="181"/>
  <c r="C4" i="181"/>
  <c r="C5" i="181"/>
  <c r="C6" i="181"/>
  <c r="C7" i="181"/>
  <c r="C8" i="181"/>
  <c r="C9" i="181"/>
  <c r="C10" i="181"/>
  <c r="C2" i="181"/>
  <c r="H6" i="180"/>
  <c r="H4" i="180"/>
  <c r="H16" i="180"/>
  <c r="E12" i="180"/>
  <c r="D8" i="180"/>
  <c r="I6" i="180"/>
  <c r="F11" i="183" l="1"/>
  <c r="D6" i="180"/>
  <c r="F6" i="180" s="1"/>
  <c r="H12" i="180"/>
  <c r="I9" i="180"/>
  <c r="H9" i="180"/>
  <c r="F8" i="180"/>
  <c r="F12" i="180"/>
  <c r="E14" i="180"/>
  <c r="I4" i="180" l="1"/>
  <c r="F11" i="180"/>
  <c r="H11" i="180" l="1"/>
  <c r="C19" i="175" l="1"/>
  <c r="L13" i="175" s="1"/>
  <c r="L11" i="175" l="1"/>
  <c r="E7" i="183" s="1"/>
  <c r="E8" i="183" s="1"/>
  <c r="N8" i="183" s="1"/>
  <c r="H5" i="180"/>
  <c r="C6" i="175" l="1"/>
  <c r="D25" i="183"/>
  <c r="E11" i="183"/>
  <c r="E17" i="183"/>
  <c r="D22" i="183" s="1"/>
  <c r="D24" i="183" s="1"/>
  <c r="I5" i="180"/>
  <c r="E13" i="183" l="1"/>
  <c r="N11" i="183"/>
  <c r="E12" i="183"/>
  <c r="F12" i="183" s="1"/>
  <c r="G12" i="183" s="1"/>
  <c r="H12" i="183" s="1"/>
  <c r="I12" i="183" s="1"/>
  <c r="J12" i="183" s="1"/>
  <c r="K12" i="183" s="1"/>
  <c r="L12" i="183" s="1"/>
  <c r="M12" i="183" s="1"/>
  <c r="K21" i="176"/>
  <c r="J21" i="176" l="1"/>
  <c r="I21" i="176"/>
  <c r="H21" i="176"/>
  <c r="G21" i="176"/>
  <c r="F21" i="176"/>
  <c r="E21" i="176"/>
  <c r="D21" i="176"/>
  <c r="C21" i="176"/>
  <c r="D20" i="167"/>
  <c r="C20" i="167"/>
  <c r="Z9" i="177" l="1"/>
  <c r="AA9" i="177"/>
  <c r="AB9" i="177"/>
  <c r="AC9" i="177"/>
  <c r="AD9" i="177"/>
  <c r="V9" i="177" s="1"/>
  <c r="AE9" i="177"/>
  <c r="AF9" i="177"/>
  <c r="AG9" i="177"/>
  <c r="F15" i="176"/>
  <c r="E15" i="176"/>
  <c r="D15" i="176"/>
  <c r="K15" i="176"/>
  <c r="J15" i="176"/>
  <c r="I15" i="176"/>
  <c r="H15" i="176"/>
  <c r="G15" i="176"/>
  <c r="C15" i="176"/>
  <c r="D18" i="167"/>
  <c r="C18" i="167"/>
  <c r="W9" i="177" l="1"/>
  <c r="U9" i="177"/>
  <c r="D5" i="180" l="1"/>
  <c r="F5" i="180" s="1"/>
  <c r="I20" i="176" l="1"/>
  <c r="AE12" i="177" s="1"/>
  <c r="I19" i="176"/>
  <c r="I13" i="176"/>
  <c r="I18" i="176"/>
  <c r="I14" i="176"/>
  <c r="AE10" i="177" s="1"/>
  <c r="I17" i="176"/>
  <c r="AE11" i="177" s="1"/>
  <c r="I12" i="176"/>
  <c r="AE7" i="177" s="1"/>
  <c r="I16" i="176"/>
  <c r="AE3" i="177" s="1"/>
  <c r="J20" i="176"/>
  <c r="AF12" i="177" s="1"/>
  <c r="J19" i="176"/>
  <c r="J13" i="176"/>
  <c r="J18" i="176"/>
  <c r="J14" i="176"/>
  <c r="AF10" i="177" s="1"/>
  <c r="J17" i="176"/>
  <c r="J12" i="176"/>
  <c r="AF3" i="177"/>
  <c r="K16" i="176"/>
  <c r="K12" i="176"/>
  <c r="K17" i="176"/>
  <c r="K14" i="176"/>
  <c r="AG10" i="177" s="1"/>
  <c r="K18" i="176"/>
  <c r="K13" i="176"/>
  <c r="AG5" i="177" s="1"/>
  <c r="K19" i="176"/>
  <c r="K20" i="176"/>
  <c r="AG12" i="177" s="1"/>
  <c r="G14" i="176"/>
  <c r="AC10" i="177" s="1"/>
  <c r="G13" i="176"/>
  <c r="G17" i="176"/>
  <c r="G12" i="176"/>
  <c r="AC7" i="177" s="1"/>
  <c r="G16" i="176"/>
  <c r="AC3" i="177" s="1"/>
  <c r="AG3" i="177" l="1"/>
  <c r="AF7" i="177"/>
  <c r="AG11" i="177"/>
  <c r="G20" i="167"/>
  <c r="W3" i="177"/>
  <c r="AG8" i="177"/>
  <c r="AG6" i="177"/>
  <c r="AF11" i="177"/>
  <c r="AG4" i="177"/>
  <c r="AF4" i="177"/>
  <c r="AE4" i="177"/>
  <c r="AF5" i="177"/>
  <c r="W5" i="177" s="1"/>
  <c r="AE5" i="177"/>
  <c r="AC11" i="177"/>
  <c r="AC5" i="177"/>
  <c r="AG7" i="177"/>
  <c r="W7" i="177" s="1"/>
  <c r="AF8" i="177"/>
  <c r="AF6" i="177"/>
  <c r="AE8" i="177"/>
  <c r="W8" i="177" s="1"/>
  <c r="AE6" i="177"/>
  <c r="W12" i="177"/>
  <c r="W11" i="177"/>
  <c r="W10" i="177"/>
  <c r="E20" i="176"/>
  <c r="AA12" i="177" s="1"/>
  <c r="E19" i="176"/>
  <c r="E13" i="176"/>
  <c r="D13" i="176"/>
  <c r="D17" i="176"/>
  <c r="D12" i="176"/>
  <c r="D16" i="176"/>
  <c r="E14" i="176"/>
  <c r="AA10" i="177" s="1"/>
  <c r="E17" i="176"/>
  <c r="AA11" i="177" s="1"/>
  <c r="E12" i="176"/>
  <c r="E16" i="176"/>
  <c r="AA3" i="177" s="1"/>
  <c r="D18" i="176"/>
  <c r="E18" i="176"/>
  <c r="Z5" i="177" l="1"/>
  <c r="AA5" i="177"/>
  <c r="W4" i="177"/>
  <c r="Z3" i="177"/>
  <c r="Z4" i="177"/>
  <c r="W6" i="177"/>
  <c r="AA8" i="177"/>
  <c r="AA6" i="177"/>
  <c r="AA7" i="177"/>
  <c r="Z7" i="177"/>
  <c r="AA4" i="177"/>
  <c r="G18" i="167"/>
  <c r="H18" i="167"/>
  <c r="J18" i="167"/>
  <c r="F20" i="176"/>
  <c r="AB12" i="177" s="1"/>
  <c r="F19" i="176"/>
  <c r="F13" i="176"/>
  <c r="K18" i="167" l="1"/>
  <c r="X6" i="177" s="1"/>
  <c r="AB6" i="177"/>
  <c r="I18" i="167"/>
  <c r="F18" i="176"/>
  <c r="F14" i="176"/>
  <c r="AB10" i="177" s="1"/>
  <c r="F17" i="176"/>
  <c r="F12" i="176"/>
  <c r="AB7" i="177" s="1"/>
  <c r="U7" i="177" s="1"/>
  <c r="F16" i="176"/>
  <c r="AB11" i="177" l="1"/>
  <c r="AB4" i="177"/>
  <c r="AB3" i="177"/>
  <c r="U3" i="177" s="1"/>
  <c r="AB8" i="177"/>
  <c r="AB5" i="177"/>
  <c r="U5" i="177" s="1"/>
  <c r="H20" i="176"/>
  <c r="AD12" i="177" s="1"/>
  <c r="V12" i="177" s="1"/>
  <c r="H19" i="176"/>
  <c r="H13" i="176"/>
  <c r="H18" i="176"/>
  <c r="H14" i="176"/>
  <c r="AD10" i="177" s="1"/>
  <c r="V10" i="177" s="1"/>
  <c r="H17" i="176"/>
  <c r="H12" i="176"/>
  <c r="H16" i="176"/>
  <c r="G18" i="176"/>
  <c r="AC4" i="177" s="1"/>
  <c r="U4" i="177" s="1"/>
  <c r="G20" i="176"/>
  <c r="AC12" i="177" s="1"/>
  <c r="G19" i="176"/>
  <c r="C20" i="176"/>
  <c r="C13" i="176"/>
  <c r="C19" i="176"/>
  <c r="AD3" i="177" l="1"/>
  <c r="V3" i="177" s="1"/>
  <c r="AD7" i="177"/>
  <c r="V7" i="177" s="1"/>
  <c r="AD11" i="177"/>
  <c r="V11" i="177" s="1"/>
  <c r="AD4" i="177"/>
  <c r="V4" i="177" s="1"/>
  <c r="AC8" i="177"/>
  <c r="AC6" i="177"/>
  <c r="AD5" i="177"/>
  <c r="V5" i="177" s="1"/>
  <c r="AD8" i="177"/>
  <c r="V8" i="177" s="1"/>
  <c r="AD6" i="177"/>
  <c r="V6" i="177" s="1"/>
  <c r="D19" i="167"/>
  <c r="C19" i="167"/>
  <c r="D17" i="167"/>
  <c r="C17" i="167"/>
  <c r="D16" i="167"/>
  <c r="C16" i="167"/>
  <c r="J20" i="167" l="1"/>
  <c r="H20" i="167" l="1"/>
  <c r="I20" i="167"/>
  <c r="K20" i="167" l="1"/>
  <c r="X9" i="177" s="1"/>
  <c r="D20" i="176"/>
  <c r="Z12" i="177" s="1"/>
  <c r="U12" i="177" s="1"/>
  <c r="D13" i="180" l="1"/>
  <c r="F13" i="180" s="1"/>
  <c r="G17" i="167" l="1"/>
  <c r="H13" i="180" l="1"/>
  <c r="D19" i="176" l="1"/>
  <c r="Z8" i="177" l="1"/>
  <c r="U8" i="177" s="1"/>
  <c r="Z6" i="177"/>
  <c r="U6" i="177" s="1"/>
  <c r="J17" i="167" l="1"/>
  <c r="H17" i="167"/>
  <c r="I17" i="167"/>
  <c r="I12" i="180" l="1"/>
  <c r="G16" i="167"/>
  <c r="K17" i="167" l="1"/>
  <c r="X8" i="177" s="1"/>
  <c r="D10" i="180"/>
  <c r="F10" i="180" s="1"/>
  <c r="D4" i="180" l="1"/>
  <c r="F4" i="180" s="1"/>
  <c r="G15" i="167" l="1"/>
  <c r="G13" i="167"/>
  <c r="I15" i="167"/>
  <c r="I16" i="167" l="1"/>
  <c r="J16" i="167" l="1"/>
  <c r="J15" i="167"/>
  <c r="H15" i="167"/>
  <c r="H16" i="167"/>
  <c r="K16" i="167" l="1"/>
  <c r="X5" i="177" s="1"/>
  <c r="K15" i="167"/>
  <c r="X4" i="177" s="1"/>
  <c r="D14" i="176"/>
  <c r="Z10" i="177" l="1"/>
  <c r="U10" i="177" s="1"/>
  <c r="Z11" i="177"/>
  <c r="U11" i="177" s="1"/>
  <c r="I14" i="167"/>
  <c r="G14" i="167" l="1"/>
  <c r="D9" i="180" l="1"/>
  <c r="F9" i="180" l="1"/>
  <c r="G12" i="167" l="1"/>
  <c r="I11" i="180"/>
  <c r="J11" i="167" l="1"/>
  <c r="G11" i="167"/>
  <c r="J14" i="167"/>
  <c r="H11" i="167"/>
  <c r="I11" i="167" l="1"/>
  <c r="K11" i="167" l="1"/>
  <c r="X3" i="177" s="1"/>
  <c r="K14" i="167"/>
  <c r="X10" i="177" s="1"/>
  <c r="H14" i="167"/>
  <c r="B3" i="80"/>
  <c r="B4" i="80"/>
  <c r="B5" i="80"/>
  <c r="B6" i="80"/>
  <c r="B7" i="80"/>
  <c r="B8" i="80"/>
  <c r="B9" i="80"/>
  <c r="B10" i="80"/>
  <c r="B11" i="80"/>
  <c r="B12" i="80"/>
  <c r="O135" i="74"/>
  <c r="N135" i="74"/>
  <c r="D40" i="74"/>
  <c r="E133" i="74" s="1"/>
  <c r="F93" i="74"/>
  <c r="G93" i="74" s="1"/>
  <c r="H93" i="74" s="1"/>
  <c r="I93" i="74" s="1"/>
  <c r="J93" i="74" s="1"/>
  <c r="K93" i="74" s="1"/>
  <c r="L93" i="74" s="1"/>
  <c r="M93" i="74" s="1"/>
  <c r="N93" i="74" s="1"/>
  <c r="O93" i="74" s="1"/>
  <c r="D44" i="112"/>
  <c r="E144" i="112" s="1"/>
  <c r="D16" i="74"/>
  <c r="O145" i="112"/>
  <c r="I144" i="112"/>
  <c r="Q144" i="112"/>
  <c r="K55" i="112"/>
  <c r="K53" i="112" s="1"/>
  <c r="E106" i="112" s="1"/>
  <c r="E35" i="114"/>
  <c r="U33" i="114"/>
  <c r="T33" i="114"/>
  <c r="S33" i="114"/>
  <c r="R33" i="114"/>
  <c r="Q33" i="114"/>
  <c r="P33" i="114"/>
  <c r="O33" i="114"/>
  <c r="J35" i="114"/>
  <c r="I35" i="114"/>
  <c r="H35" i="114"/>
  <c r="G35" i="114"/>
  <c r="F35" i="114"/>
  <c r="N33" i="114"/>
  <c r="M33" i="114"/>
  <c r="L33" i="114"/>
  <c r="K33" i="114"/>
  <c r="J33" i="114"/>
  <c r="I33" i="114"/>
  <c r="H33" i="114"/>
  <c r="G33" i="114"/>
  <c r="F33" i="114"/>
  <c r="E33" i="114"/>
  <c r="D16" i="112"/>
  <c r="R69" i="112" s="1"/>
  <c r="R121" i="112" s="1"/>
  <c r="E155" i="112"/>
  <c r="U142" i="112"/>
  <c r="T142" i="112"/>
  <c r="S142" i="112"/>
  <c r="R142" i="112"/>
  <c r="Q142" i="112"/>
  <c r="P142" i="112"/>
  <c r="O142" i="112"/>
  <c r="N142" i="112"/>
  <c r="M142" i="112"/>
  <c r="L142" i="112"/>
  <c r="K142" i="112"/>
  <c r="J142" i="112"/>
  <c r="I142" i="112"/>
  <c r="H142" i="112"/>
  <c r="G142" i="112"/>
  <c r="F142" i="112"/>
  <c r="E142" i="112"/>
  <c r="E141" i="112"/>
  <c r="U139" i="112"/>
  <c r="T139" i="112"/>
  <c r="S139" i="112"/>
  <c r="R139" i="112"/>
  <c r="Q139" i="112"/>
  <c r="P139" i="112"/>
  <c r="O139" i="112"/>
  <c r="N139" i="112"/>
  <c r="M139" i="112"/>
  <c r="L139" i="112"/>
  <c r="K139" i="112"/>
  <c r="J139" i="112"/>
  <c r="I139" i="112"/>
  <c r="O138" i="112"/>
  <c r="U136" i="112"/>
  <c r="T136" i="112"/>
  <c r="S136" i="112"/>
  <c r="R136" i="112"/>
  <c r="Q136" i="112"/>
  <c r="P136" i="112"/>
  <c r="O136" i="112"/>
  <c r="N136" i="112"/>
  <c r="M136" i="112"/>
  <c r="L136" i="112"/>
  <c r="K136" i="112"/>
  <c r="J136" i="112"/>
  <c r="I136" i="112"/>
  <c r="H136" i="112"/>
  <c r="G136" i="112"/>
  <c r="F136" i="112"/>
  <c r="E136" i="112"/>
  <c r="P123" i="112"/>
  <c r="O123" i="112"/>
  <c r="N123" i="112"/>
  <c r="M123" i="112"/>
  <c r="L123" i="112"/>
  <c r="K123" i="112"/>
  <c r="J123" i="112"/>
  <c r="I123" i="112"/>
  <c r="H123" i="112"/>
  <c r="G123" i="112"/>
  <c r="F123" i="112"/>
  <c r="E123" i="112"/>
  <c r="P122" i="112"/>
  <c r="O122" i="112"/>
  <c r="N122" i="112"/>
  <c r="M122" i="112"/>
  <c r="L122" i="112"/>
  <c r="K122" i="112"/>
  <c r="J122" i="112"/>
  <c r="I122" i="112"/>
  <c r="H122" i="112"/>
  <c r="G122" i="112"/>
  <c r="F122" i="112"/>
  <c r="E122" i="112"/>
  <c r="U121" i="112"/>
  <c r="I121" i="112"/>
  <c r="H121" i="112"/>
  <c r="G121" i="112"/>
  <c r="F121" i="112"/>
  <c r="E121" i="112"/>
  <c r="U120" i="112"/>
  <c r="T120" i="112"/>
  <c r="H120" i="112"/>
  <c r="G120" i="112"/>
  <c r="F120" i="112"/>
  <c r="E120" i="112"/>
  <c r="U119" i="112"/>
  <c r="T119" i="112"/>
  <c r="S119" i="112"/>
  <c r="G119" i="112"/>
  <c r="F119" i="112"/>
  <c r="E119" i="112"/>
  <c r="U118" i="112"/>
  <c r="T118" i="112"/>
  <c r="S118" i="112"/>
  <c r="R118" i="112"/>
  <c r="F118" i="112"/>
  <c r="E118" i="112"/>
  <c r="U117" i="112"/>
  <c r="T117" i="112"/>
  <c r="S117" i="112"/>
  <c r="R117" i="112"/>
  <c r="F117" i="112"/>
  <c r="E117" i="112"/>
  <c r="U116" i="112"/>
  <c r="T116" i="112"/>
  <c r="S116" i="112"/>
  <c r="R116" i="112"/>
  <c r="Q116" i="112"/>
  <c r="E116" i="112"/>
  <c r="E105" i="112"/>
  <c r="F100" i="112"/>
  <c r="G100" i="112" s="1"/>
  <c r="H100" i="112" s="1"/>
  <c r="I100" i="112" s="1"/>
  <c r="F105" i="112"/>
  <c r="H97" i="112"/>
  <c r="H139" i="112" s="1"/>
  <c r="G97" i="112"/>
  <c r="G139" i="112" s="1"/>
  <c r="F97" i="112"/>
  <c r="F139" i="112" s="1"/>
  <c r="E97" i="112"/>
  <c r="E139" i="112" s="1"/>
  <c r="E96" i="112"/>
  <c r="F96" i="112" s="1"/>
  <c r="E137" i="112"/>
  <c r="U85" i="112"/>
  <c r="U130" i="112" s="1"/>
  <c r="U131" i="112" s="1"/>
  <c r="T85" i="112"/>
  <c r="T130" i="112" s="1"/>
  <c r="T131" i="112" s="1"/>
  <c r="S85" i="112"/>
  <c r="S130" i="112" s="1"/>
  <c r="S131" i="112" s="1"/>
  <c r="R85" i="112"/>
  <c r="R130" i="112" s="1"/>
  <c r="R131" i="112" s="1"/>
  <c r="Q85" i="112"/>
  <c r="Q130" i="112" s="1"/>
  <c r="Q131" i="112" s="1"/>
  <c r="P85" i="112"/>
  <c r="P130" i="112" s="1"/>
  <c r="P131" i="112" s="1"/>
  <c r="O85" i="112"/>
  <c r="O130" i="112" s="1"/>
  <c r="O131" i="112" s="1"/>
  <c r="N85" i="112"/>
  <c r="N130" i="112" s="1"/>
  <c r="N131" i="112" s="1"/>
  <c r="M85" i="112"/>
  <c r="M130" i="112" s="1"/>
  <c r="M131" i="112" s="1"/>
  <c r="L85" i="112"/>
  <c r="L130" i="112" s="1"/>
  <c r="L131" i="112" s="1"/>
  <c r="K85" i="112"/>
  <c r="K130" i="112" s="1"/>
  <c r="K131" i="112" s="1"/>
  <c r="J85" i="112"/>
  <c r="J130" i="112" s="1"/>
  <c r="J131" i="112" s="1"/>
  <c r="I85" i="112"/>
  <c r="I130" i="112" s="1"/>
  <c r="I131" i="112" s="1"/>
  <c r="H85" i="112"/>
  <c r="H130" i="112" s="1"/>
  <c r="H131" i="112" s="1"/>
  <c r="G85" i="112"/>
  <c r="G130" i="112" s="1"/>
  <c r="G131" i="112" s="1"/>
  <c r="F85" i="112"/>
  <c r="F130" i="112" s="1"/>
  <c r="F131" i="112" s="1"/>
  <c r="E85" i="112"/>
  <c r="E84" i="112"/>
  <c r="E129" i="112" s="1"/>
  <c r="E131" i="112" s="1"/>
  <c r="D28" i="112"/>
  <c r="K22" i="112"/>
  <c r="H67" i="112"/>
  <c r="H119" i="112" s="1"/>
  <c r="M67" i="112"/>
  <c r="M119" i="112" s="1"/>
  <c r="E2" i="114"/>
  <c r="B2" i="114"/>
  <c r="K35" i="114"/>
  <c r="K36" i="114" s="1"/>
  <c r="G105" i="112"/>
  <c r="L35" i="114"/>
  <c r="H105" i="112"/>
  <c r="M35" i="114"/>
  <c r="I105" i="112"/>
  <c r="N35" i="114"/>
  <c r="N36" i="114" s="1"/>
  <c r="J105" i="112"/>
  <c r="O35" i="114"/>
  <c r="K105" i="112"/>
  <c r="P35" i="114"/>
  <c r="L105" i="112"/>
  <c r="Q35" i="114"/>
  <c r="Q36" i="114" s="1"/>
  <c r="M105" i="112"/>
  <c r="R35" i="114"/>
  <c r="N105" i="112"/>
  <c r="S35" i="114"/>
  <c r="O105" i="112"/>
  <c r="D2" i="80"/>
  <c r="T35" i="114"/>
  <c r="P105" i="112"/>
  <c r="U35" i="114"/>
  <c r="U36" i="114" s="1"/>
  <c r="Q105" i="112"/>
  <c r="E99" i="74"/>
  <c r="R105" i="112"/>
  <c r="G99" i="74"/>
  <c r="S105" i="112"/>
  <c r="T105" i="112"/>
  <c r="U105" i="112"/>
  <c r="E81" i="74"/>
  <c r="F81" i="74"/>
  <c r="F124" i="74" s="1"/>
  <c r="F125" i="74" s="1"/>
  <c r="E80" i="74"/>
  <c r="E123" i="74" s="1"/>
  <c r="E125" i="74" s="1"/>
  <c r="U81" i="74"/>
  <c r="U124" i="74" s="1"/>
  <c r="U125" i="74" s="1"/>
  <c r="T81" i="74"/>
  <c r="T124" i="74" s="1"/>
  <c r="T125" i="74" s="1"/>
  <c r="S81" i="74"/>
  <c r="R81" i="74"/>
  <c r="R124" i="74" s="1"/>
  <c r="R125" i="74" s="1"/>
  <c r="Q81" i="74"/>
  <c r="Q124" i="74" s="1"/>
  <c r="Q125" i="74" s="1"/>
  <c r="P81" i="74"/>
  <c r="P124" i="74" s="1"/>
  <c r="P125" i="74" s="1"/>
  <c r="O81" i="74"/>
  <c r="O124" i="74" s="1"/>
  <c r="O125" i="74" s="1"/>
  <c r="N81" i="74"/>
  <c r="N124" i="74" s="1"/>
  <c r="N125" i="74" s="1"/>
  <c r="M81" i="74"/>
  <c r="M124" i="74" s="1"/>
  <c r="M125" i="74" s="1"/>
  <c r="L81" i="74"/>
  <c r="L124" i="74" s="1"/>
  <c r="L125" i="74" s="1"/>
  <c r="K81" i="74"/>
  <c r="K124" i="74" s="1"/>
  <c r="K125" i="74" s="1"/>
  <c r="J81" i="74"/>
  <c r="J124" i="74" s="1"/>
  <c r="J125" i="74" s="1"/>
  <c r="I81" i="74"/>
  <c r="I124" i="74" s="1"/>
  <c r="I125" i="74" s="1"/>
  <c r="H81" i="74"/>
  <c r="H124" i="74" s="1"/>
  <c r="H125" i="74" s="1"/>
  <c r="G81" i="74"/>
  <c r="G124" i="74" s="1"/>
  <c r="G125" i="74" s="1"/>
  <c r="K22" i="74"/>
  <c r="D28" i="74"/>
  <c r="F76" i="74" s="1"/>
  <c r="F30" i="80"/>
  <c r="F29" i="80"/>
  <c r="F28" i="80"/>
  <c r="F27" i="80"/>
  <c r="F26" i="80"/>
  <c r="C2" i="80"/>
  <c r="B2" i="80"/>
  <c r="S124" i="74"/>
  <c r="S125" i="74" s="1"/>
  <c r="O132" i="74"/>
  <c r="U130" i="74"/>
  <c r="T130" i="74"/>
  <c r="S130" i="74"/>
  <c r="R130" i="74"/>
  <c r="Q130" i="74"/>
  <c r="P130" i="74"/>
  <c r="O130" i="74"/>
  <c r="N130" i="74"/>
  <c r="M130" i="74"/>
  <c r="L130" i="74"/>
  <c r="K130" i="74"/>
  <c r="J130" i="74"/>
  <c r="I130" i="74"/>
  <c r="H130" i="74"/>
  <c r="G130" i="74"/>
  <c r="F130" i="74"/>
  <c r="E130" i="74"/>
  <c r="P117" i="74"/>
  <c r="O117" i="74"/>
  <c r="N117" i="74"/>
  <c r="M117" i="74"/>
  <c r="L117" i="74"/>
  <c r="K117" i="74"/>
  <c r="J117" i="74"/>
  <c r="I117" i="74"/>
  <c r="H117" i="74"/>
  <c r="G117" i="74"/>
  <c r="F117" i="74"/>
  <c r="E117" i="74"/>
  <c r="P116" i="74"/>
  <c r="O116" i="74"/>
  <c r="N116" i="74"/>
  <c r="M116" i="74"/>
  <c r="L116" i="74"/>
  <c r="K116" i="74"/>
  <c r="J116" i="74"/>
  <c r="I116" i="74"/>
  <c r="H116" i="74"/>
  <c r="G116" i="74"/>
  <c r="F116" i="74"/>
  <c r="E116" i="74"/>
  <c r="U115" i="74"/>
  <c r="I115" i="74"/>
  <c r="H115" i="74"/>
  <c r="G115" i="74"/>
  <c r="F115" i="74"/>
  <c r="E115" i="74"/>
  <c r="U114" i="74"/>
  <c r="T114" i="74"/>
  <c r="H114" i="74"/>
  <c r="G114" i="74"/>
  <c r="F114" i="74"/>
  <c r="E114" i="74"/>
  <c r="U113" i="74"/>
  <c r="T113" i="74"/>
  <c r="S113" i="74"/>
  <c r="G113" i="74"/>
  <c r="F113" i="74"/>
  <c r="E113" i="74"/>
  <c r="U112" i="74"/>
  <c r="T112" i="74"/>
  <c r="S112" i="74"/>
  <c r="R112" i="74"/>
  <c r="F112" i="74"/>
  <c r="E112" i="74"/>
  <c r="U111" i="74"/>
  <c r="T111" i="74"/>
  <c r="S111" i="74"/>
  <c r="R111" i="74"/>
  <c r="F111" i="74"/>
  <c r="E111" i="74"/>
  <c r="U110" i="74"/>
  <c r="T110" i="74"/>
  <c r="S110" i="74"/>
  <c r="R110" i="74"/>
  <c r="Q110" i="74"/>
  <c r="E110" i="74"/>
  <c r="U67" i="74"/>
  <c r="K51" i="74"/>
  <c r="K49" i="74" s="1"/>
  <c r="E92" i="74"/>
  <c r="F92" i="74" s="1"/>
  <c r="F94" i="74"/>
  <c r="G94" i="74" s="1"/>
  <c r="H94" i="74" s="1"/>
  <c r="I94" i="74" s="1"/>
  <c r="F60" i="74"/>
  <c r="F110" i="74" s="1"/>
  <c r="H60" i="74"/>
  <c r="H110" i="74" s="1"/>
  <c r="J60" i="74"/>
  <c r="J110" i="74" s="1"/>
  <c r="L60" i="74"/>
  <c r="L110" i="74" s="1"/>
  <c r="N60" i="74"/>
  <c r="N110" i="74" s="1"/>
  <c r="P60" i="74"/>
  <c r="P110" i="74" s="1"/>
  <c r="G61" i="74"/>
  <c r="I61" i="74"/>
  <c r="K61" i="74"/>
  <c r="M61" i="74"/>
  <c r="O61" i="74"/>
  <c r="G62" i="74"/>
  <c r="G111" i="74" s="1"/>
  <c r="I62" i="74"/>
  <c r="I111" i="74" s="1"/>
  <c r="K62" i="74"/>
  <c r="K112" i="74" s="1"/>
  <c r="M62" i="74"/>
  <c r="M112" i="74" s="1"/>
  <c r="O62" i="74"/>
  <c r="O111" i="74" s="1"/>
  <c r="Q62" i="74"/>
  <c r="I63" i="74"/>
  <c r="I113" i="74" s="1"/>
  <c r="K63" i="74"/>
  <c r="K113" i="74" s="1"/>
  <c r="M63" i="74"/>
  <c r="M113" i="74" s="1"/>
  <c r="O63" i="74"/>
  <c r="O113" i="74" s="1"/>
  <c r="Q63" i="74"/>
  <c r="Q113" i="74" s="1"/>
  <c r="I64" i="74"/>
  <c r="I114" i="74" s="1"/>
  <c r="K64" i="74"/>
  <c r="K114" i="74" s="1"/>
  <c r="M64" i="74"/>
  <c r="M114" i="74" s="1"/>
  <c r="O64" i="74"/>
  <c r="O114" i="74" s="1"/>
  <c r="Q64" i="74"/>
  <c r="Q114" i="74" s="1"/>
  <c r="S64" i="74"/>
  <c r="S114" i="74" s="1"/>
  <c r="K65" i="74"/>
  <c r="K115" i="74" s="1"/>
  <c r="M65" i="74"/>
  <c r="M115" i="74" s="1"/>
  <c r="O65" i="74"/>
  <c r="O115" i="74" s="1"/>
  <c r="Q65" i="74"/>
  <c r="Q115" i="74"/>
  <c r="S65" i="74"/>
  <c r="S115" i="74" s="1"/>
  <c r="Q66" i="74"/>
  <c r="Q117" i="74" s="1"/>
  <c r="S66" i="74"/>
  <c r="S117" i="74" s="1"/>
  <c r="U66" i="74"/>
  <c r="U117" i="74" s="1"/>
  <c r="R67" i="74"/>
  <c r="T67" i="74"/>
  <c r="G60" i="74"/>
  <c r="G110" i="74" s="1"/>
  <c r="I60" i="74"/>
  <c r="I110" i="74" s="1"/>
  <c r="K60" i="74"/>
  <c r="K110" i="74" s="1"/>
  <c r="M60" i="74"/>
  <c r="M110" i="74" s="1"/>
  <c r="O60" i="74"/>
  <c r="O110" i="74" s="1"/>
  <c r="F61" i="74"/>
  <c r="H61" i="74"/>
  <c r="J61" i="74"/>
  <c r="L61" i="74"/>
  <c r="N61" i="74"/>
  <c r="P61" i="74"/>
  <c r="H62" i="74"/>
  <c r="H111" i="74" s="1"/>
  <c r="H112" i="74"/>
  <c r="J62" i="74"/>
  <c r="J112" i="74" s="1"/>
  <c r="L62" i="74"/>
  <c r="L111" i="74" s="1"/>
  <c r="N62" i="74"/>
  <c r="P62" i="74"/>
  <c r="H63" i="74"/>
  <c r="H113" i="74" s="1"/>
  <c r="J63" i="74"/>
  <c r="J113" i="74" s="1"/>
  <c r="L63" i="74"/>
  <c r="L113" i="74" s="1"/>
  <c r="N63" i="74"/>
  <c r="N113" i="74" s="1"/>
  <c r="P63" i="74"/>
  <c r="P113" i="74" s="1"/>
  <c r="R63" i="74"/>
  <c r="R113" i="74" s="1"/>
  <c r="J64" i="74"/>
  <c r="J114" i="74" s="1"/>
  <c r="L64" i="74"/>
  <c r="L114" i="74" s="1"/>
  <c r="N64" i="74"/>
  <c r="N114" i="74" s="1"/>
  <c r="P64" i="74"/>
  <c r="P114" i="74" s="1"/>
  <c r="R64" i="74"/>
  <c r="R114" i="74" s="1"/>
  <c r="J65" i="74"/>
  <c r="J115" i="74" s="1"/>
  <c r="L65" i="74"/>
  <c r="L115" i="74" s="1"/>
  <c r="N65" i="74"/>
  <c r="N115" i="74" s="1"/>
  <c r="P65" i="74"/>
  <c r="P115" i="74" s="1"/>
  <c r="R65" i="74"/>
  <c r="R115" i="74" s="1"/>
  <c r="T65" i="74"/>
  <c r="T115" i="74" s="1"/>
  <c r="R66" i="74"/>
  <c r="R117" i="74" s="1"/>
  <c r="T66" i="74"/>
  <c r="Q67" i="74"/>
  <c r="S67" i="74"/>
  <c r="O112" i="74"/>
  <c r="E145" i="74"/>
  <c r="H26" i="80"/>
  <c r="C6" i="80"/>
  <c r="G30" i="80"/>
  <c r="Q116" i="74" l="1"/>
  <c r="J36" i="114"/>
  <c r="M69" i="112"/>
  <c r="M121" i="112" s="1"/>
  <c r="K76" i="74"/>
  <c r="T70" i="112"/>
  <c r="T122" i="112" s="1"/>
  <c r="L112" i="74"/>
  <c r="L118" i="74" s="1"/>
  <c r="J66" i="112"/>
  <c r="J118" i="112" s="1"/>
  <c r="S69" i="112"/>
  <c r="S121" i="112" s="1"/>
  <c r="M66" i="112"/>
  <c r="F64" i="112"/>
  <c r="F116" i="112" s="1"/>
  <c r="F124" i="112" s="1"/>
  <c r="N65" i="112"/>
  <c r="U70" i="112"/>
  <c r="K67" i="112"/>
  <c r="K119" i="112" s="1"/>
  <c r="L66" i="112"/>
  <c r="L118" i="112" s="1"/>
  <c r="J64" i="112"/>
  <c r="J116" i="112" s="1"/>
  <c r="L36" i="114"/>
  <c r="P68" i="112"/>
  <c r="P120" i="112" s="1"/>
  <c r="M68" i="112"/>
  <c r="M120" i="112" s="1"/>
  <c r="O65" i="112"/>
  <c r="J68" i="112"/>
  <c r="J120" i="112" s="1"/>
  <c r="F65" i="112"/>
  <c r="L69" i="112"/>
  <c r="L121" i="112" s="1"/>
  <c r="H36" i="114"/>
  <c r="N64" i="112"/>
  <c r="N116" i="112" s="1"/>
  <c r="Q69" i="112"/>
  <c r="Q121" i="112" s="1"/>
  <c r="O66" i="112"/>
  <c r="S68" i="112"/>
  <c r="S120" i="112" s="1"/>
  <c r="L65" i="112"/>
  <c r="S36" i="114"/>
  <c r="I68" i="112"/>
  <c r="I120" i="112" s="1"/>
  <c r="I65" i="112"/>
  <c r="N67" i="112"/>
  <c r="N119" i="112" s="1"/>
  <c r="M64" i="112"/>
  <c r="M116" i="112" s="1"/>
  <c r="N69" i="112"/>
  <c r="N121" i="112" s="1"/>
  <c r="Q71" i="112"/>
  <c r="E41" i="114"/>
  <c r="G66" i="112"/>
  <c r="G118" i="112" s="1"/>
  <c r="R71" i="112"/>
  <c r="Q67" i="112"/>
  <c r="Q119" i="112" s="1"/>
  <c r="G65" i="112"/>
  <c r="J67" i="112"/>
  <c r="J119" i="112" s="1"/>
  <c r="I64" i="112"/>
  <c r="I116" i="112" s="1"/>
  <c r="G112" i="74"/>
  <c r="G118" i="74" s="1"/>
  <c r="L99" i="74"/>
  <c r="K99" i="74"/>
  <c r="M99" i="74"/>
  <c r="R36" i="114"/>
  <c r="M36" i="114"/>
  <c r="H99" i="74"/>
  <c r="E98" i="112"/>
  <c r="R134" i="74"/>
  <c r="I99" i="74"/>
  <c r="J99" i="74"/>
  <c r="E118" i="74"/>
  <c r="N99" i="74"/>
  <c r="F99" i="74"/>
  <c r="G92" i="74"/>
  <c r="F131" i="74"/>
  <c r="F136" i="74" s="1"/>
  <c r="E107" i="112"/>
  <c r="E131" i="74"/>
  <c r="E136" i="74" s="1"/>
  <c r="R116" i="74"/>
  <c r="R118" i="74" s="1"/>
  <c r="E124" i="112"/>
  <c r="J94" i="74"/>
  <c r="K94" i="74" s="1"/>
  <c r="L94" i="74" s="1"/>
  <c r="M94" i="74" s="1"/>
  <c r="N94" i="74" s="1"/>
  <c r="I100" i="74"/>
  <c r="F137" i="112"/>
  <c r="G96" i="112"/>
  <c r="P80" i="112"/>
  <c r="E80" i="112"/>
  <c r="H80" i="112"/>
  <c r="H134" i="74"/>
  <c r="O134" i="74"/>
  <c r="K134" i="74"/>
  <c r="M134" i="74"/>
  <c r="J134" i="74"/>
  <c r="L134" i="74"/>
  <c r="S134" i="74"/>
  <c r="Q134" i="74"/>
  <c r="E134" i="74"/>
  <c r="F134" i="74"/>
  <c r="F118" i="74"/>
  <c r="P76" i="74"/>
  <c r="E76" i="74"/>
  <c r="M76" i="74"/>
  <c r="J76" i="74"/>
  <c r="G76" i="74"/>
  <c r="O76" i="74"/>
  <c r="L76" i="74"/>
  <c r="I80" i="112"/>
  <c r="E36" i="114"/>
  <c r="E37" i="114" s="1"/>
  <c r="P134" i="74"/>
  <c r="U134" i="74"/>
  <c r="K144" i="112"/>
  <c r="S144" i="112"/>
  <c r="F144" i="112"/>
  <c r="N144" i="112"/>
  <c r="U144" i="112"/>
  <c r="S116" i="74"/>
  <c r="S118" i="74" s="1"/>
  <c r="P112" i="74"/>
  <c r="P111" i="74"/>
  <c r="Q111" i="74"/>
  <c r="Q112" i="74"/>
  <c r="Q118" i="74" s="1"/>
  <c r="K111" i="74"/>
  <c r="K118" i="74" s="1"/>
  <c r="N76" i="74"/>
  <c r="I76" i="74"/>
  <c r="P36" i="114"/>
  <c r="T123" i="112"/>
  <c r="F80" i="112"/>
  <c r="O144" i="112"/>
  <c r="I143" i="112"/>
  <c r="T134" i="74"/>
  <c r="I134" i="74"/>
  <c r="P93" i="74"/>
  <c r="O99" i="74"/>
  <c r="U116" i="74"/>
  <c r="U118" i="74" s="1"/>
  <c r="E100" i="74"/>
  <c r="E101" i="74" s="1"/>
  <c r="H100" i="74"/>
  <c r="H101" i="74" s="1"/>
  <c r="H142" i="74" s="1"/>
  <c r="F100" i="74"/>
  <c r="H76" i="74"/>
  <c r="U71" i="112"/>
  <c r="R70" i="112"/>
  <c r="P69" i="112"/>
  <c r="P121" i="112" s="1"/>
  <c r="J69" i="112"/>
  <c r="J121" i="112" s="1"/>
  <c r="S70" i="112"/>
  <c r="H65" i="112"/>
  <c r="P65" i="112"/>
  <c r="N66" i="112"/>
  <c r="P67" i="112"/>
  <c r="P119" i="112" s="1"/>
  <c r="L68" i="112"/>
  <c r="L120" i="112" s="1"/>
  <c r="R68" i="112"/>
  <c r="R120" i="112" s="1"/>
  <c r="H64" i="112"/>
  <c r="H116" i="112" s="1"/>
  <c r="L64" i="112"/>
  <c r="L116" i="112" s="1"/>
  <c r="P64" i="112"/>
  <c r="P116" i="112" s="1"/>
  <c r="K65" i="112"/>
  <c r="I66" i="112"/>
  <c r="Q66" i="112"/>
  <c r="O67" i="112"/>
  <c r="O119" i="112" s="1"/>
  <c r="O68" i="112"/>
  <c r="O120" i="112" s="1"/>
  <c r="S71" i="112"/>
  <c r="T69" i="112"/>
  <c r="T121" i="112" s="1"/>
  <c r="T71" i="112"/>
  <c r="Q70" i="112"/>
  <c r="Q123" i="112" s="1"/>
  <c r="O69" i="112"/>
  <c r="O121" i="112" s="1"/>
  <c r="G64" i="112"/>
  <c r="G116" i="112" s="1"/>
  <c r="K64" i="112"/>
  <c r="K116" i="112" s="1"/>
  <c r="O64" i="112"/>
  <c r="O116" i="112" s="1"/>
  <c r="J65" i="112"/>
  <c r="H66" i="112"/>
  <c r="P66" i="112"/>
  <c r="L67" i="112"/>
  <c r="L119" i="112" s="1"/>
  <c r="R67" i="112"/>
  <c r="R119" i="112" s="1"/>
  <c r="N68" i="112"/>
  <c r="N120" i="112" s="1"/>
  <c r="K69" i="112"/>
  <c r="K121" i="112" s="1"/>
  <c r="M65" i="112"/>
  <c r="K66" i="112"/>
  <c r="I67" i="112"/>
  <c r="I119" i="112" s="1"/>
  <c r="K68" i="112"/>
  <c r="K120" i="112" s="1"/>
  <c r="Q68" i="112"/>
  <c r="Q120" i="112" s="1"/>
  <c r="G36" i="114"/>
  <c r="E42" i="114"/>
  <c r="H106" i="112"/>
  <c r="H107" i="112" s="1"/>
  <c r="J144" i="112"/>
  <c r="G143" i="112"/>
  <c r="N134" i="74"/>
  <c r="G134" i="74"/>
  <c r="O36" i="114"/>
  <c r="F36" i="114"/>
  <c r="G26" i="80"/>
  <c r="T117" i="74"/>
  <c r="T116" i="74"/>
  <c r="J111" i="74"/>
  <c r="J118" i="74" s="1"/>
  <c r="N111" i="74"/>
  <c r="N112" i="74"/>
  <c r="O118" i="74"/>
  <c r="G131" i="74"/>
  <c r="G136" i="74" s="1"/>
  <c r="H92" i="74"/>
  <c r="H118" i="74"/>
  <c r="I112" i="74"/>
  <c r="I118" i="74" s="1"/>
  <c r="M111" i="74"/>
  <c r="M118" i="74" s="1"/>
  <c r="T36" i="114"/>
  <c r="G100" i="74"/>
  <c r="G101" i="74" s="1"/>
  <c r="J100" i="112"/>
  <c r="K100" i="112" s="1"/>
  <c r="I106" i="112"/>
  <c r="I107" i="112" s="1"/>
  <c r="F98" i="112"/>
  <c r="E140" i="112"/>
  <c r="N117" i="112"/>
  <c r="N118" i="112"/>
  <c r="C11" i="80"/>
  <c r="C4" i="80"/>
  <c r="L80" i="112"/>
  <c r="O80" i="112"/>
  <c r="G80" i="112"/>
  <c r="K80" i="112"/>
  <c r="J80" i="112"/>
  <c r="I36" i="114"/>
  <c r="F143" i="112"/>
  <c r="E143" i="112"/>
  <c r="H144" i="112"/>
  <c r="L144" i="112"/>
  <c r="P144" i="112"/>
  <c r="T144" i="112"/>
  <c r="H143" i="112"/>
  <c r="G144" i="112"/>
  <c r="M144" i="112"/>
  <c r="R144" i="112"/>
  <c r="M80" i="112"/>
  <c r="N80" i="112"/>
  <c r="F106" i="112"/>
  <c r="F107" i="112" s="1"/>
  <c r="F152" i="112" s="1"/>
  <c r="C9" i="80"/>
  <c r="G106" i="112"/>
  <c r="G107" i="112" s="1"/>
  <c r="E148" i="74" l="1"/>
  <c r="J117" i="112"/>
  <c r="Q122" i="112"/>
  <c r="E140" i="74"/>
  <c r="E146" i="74" s="1"/>
  <c r="M100" i="74"/>
  <c r="M101" i="74" s="1"/>
  <c r="K100" i="74"/>
  <c r="K101" i="74" s="1"/>
  <c r="L100" i="74"/>
  <c r="L101" i="74" s="1"/>
  <c r="L142" i="74" s="1"/>
  <c r="J100" i="74"/>
  <c r="J101" i="74" s="1"/>
  <c r="J142" i="74" s="1"/>
  <c r="I101" i="74"/>
  <c r="U123" i="112"/>
  <c r="U122" i="112"/>
  <c r="U124" i="112" s="1"/>
  <c r="F140" i="74"/>
  <c r="P118" i="74"/>
  <c r="O118" i="112"/>
  <c r="O117" i="112"/>
  <c r="M117" i="112"/>
  <c r="M118" i="112"/>
  <c r="G140" i="74"/>
  <c r="G117" i="112"/>
  <c r="G124" i="112" s="1"/>
  <c r="L117" i="112"/>
  <c r="L124" i="112" s="1"/>
  <c r="T118" i="74"/>
  <c r="I12" i="167"/>
  <c r="H143" i="74"/>
  <c r="F101" i="74"/>
  <c r="F142" i="74" s="1"/>
  <c r="J106" i="112"/>
  <c r="J107" i="112" s="1"/>
  <c r="J153" i="112" s="1"/>
  <c r="E38" i="114"/>
  <c r="H117" i="112"/>
  <c r="H118" i="112"/>
  <c r="Q117" i="112"/>
  <c r="Q118" i="112"/>
  <c r="S123" i="112"/>
  <c r="S122" i="112"/>
  <c r="Q76" i="74"/>
  <c r="K117" i="112"/>
  <c r="K118" i="112"/>
  <c r="I117" i="112"/>
  <c r="I118" i="112"/>
  <c r="T124" i="112"/>
  <c r="N118" i="74"/>
  <c r="J124" i="112"/>
  <c r="G137" i="112"/>
  <c r="H96" i="112"/>
  <c r="Q80" i="112"/>
  <c r="U87" i="112" s="1"/>
  <c r="U88" i="112" s="1"/>
  <c r="H152" i="112"/>
  <c r="H153" i="112"/>
  <c r="P117" i="112"/>
  <c r="P118" i="112"/>
  <c r="R123" i="112"/>
  <c r="R122" i="112"/>
  <c r="Q93" i="74"/>
  <c r="P99" i="74"/>
  <c r="F37" i="114"/>
  <c r="G37" i="114" s="1"/>
  <c r="H37" i="114" s="1"/>
  <c r="I37" i="114" s="1"/>
  <c r="J37" i="114" s="1"/>
  <c r="K37" i="114" s="1"/>
  <c r="L37" i="114" s="1"/>
  <c r="M37" i="114" s="1"/>
  <c r="N37" i="114" s="1"/>
  <c r="O37" i="114" s="1"/>
  <c r="P37" i="114" s="1"/>
  <c r="Q37" i="114" s="1"/>
  <c r="R37" i="114" s="1"/>
  <c r="S37" i="114" s="1"/>
  <c r="T37" i="114" s="1"/>
  <c r="U37" i="114" s="1"/>
  <c r="M87" i="112"/>
  <c r="M88" i="112" s="1"/>
  <c r="N154" i="112" s="1"/>
  <c r="E87" i="112"/>
  <c r="E88" i="112" s="1"/>
  <c r="F154" i="112" s="1"/>
  <c r="F155" i="112" s="1"/>
  <c r="I87" i="112"/>
  <c r="I88" i="112" s="1"/>
  <c r="J154" i="112" s="1"/>
  <c r="P87" i="112"/>
  <c r="P88" i="112" s="1"/>
  <c r="Q154" i="112" s="1"/>
  <c r="S87" i="112"/>
  <c r="S88" i="112" s="1"/>
  <c r="T154" i="112" s="1"/>
  <c r="H87" i="112"/>
  <c r="H88" i="112" s="1"/>
  <c r="I154" i="112" s="1"/>
  <c r="N124" i="112"/>
  <c r="K106" i="112"/>
  <c r="K107" i="112" s="1"/>
  <c r="L100" i="112"/>
  <c r="G142" i="74"/>
  <c r="G143" i="74"/>
  <c r="O94" i="74"/>
  <c r="N100" i="74"/>
  <c r="N101" i="74" s="1"/>
  <c r="G28" i="80"/>
  <c r="E158" i="112"/>
  <c r="E146" i="112"/>
  <c r="E150" i="112" s="1"/>
  <c r="E147" i="74"/>
  <c r="I92" i="74"/>
  <c r="H131" i="74"/>
  <c r="H136" i="74" s="1"/>
  <c r="H140" i="74" s="1"/>
  <c r="I153" i="112"/>
  <c r="I152" i="112"/>
  <c r="K143" i="74"/>
  <c r="K142" i="74"/>
  <c r="K141" i="74"/>
  <c r="L143" i="74"/>
  <c r="L141" i="74"/>
  <c r="G152" i="112"/>
  <c r="G153" i="112"/>
  <c r="G98" i="112"/>
  <c r="F140" i="112"/>
  <c r="F146" i="112" s="1"/>
  <c r="F150" i="112" s="1"/>
  <c r="M143" i="74"/>
  <c r="M141" i="74"/>
  <c r="M142" i="74"/>
  <c r="G29" i="80"/>
  <c r="F87" i="112" l="1"/>
  <c r="F88" i="112" s="1"/>
  <c r="G154" i="112" s="1"/>
  <c r="J87" i="112"/>
  <c r="J88" i="112" s="1"/>
  <c r="K154" i="112" s="1"/>
  <c r="J143" i="74"/>
  <c r="G87" i="112"/>
  <c r="G88" i="112" s="1"/>
  <c r="H154" i="112" s="1"/>
  <c r="H155" i="112" s="1"/>
  <c r="L87" i="112"/>
  <c r="L88" i="112" s="1"/>
  <c r="M154" i="112" s="1"/>
  <c r="R87" i="112"/>
  <c r="R88" i="112" s="1"/>
  <c r="S154" i="112" s="1"/>
  <c r="O87" i="112"/>
  <c r="O88" i="112" s="1"/>
  <c r="P154" i="112" s="1"/>
  <c r="T87" i="112"/>
  <c r="T88" i="112" s="1"/>
  <c r="U154" i="112" s="1"/>
  <c r="Q124" i="112"/>
  <c r="I142" i="74"/>
  <c r="I143" i="74"/>
  <c r="O124" i="112"/>
  <c r="J152" i="112"/>
  <c r="H124" i="112"/>
  <c r="N87" i="112"/>
  <c r="N88" i="112" s="1"/>
  <c r="O154" i="112" s="1"/>
  <c r="Q87" i="112"/>
  <c r="Q88" i="112" s="1"/>
  <c r="R154" i="112" s="1"/>
  <c r="M124" i="112"/>
  <c r="K87" i="112"/>
  <c r="K88" i="112" s="1"/>
  <c r="L154" i="112" s="1"/>
  <c r="R124" i="112"/>
  <c r="I124" i="112"/>
  <c r="R93" i="74"/>
  <c r="Q99" i="74"/>
  <c r="P124" i="112"/>
  <c r="H137" i="112"/>
  <c r="I96" i="112"/>
  <c r="K124" i="112"/>
  <c r="Q83" i="74"/>
  <c r="Q84" i="74" s="1"/>
  <c r="R144" i="74" s="1"/>
  <c r="L83" i="74"/>
  <c r="L84" i="74" s="1"/>
  <c r="M144" i="74" s="1"/>
  <c r="M145" i="74" s="1"/>
  <c r="P83" i="74"/>
  <c r="P84" i="74" s="1"/>
  <c r="Q144" i="74" s="1"/>
  <c r="F83" i="74"/>
  <c r="F84" i="74" s="1"/>
  <c r="G144" i="74" s="1"/>
  <c r="G145" i="74" s="1"/>
  <c r="E83" i="74"/>
  <c r="E84" i="74" s="1"/>
  <c r="F144" i="74" s="1"/>
  <c r="F145" i="74" s="1"/>
  <c r="K83" i="74"/>
  <c r="K84" i="74" s="1"/>
  <c r="L144" i="74" s="1"/>
  <c r="L145" i="74" s="1"/>
  <c r="H83" i="74"/>
  <c r="H84" i="74" s="1"/>
  <c r="I144" i="74" s="1"/>
  <c r="I145" i="74" s="1"/>
  <c r="M83" i="74"/>
  <c r="M84" i="74" s="1"/>
  <c r="N144" i="74" s="1"/>
  <c r="O83" i="74"/>
  <c r="O84" i="74" s="1"/>
  <c r="P144" i="74" s="1"/>
  <c r="N83" i="74"/>
  <c r="N84" i="74" s="1"/>
  <c r="O144" i="74" s="1"/>
  <c r="G83" i="74"/>
  <c r="G84" i="74" s="1"/>
  <c r="H144" i="74" s="1"/>
  <c r="H145" i="74" s="1"/>
  <c r="R83" i="74"/>
  <c r="R84" i="74" s="1"/>
  <c r="S144" i="74" s="1"/>
  <c r="S83" i="74"/>
  <c r="S84" i="74" s="1"/>
  <c r="T144" i="74" s="1"/>
  <c r="U83" i="74"/>
  <c r="U84" i="74" s="1"/>
  <c r="T83" i="74"/>
  <c r="T84" i="74" s="1"/>
  <c r="U144" i="74" s="1"/>
  <c r="J83" i="74"/>
  <c r="J84" i="74" s="1"/>
  <c r="K144" i="74" s="1"/>
  <c r="K145" i="74" s="1"/>
  <c r="I83" i="74"/>
  <c r="I84" i="74" s="1"/>
  <c r="J144" i="74" s="1"/>
  <c r="J145" i="74" s="1"/>
  <c r="S124" i="112"/>
  <c r="I155" i="112"/>
  <c r="J155" i="112"/>
  <c r="N141" i="74"/>
  <c r="N142" i="74"/>
  <c r="N143" i="74"/>
  <c r="K151" i="112"/>
  <c r="K152" i="112"/>
  <c r="K153" i="112"/>
  <c r="G140" i="112"/>
  <c r="G146" i="112" s="1"/>
  <c r="G150" i="112" s="1"/>
  <c r="H98" i="112"/>
  <c r="G155" i="112"/>
  <c r="P94" i="74"/>
  <c r="O100" i="74"/>
  <c r="O101" i="74" s="1"/>
  <c r="E156" i="112"/>
  <c r="F158" i="112"/>
  <c r="F156" i="112"/>
  <c r="M100" i="112"/>
  <c r="L106" i="112"/>
  <c r="L107" i="112" s="1"/>
  <c r="I131" i="74"/>
  <c r="I136" i="74" s="1"/>
  <c r="I140" i="74" s="1"/>
  <c r="J92" i="74"/>
  <c r="I146" i="74" l="1"/>
  <c r="N145" i="74"/>
  <c r="H148" i="74"/>
  <c r="H146" i="74"/>
  <c r="I137" i="112"/>
  <c r="J96" i="112"/>
  <c r="S93" i="74"/>
  <c r="R99" i="74"/>
  <c r="F148" i="74"/>
  <c r="F146" i="74"/>
  <c r="F147" i="74" s="1"/>
  <c r="M106" i="112"/>
  <c r="M107" i="112" s="1"/>
  <c r="N100" i="112"/>
  <c r="C12" i="80"/>
  <c r="O141" i="74"/>
  <c r="O142" i="74"/>
  <c r="O143" i="74"/>
  <c r="Q94" i="74"/>
  <c r="P100" i="74"/>
  <c r="P101" i="74" s="1"/>
  <c r="I98" i="112"/>
  <c r="H140" i="112"/>
  <c r="K155" i="112"/>
  <c r="J131" i="74"/>
  <c r="K92" i="74"/>
  <c r="G146" i="74"/>
  <c r="G148" i="74"/>
  <c r="C7" i="80"/>
  <c r="I148" i="74"/>
  <c r="L152" i="112"/>
  <c r="L153" i="112"/>
  <c r="L151" i="112"/>
  <c r="E157" i="112"/>
  <c r="F157" i="112" s="1"/>
  <c r="C8" i="80"/>
  <c r="G158" i="112"/>
  <c r="G156" i="112"/>
  <c r="T93" i="74" l="1"/>
  <c r="S99" i="74"/>
  <c r="K96" i="112"/>
  <c r="J137" i="112"/>
  <c r="K131" i="74"/>
  <c r="L92" i="74"/>
  <c r="J98" i="112"/>
  <c r="I140" i="112"/>
  <c r="O145" i="74"/>
  <c r="L155" i="112"/>
  <c r="J136" i="74"/>
  <c r="J140" i="74" s="1"/>
  <c r="J146" i="74" s="1"/>
  <c r="J148" i="74"/>
  <c r="P143" i="74"/>
  <c r="P141" i="74"/>
  <c r="P142" i="74"/>
  <c r="O100" i="112"/>
  <c r="N106" i="112"/>
  <c r="N107" i="112" s="1"/>
  <c r="R94" i="74"/>
  <c r="Q100" i="74"/>
  <c r="Q101" i="74" s="1"/>
  <c r="M153" i="112"/>
  <c r="M152" i="112"/>
  <c r="M151" i="112"/>
  <c r="G147" i="74"/>
  <c r="H147" i="74" s="1"/>
  <c r="I147" i="74" s="1"/>
  <c r="G157" i="112"/>
  <c r="H146" i="112"/>
  <c r="H150" i="112" s="1"/>
  <c r="H158" i="112"/>
  <c r="K137" i="112" l="1"/>
  <c r="L96" i="112"/>
  <c r="U93" i="74"/>
  <c r="U99" i="74" s="1"/>
  <c r="T99" i="74"/>
  <c r="J147" i="74"/>
  <c r="D8" i="80"/>
  <c r="H156" i="112"/>
  <c r="P100" i="112"/>
  <c r="O106" i="112"/>
  <c r="O107" i="112" s="1"/>
  <c r="I146" i="112"/>
  <c r="I150" i="112" s="1"/>
  <c r="I156" i="112" s="1"/>
  <c r="I158" i="112"/>
  <c r="C3" i="80"/>
  <c r="M155" i="112"/>
  <c r="Q141" i="74"/>
  <c r="Q142" i="74"/>
  <c r="Q143" i="74"/>
  <c r="K98" i="112"/>
  <c r="J140" i="112"/>
  <c r="S94" i="74"/>
  <c r="R100" i="74"/>
  <c r="R101" i="74" s="1"/>
  <c r="L131" i="74"/>
  <c r="M92" i="74"/>
  <c r="N151" i="112"/>
  <c r="N153" i="112"/>
  <c r="N152" i="112"/>
  <c r="P145" i="74"/>
  <c r="K136" i="74"/>
  <c r="K140" i="74" s="1"/>
  <c r="K146" i="74" s="1"/>
  <c r="K148" i="74"/>
  <c r="Q145" i="74" l="1"/>
  <c r="M96" i="112"/>
  <c r="L137" i="112"/>
  <c r="R143" i="74"/>
  <c r="R141" i="74"/>
  <c r="R142" i="74"/>
  <c r="Q100" i="112"/>
  <c r="P106" i="112"/>
  <c r="P107" i="112" s="1"/>
  <c r="L136" i="74"/>
  <c r="L140" i="74" s="1"/>
  <c r="L146" i="74" s="1"/>
  <c r="L148" i="74"/>
  <c r="G27" i="80"/>
  <c r="N155" i="112"/>
  <c r="N92" i="74"/>
  <c r="M131" i="74"/>
  <c r="T94" i="74"/>
  <c r="S100" i="74"/>
  <c r="S101" i="74" s="1"/>
  <c r="K147" i="74"/>
  <c r="J146" i="112"/>
  <c r="J150" i="112" s="1"/>
  <c r="J156" i="112" s="1"/>
  <c r="J158" i="112"/>
  <c r="L98" i="112"/>
  <c r="K140" i="112"/>
  <c r="O152" i="112"/>
  <c r="O151" i="112"/>
  <c r="O153" i="112"/>
  <c r="H157" i="112"/>
  <c r="I157" i="112" s="1"/>
  <c r="R145" i="74" l="1"/>
  <c r="M137" i="112"/>
  <c r="N96" i="112"/>
  <c r="J157" i="112"/>
  <c r="L147" i="74"/>
  <c r="S142" i="74"/>
  <c r="S143" i="74"/>
  <c r="S141" i="74"/>
  <c r="M136" i="74"/>
  <c r="M140" i="74" s="1"/>
  <c r="M146" i="74" s="1"/>
  <c r="M148" i="74"/>
  <c r="P152" i="112"/>
  <c r="P153" i="112"/>
  <c r="P151" i="112"/>
  <c r="O155" i="112"/>
  <c r="T100" i="74"/>
  <c r="T101" i="74" s="1"/>
  <c r="U94" i="74"/>
  <c r="U100" i="74" s="1"/>
  <c r="U101" i="74" s="1"/>
  <c r="N131" i="74"/>
  <c r="O92" i="74"/>
  <c r="R100" i="112"/>
  <c r="Q106" i="112"/>
  <c r="Q107" i="112" s="1"/>
  <c r="K146" i="112"/>
  <c r="K150" i="112" s="1"/>
  <c r="K156" i="112" s="1"/>
  <c r="K158" i="112"/>
  <c r="M98" i="112"/>
  <c r="L140" i="112"/>
  <c r="O96" i="112" l="1"/>
  <c r="N137" i="112"/>
  <c r="P155" i="112"/>
  <c r="M147" i="74"/>
  <c r="K157" i="112"/>
  <c r="L158" i="112"/>
  <c r="L146" i="112"/>
  <c r="L150" i="112" s="1"/>
  <c r="N98" i="112"/>
  <c r="M140" i="112"/>
  <c r="Q151" i="112"/>
  <c r="Q153" i="112"/>
  <c r="Q152" i="112"/>
  <c r="P92" i="74"/>
  <c r="O131" i="74"/>
  <c r="S145" i="74"/>
  <c r="S100" i="112"/>
  <c r="R106" i="112"/>
  <c r="R107" i="112" s="1"/>
  <c r="N136" i="74"/>
  <c r="N140" i="74" s="1"/>
  <c r="N146" i="74" s="1"/>
  <c r="N148" i="74"/>
  <c r="U142" i="74"/>
  <c r="U143" i="74"/>
  <c r="U141" i="74"/>
  <c r="T143" i="74"/>
  <c r="T142" i="74"/>
  <c r="T141" i="74"/>
  <c r="Q155" i="112" l="1"/>
  <c r="U145" i="74"/>
  <c r="O137" i="112"/>
  <c r="P96" i="112"/>
  <c r="N147" i="74"/>
  <c r="D6" i="80"/>
  <c r="T145" i="74"/>
  <c r="E153" i="74" s="1"/>
  <c r="T100" i="112"/>
  <c r="S106" i="112"/>
  <c r="S107" i="112" s="1"/>
  <c r="O136" i="74"/>
  <c r="O140" i="74" s="1"/>
  <c r="O146" i="74" s="1"/>
  <c r="O148" i="74"/>
  <c r="M146" i="112"/>
  <c r="M150" i="112" s="1"/>
  <c r="M156" i="112" s="1"/>
  <c r="M158" i="112"/>
  <c r="R151" i="112"/>
  <c r="R153" i="112"/>
  <c r="R152" i="112"/>
  <c r="Q92" i="74"/>
  <c r="P131" i="74"/>
  <c r="O98" i="112"/>
  <c r="N140" i="112"/>
  <c r="L156" i="112"/>
  <c r="L157" i="112" s="1"/>
  <c r="P137" i="112" l="1"/>
  <c r="Q96" i="112"/>
  <c r="O147" i="74"/>
  <c r="M157" i="112"/>
  <c r="R155" i="112"/>
  <c r="N158" i="112"/>
  <c r="N146" i="112"/>
  <c r="N150" i="112" s="1"/>
  <c r="N156" i="112" s="1"/>
  <c r="P136" i="74"/>
  <c r="P140" i="74" s="1"/>
  <c r="P146" i="74" s="1"/>
  <c r="P147" i="74" s="1"/>
  <c r="P148" i="74"/>
  <c r="S153" i="112"/>
  <c r="S152" i="112"/>
  <c r="S151" i="112"/>
  <c r="Q131" i="74"/>
  <c r="R92" i="74"/>
  <c r="C5" i="80"/>
  <c r="T106" i="112"/>
  <c r="T107" i="112" s="1"/>
  <c r="U100" i="112"/>
  <c r="U106" i="112" s="1"/>
  <c r="U107" i="112" s="1"/>
  <c r="O140" i="112"/>
  <c r="P98" i="112"/>
  <c r="N157" i="112" l="1"/>
  <c r="Q137" i="112"/>
  <c r="R96" i="112"/>
  <c r="Q98" i="112"/>
  <c r="P140" i="112"/>
  <c r="T151" i="112"/>
  <c r="T152" i="112"/>
  <c r="T153" i="112"/>
  <c r="D9" i="80"/>
  <c r="S92" i="74"/>
  <c r="R131" i="74"/>
  <c r="D11" i="80"/>
  <c r="Q136" i="74"/>
  <c r="Q140" i="74" s="1"/>
  <c r="Q146" i="74" s="1"/>
  <c r="Q147" i="74" s="1"/>
  <c r="Q148" i="74"/>
  <c r="S155" i="112"/>
  <c r="O146" i="112"/>
  <c r="O150" i="112" s="1"/>
  <c r="O156" i="112" s="1"/>
  <c r="O157" i="112" s="1"/>
  <c r="O158" i="112"/>
  <c r="U153" i="112"/>
  <c r="U152" i="112"/>
  <c r="U151" i="112"/>
  <c r="H30" i="80"/>
  <c r="S96" i="112" l="1"/>
  <c r="R137" i="112"/>
  <c r="R136" i="74"/>
  <c r="R140" i="74" s="1"/>
  <c r="R146" i="74" s="1"/>
  <c r="R147" i="74" s="1"/>
  <c r="R148" i="74"/>
  <c r="T155" i="112"/>
  <c r="T92" i="74"/>
  <c r="S131" i="74"/>
  <c r="U155" i="112"/>
  <c r="P158" i="112"/>
  <c r="P146" i="112"/>
  <c r="P150" i="112" s="1"/>
  <c r="P156" i="112" s="1"/>
  <c r="P157" i="112" s="1"/>
  <c r="Q140" i="112"/>
  <c r="R98" i="112"/>
  <c r="D10" i="80"/>
  <c r="T96" i="112" l="1"/>
  <c r="S137" i="112"/>
  <c r="S98" i="112"/>
  <c r="R140" i="112"/>
  <c r="Q158" i="112"/>
  <c r="Q146" i="112"/>
  <c r="Q150" i="112" s="1"/>
  <c r="Q156" i="112" s="1"/>
  <c r="Q157" i="112" s="1"/>
  <c r="E163" i="112"/>
  <c r="S136" i="74"/>
  <c r="S140" i="74" s="1"/>
  <c r="S146" i="74" s="1"/>
  <c r="S147" i="74" s="1"/>
  <c r="S148" i="74"/>
  <c r="U92" i="74"/>
  <c r="U131" i="74" s="1"/>
  <c r="T131" i="74"/>
  <c r="U96" i="112" l="1"/>
  <c r="U137" i="112" s="1"/>
  <c r="T137" i="112"/>
  <c r="U136" i="74"/>
  <c r="U140" i="74" s="1"/>
  <c r="U148" i="74"/>
  <c r="D5" i="80"/>
  <c r="R158" i="112"/>
  <c r="R146" i="112"/>
  <c r="R150" i="112" s="1"/>
  <c r="R156" i="112" s="1"/>
  <c r="R157" i="112" s="1"/>
  <c r="T136" i="74"/>
  <c r="T140" i="74" s="1"/>
  <c r="T146" i="74" s="1"/>
  <c r="T147" i="74" s="1"/>
  <c r="T148" i="74"/>
  <c r="T98" i="112"/>
  <c r="S140" i="112"/>
  <c r="S146" i="112" l="1"/>
  <c r="S150" i="112" s="1"/>
  <c r="S156" i="112" s="1"/>
  <c r="S157" i="112" s="1"/>
  <c r="S158" i="112"/>
  <c r="T140" i="112"/>
  <c r="U98" i="112"/>
  <c r="U140" i="112" s="1"/>
  <c r="D3" i="80"/>
  <c r="E152" i="74"/>
  <c r="U146" i="74"/>
  <c r="E149" i="74" s="1"/>
  <c r="C10" i="80"/>
  <c r="C13" i="80" s="1"/>
  <c r="U158" i="112" l="1"/>
  <c r="U146" i="112"/>
  <c r="U150" i="112" s="1"/>
  <c r="U147" i="74"/>
  <c r="T146" i="112"/>
  <c r="T150" i="112" s="1"/>
  <c r="T156" i="112" s="1"/>
  <c r="T157" i="112" s="1"/>
  <c r="T158" i="112"/>
  <c r="D4" i="80"/>
  <c r="H29" i="80"/>
  <c r="E162" i="112" l="1"/>
  <c r="U156" i="112"/>
  <c r="E159" i="112" s="1"/>
  <c r="H27" i="80"/>
  <c r="H28" i="80" l="1"/>
  <c r="U157" i="112"/>
  <c r="D7" i="80" l="1"/>
  <c r="D12" i="80"/>
  <c r="C36" i="80" l="1"/>
  <c r="D13" i="80"/>
  <c r="C37" i="80"/>
  <c r="C16" i="80" l="1"/>
  <c r="D16" i="80"/>
  <c r="J12" i="167" l="1"/>
  <c r="H12" i="167"/>
  <c r="K12" i="167" l="1"/>
  <c r="X7" i="177" s="1"/>
  <c r="H10" i="180" l="1"/>
  <c r="I10" i="180" l="1"/>
  <c r="J13" i="167" l="1"/>
  <c r="H13" i="167"/>
  <c r="I13" i="167"/>
  <c r="K13" i="167" l="1"/>
  <c r="X11" i="177" s="1"/>
  <c r="D7" i="180" l="1"/>
  <c r="F7" i="180" s="1"/>
  <c r="H7" i="180"/>
  <c r="H14" i="180" s="1"/>
  <c r="H15" i="180" s="1"/>
  <c r="I19" i="167"/>
  <c r="K19" i="167" l="1"/>
  <c r="X12" i="177" s="1"/>
  <c r="H19" i="167"/>
  <c r="G19" i="167"/>
  <c r="J19" i="167"/>
  <c r="D14" i="180"/>
  <c r="F14" i="180"/>
  <c r="I7" i="180"/>
  <c r="I14" i="180" s="1"/>
  <c r="D15" i="180" l="1"/>
  <c r="G10" i="180"/>
  <c r="G9" i="180"/>
  <c r="G6" i="180"/>
  <c r="G4" i="180"/>
  <c r="G8" i="180"/>
  <c r="E15" i="180"/>
  <c r="F15" i="180"/>
  <c r="G12" i="180"/>
  <c r="G13" i="180"/>
  <c r="G5" i="180"/>
  <c r="G11" i="180"/>
  <c r="G7" i="180"/>
</calcChain>
</file>

<file path=xl/sharedStrings.xml><?xml version="1.0" encoding="utf-8"?>
<sst xmlns="http://schemas.openxmlformats.org/spreadsheetml/2006/main" count="699" uniqueCount="295">
  <si>
    <t>Title</t>
  </si>
  <si>
    <t>$</t>
  </si>
  <si>
    <t>AUXILIARY DATA</t>
  </si>
  <si>
    <t>TECHNICAL CALCULATIONS</t>
  </si>
  <si>
    <t>Parameter</t>
  </si>
  <si>
    <t>Unit</t>
  </si>
  <si>
    <t>ECONOMIC CALCULATIONS</t>
  </si>
  <si>
    <t>Concept</t>
  </si>
  <si>
    <t>Cost/benefit</t>
  </si>
  <si>
    <t>Net cash flow</t>
  </si>
  <si>
    <t>Net present value</t>
  </si>
  <si>
    <t>Net cost</t>
  </si>
  <si>
    <t>Costs</t>
  </si>
  <si>
    <t>Benefits</t>
  </si>
  <si>
    <t>Net benefit</t>
  </si>
  <si>
    <t>Mobilization</t>
  </si>
  <si>
    <t>Site clearing and preparation</t>
  </si>
  <si>
    <t>Excavation of dike root with excavator</t>
  </si>
  <si>
    <t>Hauling of dike root material</t>
  </si>
  <si>
    <t>Excavator for placement of rip rap</t>
  </si>
  <si>
    <t>Fill gravel for dike construction</t>
  </si>
  <si>
    <t>Site revegetation</t>
  </si>
  <si>
    <t>Site clean up</t>
  </si>
  <si>
    <t>1 km (excavation)</t>
  </si>
  <si>
    <t>1 km (hauling)</t>
  </si>
  <si>
    <t>1 km Riprap (delivered)</t>
  </si>
  <si>
    <t>1 km (clearing)</t>
  </si>
  <si>
    <t>Riprap delivered in site</t>
  </si>
  <si>
    <t>Excavator for placement of riprap</t>
  </si>
  <si>
    <t>1 km (excavator for placement of riprap)</t>
  </si>
  <si>
    <t>1 km (gravel)</t>
  </si>
  <si>
    <t>1km (revegetation)</t>
  </si>
  <si>
    <t>1 km (clean up)</t>
  </si>
  <si>
    <t>km</t>
  </si>
  <si>
    <r>
      <t>Pond surface area (m</t>
    </r>
    <r>
      <rPr>
        <b/>
        <vertAlign val="superscript"/>
        <sz val="10"/>
        <color theme="0"/>
        <rFont val="Century Gothic"/>
        <family val="2"/>
      </rPr>
      <t>2</t>
    </r>
    <r>
      <rPr>
        <b/>
        <sz val="10"/>
        <color theme="0"/>
        <rFont val="Century Gothic"/>
        <family val="2"/>
      </rPr>
      <t>)</t>
    </r>
  </si>
  <si>
    <r>
      <t>Pond volume (m</t>
    </r>
    <r>
      <rPr>
        <b/>
        <vertAlign val="superscript"/>
        <sz val="10"/>
        <color theme="0"/>
        <rFont val="Century Gothic"/>
        <family val="2"/>
      </rPr>
      <t>3</t>
    </r>
    <r>
      <rPr>
        <b/>
        <sz val="10"/>
        <color theme="0"/>
        <rFont val="Century Gothic"/>
        <family val="2"/>
      </rPr>
      <t>)</t>
    </r>
  </si>
  <si>
    <t>Building 1 pond</t>
  </si>
  <si>
    <t>Maintaining 1 pond</t>
  </si>
  <si>
    <t>Riprap delivered to site</t>
  </si>
  <si>
    <t>Building 2 ponds</t>
  </si>
  <si>
    <t>Maintaining 2 ponds</t>
  </si>
  <si>
    <t>Building km</t>
  </si>
  <si>
    <r>
      <t>Building 1 m</t>
    </r>
    <r>
      <rPr>
        <b/>
        <vertAlign val="superscript"/>
        <sz val="10"/>
        <color theme="0"/>
        <rFont val="Century Gothic"/>
        <family val="2"/>
      </rPr>
      <t xml:space="preserve">3 </t>
    </r>
    <r>
      <rPr>
        <b/>
        <sz val="10"/>
        <color theme="0"/>
        <rFont val="Century Gothic"/>
        <family val="2"/>
      </rPr>
      <t>pond ($)</t>
    </r>
  </si>
  <si>
    <r>
      <t>Maintaining 1 m</t>
    </r>
    <r>
      <rPr>
        <b/>
        <vertAlign val="superscript"/>
        <sz val="10"/>
        <color theme="0"/>
        <rFont val="Century Gothic"/>
        <family val="2"/>
      </rPr>
      <t>2</t>
    </r>
    <r>
      <rPr>
        <b/>
        <sz val="10"/>
        <color theme="0"/>
        <rFont val="Century Gothic"/>
        <family val="2"/>
      </rPr>
      <t xml:space="preserve"> pond per year ($)</t>
    </r>
  </si>
  <si>
    <t>Own estimation based on geographical data of Trinidad and Tobago.</t>
  </si>
  <si>
    <t>PF 1</t>
  </si>
  <si>
    <t>PF 2</t>
  </si>
  <si>
    <t>Benefit</t>
  </si>
  <si>
    <r>
      <t>m</t>
    </r>
    <r>
      <rPr>
        <vertAlign val="superscript"/>
        <sz val="10"/>
        <color theme="1"/>
        <rFont val="Century Gothic"/>
        <family val="2"/>
      </rPr>
      <t>3</t>
    </r>
  </si>
  <si>
    <t>PF 5</t>
  </si>
  <si>
    <t>Number of swales</t>
  </si>
  <si>
    <r>
      <t>m</t>
    </r>
    <r>
      <rPr>
        <b/>
        <vertAlign val="superscript"/>
        <sz val="10"/>
        <color theme="0"/>
        <rFont val="Century Gothic"/>
        <family val="2"/>
      </rPr>
      <t xml:space="preserve">2 </t>
    </r>
    <r>
      <rPr>
        <b/>
        <sz val="10"/>
        <color theme="0"/>
        <rFont val="Century Gothic"/>
        <family val="2"/>
      </rPr>
      <t>per swale</t>
    </r>
  </si>
  <si>
    <t>Building swales</t>
  </si>
  <si>
    <t xml:space="preserve">Swales regular maintenance </t>
  </si>
  <si>
    <t>Swales irregular maintenance</t>
  </si>
  <si>
    <t>Building sand filters</t>
  </si>
  <si>
    <t>Sand filter maintenance</t>
  </si>
  <si>
    <t>Oil separator</t>
  </si>
  <si>
    <t>Oil separator maintenance</t>
  </si>
  <si>
    <r>
      <t>Annual swale maintenance cost per m</t>
    </r>
    <r>
      <rPr>
        <b/>
        <vertAlign val="superscript"/>
        <sz val="10"/>
        <color theme="0"/>
        <rFont val="Century Gothic"/>
        <family val="2"/>
      </rPr>
      <t xml:space="preserve">2 </t>
    </r>
    <r>
      <rPr>
        <b/>
        <sz val="10"/>
        <color theme="0"/>
        <rFont val="Century Gothic"/>
        <family val="2"/>
      </rPr>
      <t>($)</t>
    </r>
  </si>
  <si>
    <t>Oil separator cost ($)</t>
  </si>
  <si>
    <t>Oil separator monthly maintenance cost ($)</t>
  </si>
  <si>
    <r>
      <t>Sand filter cost per m</t>
    </r>
    <r>
      <rPr>
        <b/>
        <vertAlign val="superscript"/>
        <sz val="10"/>
        <color theme="0"/>
        <rFont val="Century Gothic"/>
        <family val="2"/>
      </rPr>
      <t>3</t>
    </r>
    <r>
      <rPr>
        <b/>
        <sz val="10"/>
        <color theme="0"/>
        <rFont val="Century Gothic"/>
        <family val="2"/>
      </rPr>
      <t xml:space="preserve"> ($)</t>
    </r>
  </si>
  <si>
    <r>
      <t>Sand filter maintenance cost per m</t>
    </r>
    <r>
      <rPr>
        <b/>
        <vertAlign val="superscript"/>
        <sz val="10"/>
        <color theme="0"/>
        <rFont val="Century Gothic"/>
        <family val="2"/>
      </rPr>
      <t>3</t>
    </r>
    <r>
      <rPr>
        <b/>
        <sz val="10"/>
        <color theme="0"/>
        <rFont val="Century Gothic"/>
        <family val="2"/>
      </rPr>
      <t xml:space="preserve"> ($)</t>
    </r>
  </si>
  <si>
    <r>
      <t>Swale construction cost per m</t>
    </r>
    <r>
      <rPr>
        <b/>
        <vertAlign val="superscript"/>
        <sz val="10"/>
        <color theme="0"/>
        <rFont val="Century Gothic"/>
        <family val="2"/>
      </rPr>
      <t>2</t>
    </r>
    <r>
      <rPr>
        <b/>
        <sz val="10"/>
        <color theme="0"/>
        <rFont val="Century Gothic"/>
        <family val="2"/>
      </rPr>
      <t xml:space="preserve"> ($)</t>
    </r>
  </si>
  <si>
    <r>
      <t>Sand filter volume (m</t>
    </r>
    <r>
      <rPr>
        <b/>
        <vertAlign val="superscript"/>
        <sz val="10"/>
        <color theme="0"/>
        <rFont val="Century Gothic"/>
        <family val="2"/>
      </rPr>
      <t>3</t>
    </r>
    <r>
      <rPr>
        <b/>
        <sz val="10"/>
        <color theme="0"/>
        <rFont val="Century Gothic"/>
        <family val="2"/>
      </rPr>
      <t>)</t>
    </r>
  </si>
  <si>
    <t>Accumulated number of swales</t>
  </si>
  <si>
    <t>Swales built per year</t>
  </si>
  <si>
    <t>Constructed sand filter volume</t>
  </si>
  <si>
    <t>Accumulated sand filter volume</t>
  </si>
  <si>
    <t>Mussetter Engineering, Inc., 2005.</t>
  </si>
  <si>
    <t>Royal Haskoning DHV (2012). Costs and Benefits of Sustainable Drainage Systems.</t>
  </si>
  <si>
    <t>Woods-Ballard, B., Kellagher, R., Martin, P., Jefferies, C., Bray, R., Shaffer, P. (2007). The SUDS manual. Ciria Books.</t>
  </si>
  <si>
    <t>Xerxes, 2011.</t>
  </si>
  <si>
    <t>United States Environmental Protection Agency, 2009.</t>
  </si>
  <si>
    <t>USD</t>
  </si>
  <si>
    <t>Runoff ratio</t>
  </si>
  <si>
    <t>UNATSABAR</t>
  </si>
  <si>
    <t>Cetaqua. Water Technology Center.</t>
  </si>
  <si>
    <t>January</t>
  </si>
  <si>
    <t>February</t>
  </si>
  <si>
    <t>March</t>
  </si>
  <si>
    <t>April</t>
  </si>
  <si>
    <t>May</t>
  </si>
  <si>
    <t>June</t>
  </si>
  <si>
    <t>July</t>
  </si>
  <si>
    <t>August</t>
  </si>
  <si>
    <t>September</t>
  </si>
  <si>
    <t>October</t>
  </si>
  <si>
    <t>November</t>
  </si>
  <si>
    <t>December</t>
  </si>
  <si>
    <t>Total</t>
  </si>
  <si>
    <t>Average rainfall</t>
  </si>
  <si>
    <t>-</t>
  </si>
  <si>
    <t>Days/month</t>
  </si>
  <si>
    <t>Days</t>
  </si>
  <si>
    <t>Yearly harvested water per tank</t>
  </si>
  <si>
    <t>Yearly harvested water</t>
  </si>
  <si>
    <r>
      <t>L/m</t>
    </r>
    <r>
      <rPr>
        <vertAlign val="superscript"/>
        <sz val="10"/>
        <color indexed="8"/>
        <rFont val="Century Gothic"/>
        <family val="2"/>
      </rPr>
      <t>2</t>
    </r>
  </si>
  <si>
    <r>
      <t>m</t>
    </r>
    <r>
      <rPr>
        <vertAlign val="superscript"/>
        <sz val="10"/>
        <color indexed="8"/>
        <rFont val="Century Gothic"/>
        <family val="2"/>
      </rPr>
      <t>3</t>
    </r>
  </si>
  <si>
    <t>Number of Ponds</t>
  </si>
  <si>
    <t>Ponds</t>
  </si>
  <si>
    <t>World Bank</t>
  </si>
  <si>
    <t>Cost-Benefit Analysis of Climate Change Adaption and Mitigation Projects in
Trinidad and Tobago: Draft Final Report (Revised)</t>
  </si>
  <si>
    <t xml:space="preserve">Land Value </t>
  </si>
  <si>
    <t>USD/ha</t>
  </si>
  <si>
    <t>DETAILED VULNERABILITY ASSESSMENT
SURVEY AND STORM SURGE MODELLING OF
THE WEST COAST OF TRINIDAD: VESSIGNY TO CAP-DE-VILLE QUADRANT</t>
  </si>
  <si>
    <t>Land values are assumed to grow at the annual rate of GDP growth</t>
  </si>
  <si>
    <t>ha</t>
  </si>
  <si>
    <t>AUXILIARY DATA FOR BENEFITS</t>
  </si>
  <si>
    <t>Water harvesting surface</t>
  </si>
  <si>
    <t>Cost desalinated water (€/m3)</t>
  </si>
  <si>
    <t>Water Harvested
(assuming all caught is consumed)</t>
  </si>
  <si>
    <t>Author Estimation</t>
  </si>
  <si>
    <t xml:space="preserve">Author Calculation </t>
  </si>
  <si>
    <r>
      <t>Land Value (2011, USD/ha</t>
    </r>
    <r>
      <rPr>
        <b/>
        <sz val="10"/>
        <color indexed="9"/>
        <rFont val="Century Gothic"/>
        <family val="2"/>
      </rPr>
      <t>)</t>
    </r>
  </si>
  <si>
    <t>Industrial Land protected per year, assuming linear 
(2007-2031, ha)</t>
  </si>
  <si>
    <t>Land Affected by Storm Surge, Erosion, and Inundation in 2031
(average of the two scenarios) (ha)</t>
  </si>
  <si>
    <t>Total Land Affected</t>
  </si>
  <si>
    <t>Value of Total Land Affected</t>
  </si>
  <si>
    <t xml:space="preserve">Net Cost </t>
  </si>
  <si>
    <t>TECHNICAL CALCULATIONS - BENEFITS</t>
  </si>
  <si>
    <t>TECHNICAL CALCULATIONS - PF 5</t>
  </si>
  <si>
    <t>TECHNICAL CALCULATIONS - PF 1</t>
  </si>
  <si>
    <t>AUXILIARY DATA - PF 5</t>
  </si>
  <si>
    <t>AUXILIARY DATA - PF 1</t>
  </si>
  <si>
    <t>Average</t>
  </si>
  <si>
    <t>Percentage of protected industrial land due to PF 1</t>
  </si>
  <si>
    <t>Percentage of protected industrial land due to PF 5</t>
  </si>
  <si>
    <t>Percentage of industrial land protected (not lost) by this measure</t>
  </si>
  <si>
    <t>Irregular swale maintenance cost 
($/10 years)</t>
  </si>
  <si>
    <t xml:space="preserve">Net Cost Discounted </t>
  </si>
  <si>
    <t xml:space="preserve">Net Benefits Discounted </t>
  </si>
  <si>
    <t>TECHNICAL CALCULATIONS - PF 2</t>
  </si>
  <si>
    <t>Value of water harvested (PF 2)</t>
  </si>
  <si>
    <t>Value of Land Protected by Measures (PF 1)</t>
  </si>
  <si>
    <t>Value of Land Protected by Measures (PF 2)</t>
  </si>
  <si>
    <t>Value of Land Protected by Measures (PF 5)</t>
  </si>
  <si>
    <t>Percentage of protected industrial land due to PF 2</t>
  </si>
  <si>
    <t>ECONOMIC CALCULATIONS - COSTS PF 1</t>
  </si>
  <si>
    <t>PPF  1, 2 &amp; 5</t>
  </si>
  <si>
    <t>AUXILIARY DATA - PF 2</t>
  </si>
  <si>
    <t>Cumulative cash flow</t>
  </si>
  <si>
    <t>Benefits-maintenance</t>
  </si>
  <si>
    <t>Dike construction in Point Fortin protection, Retention Ponds, and Sustainable Drainage Systems Cost Benefit Analysis</t>
  </si>
  <si>
    <t>PF 1, 2 and 3</t>
  </si>
  <si>
    <t>PAP 1, 2 and 3</t>
  </si>
  <si>
    <t>Dike construction, Retention Ponds, and Sustainable Drainage Systems in Point-a-Pierre Cost Benefit Analysis</t>
  </si>
  <si>
    <t>AUXILIARY DATA - PAP 1</t>
  </si>
  <si>
    <t>AUXILIARY DATA - PAP 2</t>
  </si>
  <si>
    <t>AUXILIARY DATA - PAP 5</t>
  </si>
  <si>
    <t>TECHNICAL CALCULATIONS - PAP 1</t>
  </si>
  <si>
    <t>TECHNICAL CALCULATIONS - PAP 2</t>
  </si>
  <si>
    <t>TECHNICAL CALCULATIONS - PAP 5</t>
  </si>
  <si>
    <t>ECONOMIC CALCULATIONS - COSTS PAP 1</t>
  </si>
  <si>
    <t>"Unit Prices" Department of Inspections and Permits,  Anne Arundel County, Mayrland</t>
  </si>
  <si>
    <t>Bern Construction per ft (USD)</t>
  </si>
  <si>
    <t>Phase 2 Vulnerability Assessment Survey for
the Pointe-a-Pierre Foreshore Area</t>
  </si>
  <si>
    <t>based on authoer estimation of berms needed  based on maps and inundation/erosion studies provided for the area</t>
  </si>
  <si>
    <t>Building berms</t>
  </si>
  <si>
    <r>
      <t>Annual berm maintenance cost per m</t>
    </r>
    <r>
      <rPr>
        <b/>
        <vertAlign val="superscript"/>
        <sz val="10"/>
        <color theme="0"/>
        <rFont val="Century Gothic"/>
        <family val="2"/>
      </rPr>
      <t xml:space="preserve">2 </t>
    </r>
    <r>
      <rPr>
        <b/>
        <sz val="10"/>
        <color theme="0"/>
        <rFont val="Century Gothic"/>
        <family val="2"/>
      </rPr>
      <t>($)</t>
    </r>
  </si>
  <si>
    <t>Irregular berm maintenance cost 
($/10 years)</t>
  </si>
  <si>
    <t xml:space="preserve">Berms regular maintenance </t>
  </si>
  <si>
    <t>Berms irregular maintenance</t>
  </si>
  <si>
    <t>Kilometers of berm to construct</t>
  </si>
  <si>
    <t>Building Berms</t>
  </si>
  <si>
    <t>Average line:</t>
  </si>
  <si>
    <t>x</t>
  </si>
  <si>
    <t>y</t>
  </si>
  <si>
    <t xml:space="preserve">Benefit cost-ratio </t>
  </si>
  <si>
    <t xml:space="preserve">Pay-Back </t>
  </si>
  <si>
    <t>Project Title:</t>
  </si>
  <si>
    <t>Project Location:</t>
  </si>
  <si>
    <t>Kazakhstan</t>
  </si>
  <si>
    <t>Key Performance Indicators</t>
  </si>
  <si>
    <t>Total project cost</t>
  </si>
  <si>
    <t>TBD</t>
  </si>
  <si>
    <t>Re-investment</t>
  </si>
  <si>
    <t>Operating costs</t>
  </si>
  <si>
    <t>Maintenance costs</t>
  </si>
  <si>
    <t>Units</t>
  </si>
  <si>
    <t>Comments</t>
  </si>
  <si>
    <t>Revenues/Incomes</t>
  </si>
  <si>
    <t>N/A</t>
  </si>
  <si>
    <t>USD/year</t>
  </si>
  <si>
    <t>Total Costs Year n+1</t>
  </si>
  <si>
    <t>Average inflation (KZA)</t>
  </si>
  <si>
    <t>Data 12/2020 (https://www.theglobaleconomy.com/Kazakhstan/inflation_annual/)</t>
  </si>
  <si>
    <t>Bank deposit interest rate, percent in Kazakhstan, January, 1997 - December, 2020 (https://www.theglobaleconomy.com/Kazakhstan/deposit_interest_rate/)</t>
  </si>
  <si>
    <t>Discount rate (KZA)</t>
  </si>
  <si>
    <t>Methodology</t>
  </si>
  <si>
    <t>Competitiveness</t>
  </si>
  <si>
    <t>Efficiency improvement</t>
  </si>
  <si>
    <t xml:space="preserve">Total Costs </t>
  </si>
  <si>
    <t>ECONOMIC RESULTS</t>
  </si>
  <si>
    <t>Measure</t>
  </si>
  <si>
    <t>Type of measure</t>
  </si>
  <si>
    <t>Scope</t>
  </si>
  <si>
    <t xml:space="preserve">Type of investment </t>
  </si>
  <si>
    <t>Net discount cost</t>
  </si>
  <si>
    <t xml:space="preserve">Net discount benefit </t>
  </si>
  <si>
    <t>Pay back (years)</t>
  </si>
  <si>
    <t>Benefit-Cost Ratio</t>
  </si>
  <si>
    <t>National</t>
  </si>
  <si>
    <t>Public-Private</t>
  </si>
  <si>
    <t>KZA 1</t>
  </si>
  <si>
    <t>KZA 2</t>
  </si>
  <si>
    <t>KZA 3</t>
  </si>
  <si>
    <t>KZA 4</t>
  </si>
  <si>
    <t>KZA 5</t>
  </si>
  <si>
    <t>Waste Management - Categorization, storage and management</t>
  </si>
  <si>
    <t>Source of information</t>
  </si>
  <si>
    <t>Building certification: increase performance and efficiency of buildings</t>
  </si>
  <si>
    <t>Use of fly ash from KZ combustion sector in concrete and road pavements, and other construction application</t>
  </si>
  <si>
    <t>Environment friendly material production and waste reduction</t>
  </si>
  <si>
    <t>External technical assistance of a consultant company.
This activity requires to employ national and international experts in research.</t>
  </si>
  <si>
    <t>Renovation, Waste Reduction</t>
  </si>
  <si>
    <t>Building Waste Audit</t>
  </si>
  <si>
    <t>Kazakh’s Circular Economy Certification System</t>
  </si>
  <si>
    <t>KZ Construction and Demolition Waste Management Protocol</t>
  </si>
  <si>
    <t>Assessing the use of fly ash from KZ combustion sector</t>
  </si>
  <si>
    <t>Renovation projects for the old soviet time building stocks</t>
  </si>
  <si>
    <t>Public</t>
  </si>
  <si>
    <t>Private</t>
  </si>
  <si>
    <t>Integration of BIM-into residential  construction design, management, and C&amp;DW management within a circular economy</t>
  </si>
  <si>
    <t>A National Industrial Symbiosis portal for stakeholders at all levels of the construction and demolition value chain</t>
  </si>
  <si>
    <t>Advertisement, capacity improvement and others</t>
  </si>
  <si>
    <t>Gypsum/drywall waste recycling (KZ gypsum recycling service)</t>
  </si>
  <si>
    <t>Development of a recycling service systems</t>
  </si>
  <si>
    <t>Administrative costs of project and service provision</t>
  </si>
  <si>
    <t>Cost saving*</t>
  </si>
  <si>
    <t>Renovation for the old soviet time building stocks (renovation as a service)</t>
  </si>
  <si>
    <t>KZA 6</t>
  </si>
  <si>
    <t>KZA 7</t>
  </si>
  <si>
    <t>KZA 8</t>
  </si>
  <si>
    <t>Material Reductions</t>
  </si>
  <si>
    <t xml:space="preserve">Energy </t>
  </si>
  <si>
    <t xml:space="preserve">Pollution </t>
  </si>
  <si>
    <t>Social</t>
  </si>
  <si>
    <t xml:space="preserve">Job opportunity creation </t>
  </si>
  <si>
    <t>Economic impact on 
a sectoral level</t>
  </si>
  <si>
    <t>Potential import reduction
(new markets)</t>
  </si>
  <si>
    <t>CO-BENEFITS OVERVIEW</t>
  </si>
  <si>
    <t>COST BENEFIT OVERVIEW</t>
  </si>
  <si>
    <t>NON-ECONOMIC RESULTS</t>
  </si>
  <si>
    <t>very high</t>
  </si>
  <si>
    <t>high</t>
  </si>
  <si>
    <t>modarate</t>
  </si>
  <si>
    <t>low</t>
  </si>
  <si>
    <t>very low</t>
  </si>
  <si>
    <t>Ordinal Scaling</t>
  </si>
  <si>
    <t xml:space="preserve">Waste </t>
  </si>
  <si>
    <t>GHG</t>
  </si>
  <si>
    <t>Project ID</t>
  </si>
  <si>
    <t>Amount of C&amp;D waste  (ton)**</t>
  </si>
  <si>
    <t xml:space="preserve">Cost saving for construction/demolishing by recycling route against  landfilling*  </t>
  </si>
  <si>
    <t>Selling price</t>
  </si>
  <si>
    <t>Initial Investment (including assembling &amp;commissioning)*</t>
  </si>
  <si>
    <t>KZA 9</t>
  </si>
  <si>
    <t>KZA 10</t>
  </si>
  <si>
    <t>C&amp;D Waste Recycling Centers</t>
  </si>
  <si>
    <t>Estimation based on similar platforms developed in EU and USA (source: CDE RECO solutions, n.d.). This estimation is done base on a similar project in Stavanger , Norway with a recycling plant capacity of 330 tons per hour</t>
  </si>
  <si>
    <t xml:space="preserve">Replacement of natural aggregates with furnace slag in construct pavements </t>
  </si>
  <si>
    <t>The installation cost of the recycling systems includes an approximate investment for the facilities and infrastructure required. The cost-benefit assessment is done for a large city context; then, the costs are estimated to reflect the potentials for three construction active large cities of KZ (e.g., Almaty, Astana, and Shymkent).</t>
  </si>
  <si>
    <t>C&amp;D Waste Recycling Center</t>
  </si>
  <si>
    <t>Replacement of natural aggregates with furnace slag in construction pavements</t>
  </si>
  <si>
    <t>Development of Kazakh’s Circular Economy Certification System</t>
  </si>
  <si>
    <t>Development of the KZ Construction and Demolition Waste Management Protocol or framework which is in line with EU protocol</t>
  </si>
  <si>
    <t>Building waste auditing</t>
  </si>
  <si>
    <t>Integration of BIM into construction design, management, and C&amp;DW management</t>
  </si>
  <si>
    <t>National Industrial Symbiosis portal for stakeholders at all levels of the construction and demolition value chain</t>
  </si>
  <si>
    <t>Total Investment ($)</t>
  </si>
  <si>
    <t>Private investment
($)</t>
  </si>
  <si>
    <t xml:space="preserve">Public investment
($) </t>
  </si>
  <si>
    <t>Waste Reduction
(t)</t>
  </si>
  <si>
    <r>
      <t>GHG emission reduction
(ktCO</t>
    </r>
    <r>
      <rPr>
        <vertAlign val="subscript"/>
        <sz val="11"/>
        <color theme="1"/>
        <rFont val="Calibri"/>
        <family val="2"/>
        <scheme val="minor"/>
      </rPr>
      <t>2</t>
    </r>
    <r>
      <rPr>
        <sz val="11"/>
        <color theme="1"/>
        <rFont val="Calibri"/>
        <family val="2"/>
        <scheme val="minor"/>
      </rPr>
      <t>e)</t>
    </r>
  </si>
  <si>
    <t>Total reduction</t>
  </si>
  <si>
    <t>Tota Investment</t>
  </si>
  <si>
    <t>Total Construction Value Chain</t>
  </si>
  <si>
    <t>Material reduction</t>
  </si>
  <si>
    <t>Investment</t>
  </si>
  <si>
    <t>Initial investment</t>
  </si>
  <si>
    <t>Costs of technical assistance</t>
  </si>
  <si>
    <r>
      <t>Table 1.</t>
    </r>
    <r>
      <rPr>
        <sz val="11"/>
        <color rgb="FF000000"/>
        <rFont val="Calibri"/>
        <family val="2"/>
        <scheme val="minor"/>
      </rPr>
      <t xml:space="preserve"> Parameters considered to perform a cost-benefit analysis for C&amp;DW recycling centers</t>
    </r>
  </si>
  <si>
    <t>Technical assistance</t>
  </si>
  <si>
    <t>Number of centers</t>
  </si>
  <si>
    <t>Own elaborations</t>
  </si>
  <si>
    <t>Discussions:</t>
  </si>
  <si>
    <t>* Economic analysis (source: http://gypsumtogypsum.org/wp-content/uploads/2016/01/DA1_EXECUTIVE-SUMMARY.pdf) are constructed by comparing two routes given in figure 1 below. Route 1 (recycling service) saves 13.8 USD/ton.
Hipothesis: The waste sent to the centers correspond with 80% of waste generated (acocrding to BAU scenario)
8 PLANTS NEEDED TO RECYCLE 9 million ton of waste in KZA, 330 TON/HOUR, 75% efficiency, 220 working days/year</t>
  </si>
  <si>
    <t>Total project benefi</t>
  </si>
  <si>
    <t>Totals</t>
  </si>
  <si>
    <t xml:space="preserve">* Selling price for gravel and similar products is around 10 USD per ton (https://www.ceicdata.com/en/russia/construction-price-purchased-materials/average-purchasing-price-construction-materials-okpd2-gravel). This scenario assumes 95 % recovery based on current experience in the polygon and 25% annual increase in the total amount of waste collected.
**This amount is estimated based on BAU (current data obtained from Nur-Sultan landfill management (source: personal communication  during stakeholder engagement activities). 8.5 thousand tones of waste have received for the last three months (2021)), it makes around 35 thousand tones per year. 9 Mt of waste in all the country. Landfiling is not allowed in the new Env Code). 
80% of the waste generated will be sent to recycling centers. (EU stimates to recycle 80% of C&amp;DW- the hypothesis is done based on this objective) </t>
  </si>
  <si>
    <t>Cost-benefit analysis is a methodology used to evaluate the viability of a project. It involves identifying the activities required to implement the project by assessing  costs and benefits in monetary terms, and calculating net present value. The net present value considers the time value of money, with a discount rate used to determine the present value of future costs and benefits. The results are presented clearly to allow decision-makers to evaluate the project's viability. The initial cost-benefit analysis (CBA) is conducted with consideration given to the characteristics presented in Table 1.</t>
  </si>
  <si>
    <t>When computing the net present values of expenses and profits, it is crucial to establish a discount rate. This rate was taken from the World Bank. To calculate the net present value, it should be factored in the yearly expenses and profits of the project and updated financially utilizing discount rates. The formula for doing so is as follows:</t>
  </si>
  <si>
    <t>Where t represents the implementation period, Ct is the cash flow (expenses - profits) for the given period, r is the discount rate, and C0 is the net initial investment expenditures. The payback period is the number of years it takes to recover the project's initial investment. To determine the benefit-cost ratio, it is necessary to compare the net present expenses with the net present profits. A ratio greater than 1 indicates that the net present profits outweigh the costs and that the project is economically feasible. If the ratio is negative (&lt; 1), the costs are higher than the profits. In addition to that, a comprehensive assessment of the consequences of its measures on various aspects, such as social, environmental, and macroeconomic factors are conducted. The outcomes are then extrapolated to a national level to analyze their impact on the entire country. The evaluation process considers not only quantitative but also qualitative benefits such as reducing waste and pollution, decreasing greenhouse gas emissions, job creation, and enhancing competitiveness based on expert opinions.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</si>
</sst>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_(&quot;$&quot;* \(#,##0.00\);_(&quot;$&quot;* &quot;-&quot;??_);_(@_)"/>
    <numFmt numFmtId="164" formatCode="_-* #,##0.00\ &quot;€&quot;_-;\-* #,##0.00\ &quot;€&quot;_-;_-* &quot;-&quot;??\ &quot;€&quot;_-;_-@_-"/>
    <numFmt numFmtId="165" formatCode="_-* #,##0.00_-;\-* #,##0.00_-;_-* &quot;-&quot;??_-;_-@_-"/>
    <numFmt numFmtId="166" formatCode="_-* #,##0.00\ _€_-;\-* #,##0.00\ _€_-;_-* &quot;-&quot;??\ _€_-;_-@_-"/>
    <numFmt numFmtId="167" formatCode="&quot;$&quot;#,##0;[Red]\-&quot;$&quot;#,##0"/>
    <numFmt numFmtId="168" formatCode="&quot;$&quot;#,##0.00;[Red]\-&quot;$&quot;#,##0.00"/>
    <numFmt numFmtId="169" formatCode="_-&quot;$&quot;* #,##0.00_-;\-&quot;$&quot;* #,##0.00_-;_-&quot;$&quot;* &quot;-&quot;??_-;_-@_-"/>
    <numFmt numFmtId="170" formatCode="0\ &quot;kWh/urte&quot;"/>
    <numFmt numFmtId="171" formatCode="#,##0.0"/>
    <numFmt numFmtId="172" formatCode="0.0%"/>
    <numFmt numFmtId="173" formatCode="&quot;$&quot;#,##0.00"/>
    <numFmt numFmtId="174" formatCode="#,##0.000"/>
    <numFmt numFmtId="175" formatCode="_-&quot;$&quot;* #,##0_-;\-&quot;$&quot;* #,##0_-;_-&quot;$&quot;* &quot;-&quot;??_-;_-@_-"/>
    <numFmt numFmtId="176" formatCode="&quot;$&quot;#,##0"/>
    <numFmt numFmtId="177" formatCode="0.0"/>
    <numFmt numFmtId="178" formatCode="_(&quot;$&quot;* #,##0_);_(&quot;$&quot;* \(#,##0\);_(&quot;$&quot;* &quot;-&quot;??_);_(@_)"/>
    <numFmt numFmtId="179" formatCode="_-[$$-409]* #,##0.0_ ;_-[$$-409]* \-#,##0.0\ ;_-[$$-409]* &quot;-&quot;??_ ;_-@_ "/>
  </numFmts>
  <fonts count="64" x14ac:knownFonts="1">
    <font>
      <sz val="11"/>
      <color theme="1"/>
      <name val="Calibri"/>
      <family val="2"/>
      <scheme val="minor"/>
    </font>
    <font>
      <sz val="10"/>
      <color theme="1"/>
      <name val="Century Gothic"/>
      <family val="2"/>
    </font>
    <font>
      <b/>
      <sz val="10"/>
      <color theme="1"/>
      <name val="Century Gothic"/>
      <family val="2"/>
    </font>
    <font>
      <i/>
      <sz val="10"/>
      <color theme="1"/>
      <name val="Century Gothic"/>
      <family val="2"/>
    </font>
    <font>
      <u/>
      <sz val="11"/>
      <color theme="10"/>
      <name val="Calibri"/>
      <family val="2"/>
    </font>
    <font>
      <b/>
      <sz val="10"/>
      <color theme="0"/>
      <name val="Century Gothic"/>
      <family val="2"/>
    </font>
    <font>
      <sz val="10"/>
      <name val="Arial"/>
      <family val="2"/>
    </font>
    <font>
      <sz val="10"/>
      <name val="Century Gothic"/>
      <family val="2"/>
    </font>
    <font>
      <sz val="10"/>
      <color theme="0" tint="-0.499984740745262"/>
      <name val="Century Gothic"/>
      <family val="2"/>
    </font>
    <font>
      <b/>
      <sz val="10"/>
      <color theme="0" tint="-0.499984740745262"/>
      <name val="Century Gothic"/>
      <family val="2"/>
    </font>
    <font>
      <b/>
      <vertAlign val="superscript"/>
      <sz val="10"/>
      <color theme="0"/>
      <name val="Century Gothic"/>
      <family val="2"/>
    </font>
    <font>
      <sz val="11"/>
      <color theme="1"/>
      <name val="Century Gothic"/>
      <family val="2"/>
    </font>
    <font>
      <u/>
      <sz val="6"/>
      <color theme="10"/>
      <name val="Century Gothic"/>
      <family val="2"/>
    </font>
    <font>
      <sz val="6"/>
      <color theme="1"/>
      <name val="Century Gothic"/>
      <family val="2"/>
    </font>
    <font>
      <vertAlign val="superscript"/>
      <sz val="10"/>
      <color theme="1"/>
      <name val="Century Gothic"/>
      <family val="2"/>
    </font>
    <font>
      <sz val="11"/>
      <color theme="1"/>
      <name val="Calibri"/>
      <family val="2"/>
      <scheme val="minor"/>
    </font>
    <font>
      <b/>
      <sz val="10"/>
      <color theme="1" tint="0.34998626667073579"/>
      <name val="Century Gothic"/>
      <family val="2"/>
    </font>
    <font>
      <b/>
      <sz val="12"/>
      <color theme="1" tint="0.34998626667073579"/>
      <name val="Century Gothic"/>
      <family val="2"/>
    </font>
    <font>
      <b/>
      <sz val="12"/>
      <color theme="0" tint="-0.499984740745262"/>
      <name val="Century Gothic"/>
      <family val="2"/>
    </font>
    <font>
      <sz val="11"/>
      <color theme="0" tint="-0.499984740745262"/>
      <name val="Century Gothic"/>
      <family val="2"/>
    </font>
    <font>
      <sz val="6"/>
      <name val="Century Gothic"/>
      <family val="2"/>
    </font>
    <font>
      <sz val="10"/>
      <color rgb="FFFF0000"/>
      <name val="Century Gothic"/>
      <family val="2"/>
    </font>
    <font>
      <b/>
      <sz val="10"/>
      <color indexed="9"/>
      <name val="Century Gothic"/>
      <family val="2"/>
    </font>
    <font>
      <sz val="10"/>
      <color indexed="8"/>
      <name val="Century Gothic"/>
      <family val="2"/>
    </font>
    <font>
      <vertAlign val="superscript"/>
      <sz val="10"/>
      <color indexed="8"/>
      <name val="Century Gothic"/>
      <family val="2"/>
    </font>
    <font>
      <sz val="12"/>
      <color theme="1"/>
      <name val="Times New Roman"/>
      <family val="1"/>
    </font>
    <font>
      <sz val="10"/>
      <color theme="0"/>
      <name val="Century Gothic"/>
      <family val="2"/>
    </font>
    <font>
      <b/>
      <sz val="12"/>
      <name val="Century Gothic"/>
      <family val="2"/>
    </font>
    <font>
      <u/>
      <sz val="10.45"/>
      <color indexed="12"/>
      <name val="Arial"/>
      <family val="2"/>
    </font>
    <font>
      <sz val="10"/>
      <name val="Times New Roman"/>
      <family val="1"/>
    </font>
    <font>
      <u/>
      <sz val="11"/>
      <color theme="11"/>
      <name val="Calibri"/>
      <family val="2"/>
      <scheme val="minor"/>
    </font>
    <font>
      <sz val="11"/>
      <color theme="0"/>
      <name val="Calibri"/>
      <family val="2"/>
      <scheme val="minor"/>
    </font>
    <font>
      <sz val="18"/>
      <color theme="3"/>
      <name val="Cambria"/>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b/>
      <sz val="11"/>
      <color theme="0"/>
      <name val="Calibri"/>
      <family val="2"/>
      <scheme val="minor"/>
    </font>
    <font>
      <b/>
      <sz val="11"/>
      <color theme="1"/>
      <name val="Calibri"/>
      <family val="2"/>
      <scheme val="minor"/>
    </font>
    <font>
      <sz val="10"/>
      <color theme="1"/>
      <name val="Arial"/>
      <family val="2"/>
    </font>
    <font>
      <u/>
      <sz val="11"/>
      <color indexed="12"/>
      <name val="Calibri"/>
      <family val="2"/>
    </font>
    <font>
      <sz val="10"/>
      <color theme="9" tint="-0.499984740745262"/>
      <name val="Arial"/>
      <family val="2"/>
    </font>
    <font>
      <i/>
      <sz val="10"/>
      <color rgb="FFFF0000"/>
      <name val="Arial"/>
      <family val="2"/>
    </font>
    <font>
      <u/>
      <sz val="10"/>
      <color theme="11"/>
      <name val="Arial"/>
      <family val="2"/>
    </font>
    <font>
      <b/>
      <sz val="10"/>
      <color theme="0"/>
      <name val="Arial"/>
      <family val="2"/>
    </font>
    <font>
      <sz val="11"/>
      <color theme="1"/>
      <name val="Arial"/>
      <family val="2"/>
    </font>
    <font>
      <sz val="10"/>
      <color theme="9"/>
      <name val="Century Gothic"/>
      <family val="2"/>
    </font>
    <font>
      <b/>
      <sz val="24"/>
      <color theme="9"/>
      <name val="Century Gothic"/>
      <family val="2"/>
    </font>
    <font>
      <b/>
      <sz val="10"/>
      <color theme="9" tint="-0.249977111117893"/>
      <name val="Century Gothic"/>
      <family val="2"/>
    </font>
    <font>
      <sz val="8"/>
      <name val="Calibri"/>
      <family val="2"/>
      <scheme val="minor"/>
    </font>
    <font>
      <b/>
      <i/>
      <sz val="10"/>
      <color theme="0"/>
      <name val="Century Gothic"/>
      <family val="2"/>
    </font>
    <font>
      <b/>
      <sz val="12"/>
      <color theme="0"/>
      <name val="Century Gothic"/>
      <family val="2"/>
    </font>
    <font>
      <u/>
      <sz val="11"/>
      <color theme="10"/>
      <name val="Calibri"/>
      <family val="2"/>
      <scheme val="minor"/>
    </font>
    <font>
      <sz val="11"/>
      <color rgb="FF000000"/>
      <name val="Calibri"/>
      <family val="2"/>
      <scheme val="minor"/>
    </font>
    <font>
      <sz val="11"/>
      <color rgb="FF44546A"/>
      <name val="Calibri Light"/>
      <family val="2"/>
    </font>
    <font>
      <vertAlign val="subscript"/>
      <sz val="11"/>
      <color theme="1"/>
      <name val="Calibri"/>
      <family val="2"/>
      <scheme val="minor"/>
    </font>
    <font>
      <b/>
      <sz val="11"/>
      <color rgb="FF44546A"/>
      <name val="Calibri Light"/>
      <family val="2"/>
    </font>
    <font>
      <sz val="11"/>
      <color rgb="FF3F3F76"/>
      <name val="Calibri"/>
      <family val="2"/>
    </font>
    <font>
      <sz val="11"/>
      <color rgb="FF9C5700"/>
      <name val="Calibri"/>
      <family val="2"/>
    </font>
    <font>
      <b/>
      <sz val="11"/>
      <color theme="2" tint="-0.499984740745262"/>
      <name val="Calibri"/>
      <family val="2"/>
      <scheme val="minor"/>
    </font>
    <font>
      <b/>
      <sz val="11"/>
      <color rgb="FF000000"/>
      <name val="Calibri"/>
      <family val="2"/>
      <scheme val="minor"/>
    </font>
    <font>
      <b/>
      <sz val="20"/>
      <color theme="1"/>
      <name val="Calibri"/>
      <family val="2"/>
      <scheme val="minor"/>
    </font>
    <font>
      <sz val="18"/>
      <color theme="1"/>
      <name val="Calibri"/>
      <family val="2"/>
      <scheme val="minor"/>
    </font>
    <font>
      <b/>
      <sz val="18"/>
      <color theme="1"/>
      <name val="Calibri Light"/>
      <family val="2"/>
    </font>
    <font>
      <b/>
      <sz val="16"/>
      <color theme="1"/>
      <name val="Calibri"/>
      <family val="2"/>
      <scheme val="minor"/>
    </font>
  </fonts>
  <fills count="5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indexed="9"/>
        <bgColor indexed="64"/>
      </patternFill>
    </fill>
    <fill>
      <patternFill patternType="solid">
        <fgColor rgb="FFFFFF00"/>
        <bgColor indexed="64"/>
      </patternFill>
    </fill>
    <fill>
      <patternFill patternType="solid">
        <fgColor rgb="FF1E3B5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99FF"/>
        <bgColor indexed="64"/>
      </patternFill>
    </fill>
    <fill>
      <patternFill patternType="solid">
        <fgColor theme="7" tint="0.39997558519241921"/>
        <bgColor rgb="FF000000"/>
      </patternFill>
    </fill>
    <fill>
      <patternFill patternType="solid">
        <fgColor rgb="FFFFFF99"/>
        <bgColor indexed="64"/>
      </patternFill>
    </fill>
    <fill>
      <patternFill patternType="solid">
        <fgColor rgb="FFFFFF99"/>
        <bgColor rgb="FF000000"/>
      </patternFill>
    </fill>
    <fill>
      <patternFill patternType="solid">
        <fgColor rgb="FF92D050"/>
        <bgColor indexed="64"/>
      </patternFill>
    </fill>
    <fill>
      <patternFill patternType="solid">
        <fgColor rgb="FF002060"/>
        <bgColor indexed="64"/>
      </patternFill>
    </fill>
    <fill>
      <patternFill patternType="solid">
        <fgColor theme="4" tint="0.79998168889431442"/>
        <bgColor rgb="FF000000"/>
      </patternFill>
    </fill>
    <fill>
      <patternFill patternType="solid">
        <fgColor rgb="FFFF0000"/>
        <bgColor indexed="64"/>
      </patternFill>
    </fill>
    <fill>
      <patternFill patternType="solid">
        <fgColor theme="9" tint="0.79998168889431442"/>
        <bgColor indexed="64"/>
      </patternFill>
    </fill>
    <fill>
      <patternFill patternType="solid">
        <fgColor theme="3" tint="-0.499984740745262"/>
        <bgColor indexed="64"/>
      </patternFill>
    </fill>
    <fill>
      <patternFill patternType="solid">
        <fgColor rgb="FFFFCC99"/>
      </patternFill>
    </fill>
    <fill>
      <patternFill patternType="solid">
        <fgColor theme="2" tint="-9.9978637043366805E-2"/>
        <bgColor indexed="64"/>
      </patternFill>
    </fill>
    <fill>
      <patternFill patternType="solid">
        <fgColor theme="2"/>
        <bgColor indexed="64"/>
      </patternFill>
    </fill>
  </fills>
  <borders count="120">
    <border>
      <left/>
      <right/>
      <top/>
      <bottom/>
      <diagonal/>
    </border>
    <border>
      <left style="thin">
        <color theme="8"/>
      </left>
      <right/>
      <top style="thin">
        <color theme="8"/>
      </top>
      <bottom style="thin">
        <color theme="8"/>
      </bottom>
      <diagonal/>
    </border>
    <border>
      <left/>
      <right style="thin">
        <color theme="8"/>
      </right>
      <top style="thin">
        <color theme="8"/>
      </top>
      <bottom style="thin">
        <color theme="8"/>
      </bottom>
      <diagonal/>
    </border>
    <border>
      <left/>
      <right/>
      <top style="thin">
        <color theme="8"/>
      </top>
      <bottom style="thin">
        <color theme="8"/>
      </bottom>
      <diagonal/>
    </border>
    <border>
      <left style="medium">
        <color theme="6" tint="-0.249977111117893"/>
      </left>
      <right/>
      <top/>
      <bottom/>
      <diagonal/>
    </border>
    <border>
      <left/>
      <right/>
      <top/>
      <bottom style="thin">
        <color theme="6" tint="0.79998168889431442"/>
      </bottom>
      <diagonal/>
    </border>
    <border>
      <left/>
      <right/>
      <top/>
      <bottom style="thin">
        <color theme="6"/>
      </bottom>
      <diagonal/>
    </border>
    <border>
      <left/>
      <right style="thin">
        <color theme="6" tint="0.79998168889431442"/>
      </right>
      <top/>
      <bottom style="thin">
        <color theme="6" tint="0.79998168889431442"/>
      </bottom>
      <diagonal/>
    </border>
    <border>
      <left style="thin">
        <color theme="6"/>
      </left>
      <right/>
      <top style="thin">
        <color theme="6"/>
      </top>
      <bottom/>
      <diagonal/>
    </border>
    <border>
      <left/>
      <right style="thin">
        <color theme="6" tint="0.79998168889431442"/>
      </right>
      <top style="thin">
        <color theme="6"/>
      </top>
      <bottom/>
      <diagonal/>
    </border>
    <border>
      <left/>
      <right style="thin">
        <color theme="6"/>
      </right>
      <top style="thin">
        <color theme="6"/>
      </top>
      <bottom/>
      <diagonal/>
    </border>
    <border>
      <left style="thin">
        <color theme="6"/>
      </left>
      <right/>
      <top/>
      <bottom style="thin">
        <color theme="6"/>
      </bottom>
      <diagonal/>
    </border>
    <border>
      <left/>
      <right style="thin">
        <color theme="6"/>
      </right>
      <top/>
      <bottom style="thin">
        <color theme="6"/>
      </bottom>
      <diagonal/>
    </border>
    <border>
      <left/>
      <right style="thin">
        <color theme="0" tint="-0.34998626667073579"/>
      </right>
      <top/>
      <bottom/>
      <diagonal/>
    </border>
    <border>
      <left/>
      <right/>
      <top style="thin">
        <color theme="0"/>
      </top>
      <bottom style="thin">
        <color theme="0"/>
      </bottom>
      <diagonal/>
    </border>
    <border>
      <left/>
      <right/>
      <top style="thin">
        <color theme="6" tint="0.79998168889431442"/>
      </top>
      <bottom style="thin">
        <color theme="6" tint="0.79998168889431442"/>
      </bottom>
      <diagonal/>
    </border>
    <border>
      <left/>
      <right style="thin">
        <color theme="6" tint="0.79998168889431442"/>
      </right>
      <top style="thin">
        <color theme="6" tint="0.79998168889431442"/>
      </top>
      <bottom style="thin">
        <color theme="6" tint="0.79998168889431442"/>
      </bottom>
      <diagonal/>
    </border>
    <border>
      <left/>
      <right style="thin">
        <color theme="0"/>
      </right>
      <top style="thin">
        <color theme="0"/>
      </top>
      <bottom style="thin">
        <color theme="0"/>
      </bottom>
      <diagonal/>
    </border>
    <border>
      <left/>
      <right style="thin">
        <color theme="0"/>
      </right>
      <top/>
      <bottom/>
      <diagonal/>
    </border>
    <border>
      <left/>
      <right style="thin">
        <color theme="6" tint="0.79998168889431442"/>
      </right>
      <top/>
      <bottom/>
      <diagonal/>
    </border>
    <border>
      <left style="thin">
        <color theme="0"/>
      </left>
      <right/>
      <top style="thin">
        <color theme="0"/>
      </top>
      <bottom style="thin">
        <color theme="0"/>
      </bottom>
      <diagonal/>
    </border>
    <border>
      <left style="thin">
        <color theme="6" tint="0.79998168889431442"/>
      </left>
      <right/>
      <top style="thin">
        <color theme="6" tint="0.79998168889431442"/>
      </top>
      <bottom style="thin">
        <color theme="6" tint="0.79998168889431442"/>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style="thin">
        <color theme="6" tint="0.79998168889431442"/>
      </left>
      <right/>
      <top style="thin">
        <color theme="6" tint="0.79998168889431442"/>
      </top>
      <bottom/>
      <diagonal/>
    </border>
    <border>
      <left/>
      <right style="thin">
        <color theme="6" tint="0.79998168889431442"/>
      </right>
      <top style="thin">
        <color theme="6" tint="0.79998168889431442"/>
      </top>
      <bottom/>
      <diagonal/>
    </border>
    <border>
      <left/>
      <right/>
      <top style="thin">
        <color theme="6" tint="0.79998168889431442"/>
      </top>
      <bottom/>
      <diagonal/>
    </border>
    <border>
      <left style="thin">
        <color theme="6" tint="0.79998168889431442"/>
      </left>
      <right/>
      <top style="thin">
        <color theme="6" tint="0.79995117038483843"/>
      </top>
      <bottom style="thin">
        <color theme="6" tint="0.79998168889431442"/>
      </bottom>
      <diagonal/>
    </border>
    <border>
      <left/>
      <right style="thin">
        <color theme="6" tint="0.79998168889431442"/>
      </right>
      <top style="thin">
        <color theme="6" tint="0.79995117038483843"/>
      </top>
      <bottom style="thin">
        <color theme="6" tint="0.79998168889431442"/>
      </bottom>
      <diagonal/>
    </border>
    <border>
      <left/>
      <right/>
      <top style="thin">
        <color theme="6" tint="0.79995117038483843"/>
      </top>
      <bottom style="thin">
        <color theme="6" tint="0.79998168889431442"/>
      </bottom>
      <diagonal/>
    </border>
    <border>
      <left style="thin">
        <color theme="0"/>
      </left>
      <right/>
      <top style="thin">
        <color theme="0"/>
      </top>
      <bottom/>
      <diagonal/>
    </border>
    <border>
      <left/>
      <right/>
      <top/>
      <bottom style="thin">
        <color theme="0" tint="-4.9989318521683403E-2"/>
      </bottom>
      <diagonal/>
    </border>
    <border>
      <left/>
      <right style="thin">
        <color theme="0" tint="-4.9989318521683403E-2"/>
      </right>
      <top/>
      <bottom style="thin">
        <color theme="0" tint="-4.9989318521683403E-2"/>
      </bottom>
      <diagonal/>
    </border>
    <border>
      <left/>
      <right style="medium">
        <color theme="6" tint="-0.249977111117893"/>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4.9989318521683403E-2"/>
      </right>
      <top style="thin">
        <color theme="0" tint="-4.9989318521683403E-2"/>
      </top>
      <bottom/>
      <diagonal/>
    </border>
    <border>
      <left/>
      <right style="thin">
        <color theme="0" tint="-4.9989318521683403E-2"/>
      </right>
      <top/>
      <bottom/>
      <diagonal/>
    </border>
    <border>
      <left style="thin">
        <color theme="6" tint="0.7999816888943144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right style="thin">
        <color theme="6" tint="0.79998168889431442"/>
      </right>
      <top style="thin">
        <color theme="0" tint="-4.9989318521683403E-2"/>
      </top>
      <bottom style="thin">
        <color theme="0" tint="-4.9989318521683403E-2"/>
      </bottom>
      <diagonal/>
    </border>
    <border>
      <left/>
      <right/>
      <top style="thin">
        <color theme="6" tint="0.79998168889431442"/>
      </top>
      <bottom style="thin">
        <color theme="0" tint="-4.9989318521683403E-2"/>
      </bottom>
      <diagonal/>
    </border>
    <border>
      <left/>
      <right style="thin">
        <color theme="6" tint="0.79998168889431442"/>
      </right>
      <top style="thin">
        <color theme="6" tint="0.7999816888943144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style="thin">
        <color theme="0" tint="-4.9989318521683403E-2"/>
      </right>
      <top/>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thin">
        <color theme="0" tint="-4.9989318521683403E-2"/>
      </left>
      <right/>
      <top/>
      <bottom style="thin">
        <color theme="0" tint="-4.9989318521683403E-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top style="thin">
        <color theme="0" tint="-4.9989318521683403E-2"/>
      </top>
      <bottom style="thin">
        <color theme="0"/>
      </bottom>
      <diagonal/>
    </border>
    <border>
      <left/>
      <right style="thin">
        <color theme="0"/>
      </right>
      <top style="thin">
        <color theme="0" tint="-4.9989318521683403E-2"/>
      </top>
      <bottom style="thin">
        <color theme="0"/>
      </bottom>
      <diagonal/>
    </border>
    <border>
      <left style="thin">
        <color theme="0" tint="-0.499984740745262"/>
      </left>
      <right/>
      <top style="thin">
        <color theme="0" tint="-0.499984740745262"/>
      </top>
      <bottom/>
      <diagonal/>
    </border>
    <border>
      <left/>
      <right style="thin">
        <color theme="6" tint="0.79998168889431442"/>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4.9989318521683403E-2"/>
      </left>
      <right style="thin">
        <color theme="6" tint="0.79998168889431442"/>
      </right>
      <top style="thin">
        <color theme="0" tint="-4.9989318521683403E-2"/>
      </top>
      <bottom/>
      <diagonal/>
    </border>
    <border>
      <left style="thin">
        <color theme="0" tint="-4.9989318521683403E-2"/>
      </left>
      <right/>
      <top/>
      <bottom/>
      <diagonal/>
    </border>
    <border>
      <left style="thin">
        <color theme="0" tint="-4.9989318521683403E-2"/>
      </left>
      <right/>
      <top style="thin">
        <color theme="0" tint="-4.9989318521683403E-2"/>
      </top>
      <bottom style="thin">
        <color theme="6" tint="0.79998168889431442"/>
      </bottom>
      <diagonal/>
    </border>
    <border>
      <left/>
      <right style="thin">
        <color theme="6" tint="0.79998168889431442"/>
      </right>
      <top style="thin">
        <color theme="0" tint="-4.9989318521683403E-2"/>
      </top>
      <bottom style="thin">
        <color theme="6" tint="0.79998168889431442"/>
      </bottom>
      <diagonal/>
    </border>
    <border>
      <left style="thin">
        <color theme="0" tint="-4.9989318521683403E-2"/>
      </left>
      <right/>
      <top style="thin">
        <color theme="6" tint="0.79998168889431442"/>
      </top>
      <bottom style="thin">
        <color theme="6" tint="0.79998168889431442"/>
      </bottom>
      <diagonal/>
    </border>
    <border>
      <left style="medium">
        <color theme="6" tint="-0.249977111117893"/>
      </left>
      <right/>
      <top style="medium">
        <color theme="6" tint="-0.249977111117893"/>
      </top>
      <bottom/>
      <diagonal/>
    </border>
    <border>
      <left/>
      <right style="medium">
        <color theme="6" tint="-0.249977111117893"/>
      </right>
      <top style="medium">
        <color theme="6" tint="-0.249977111117893"/>
      </top>
      <bottom/>
      <diagonal/>
    </border>
    <border>
      <left style="medium">
        <color theme="6" tint="-0.249977111117893"/>
      </left>
      <right/>
      <top/>
      <bottom style="medium">
        <color theme="6" tint="-0.249977111117893"/>
      </bottom>
      <diagonal/>
    </border>
    <border>
      <left/>
      <right style="medium">
        <color theme="6" tint="-0.249977111117893"/>
      </right>
      <top/>
      <bottom style="medium">
        <color theme="6" tint="-0.249977111117893"/>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rgb="FFBFBFBF"/>
      </left>
      <right style="thin">
        <color rgb="FFBFBFBF"/>
      </right>
      <top style="thin">
        <color rgb="FFBFBFBF"/>
      </top>
      <bottom style="thin">
        <color rgb="FFBFBFB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style="medium">
        <color indexed="64"/>
      </right>
      <top/>
      <bottom/>
      <diagonal/>
    </border>
    <border>
      <left style="medium">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indexed="64"/>
      </top>
      <bottom/>
      <diagonal/>
    </border>
    <border>
      <left style="thin">
        <color theme="0"/>
      </left>
      <right/>
      <top style="thin">
        <color indexed="64"/>
      </top>
      <bottom/>
      <diagonal/>
    </border>
    <border>
      <left/>
      <right style="thin">
        <color theme="0"/>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2">
    <xf numFmtId="0" fontId="0" fillId="0" borderId="0"/>
    <xf numFmtId="0" fontId="4" fillId="0" borderId="0" applyNumberFormat="0" applyFill="0" applyBorder="0" applyAlignment="0" applyProtection="0">
      <alignment vertical="top"/>
      <protection locked="0"/>
    </xf>
    <xf numFmtId="0" fontId="6" fillId="0" borderId="0"/>
    <xf numFmtId="170" fontId="6" fillId="0" borderId="0" applyFont="0" applyFill="0" applyBorder="0" applyAlignment="0" applyProtection="0"/>
    <xf numFmtId="9" fontId="15" fillId="0" borderId="0" applyFont="0" applyFill="0" applyBorder="0" applyAlignment="0" applyProtection="0"/>
    <xf numFmtId="166" fontId="15"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28" fillId="0" borderId="0" applyNumberFormat="0" applyFill="0" applyBorder="0" applyAlignment="0" applyProtection="0">
      <alignment vertical="top"/>
      <protection locked="0"/>
    </xf>
    <xf numFmtId="0" fontId="6" fillId="0" borderId="0"/>
    <xf numFmtId="0" fontId="6" fillId="0" borderId="0"/>
    <xf numFmtId="9" fontId="6" fillId="0" borderId="0" applyFont="0" applyFill="0" applyBorder="0" applyAlignment="0" applyProtection="0"/>
    <xf numFmtId="0" fontId="29" fillId="0" borderId="0"/>
    <xf numFmtId="0" fontId="30" fillId="0" borderId="0" applyNumberFormat="0" applyFill="0" applyBorder="0" applyAlignment="0" applyProtection="0"/>
    <xf numFmtId="0" fontId="32" fillId="0" borderId="0" applyNumberFormat="0" applyFill="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5" fillId="13" borderId="0" applyNumberFormat="0" applyBorder="0" applyAlignment="0" applyProtection="0"/>
    <xf numFmtId="0" fontId="36" fillId="14" borderId="69" applyNumberFormat="0" applyAlignment="0" applyProtection="0"/>
    <xf numFmtId="0" fontId="31"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31"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31"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31" fillId="28"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31" fillId="32" borderId="0" applyNumberFormat="0" applyBorder="0" applyAlignment="0" applyProtection="0"/>
    <xf numFmtId="0" fontId="15" fillId="33"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31" fillId="36" borderId="0" applyNumberFormat="0" applyBorder="0" applyAlignment="0" applyProtection="0"/>
    <xf numFmtId="0" fontId="15"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38" fillId="0" borderId="0"/>
    <xf numFmtId="0" fontId="6" fillId="40" borderId="50" applyNumberFormat="0" applyAlignment="0" applyProtection="0"/>
    <xf numFmtId="0" fontId="40" fillId="41" borderId="83" applyNumberFormat="0" applyProtection="0">
      <alignment vertical="center"/>
    </xf>
    <xf numFmtId="165" fontId="38" fillId="0" borderId="0" applyFont="0" applyFill="0" applyBorder="0" applyAlignment="0" applyProtection="0"/>
    <xf numFmtId="165" fontId="38" fillId="0" borderId="0" applyFon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39" fillId="0" borderId="0" applyNumberFormat="0" applyFill="0" applyBorder="0" applyAlignment="0" applyProtection="0">
      <alignment vertical="top"/>
      <protection locked="0"/>
    </xf>
    <xf numFmtId="0" fontId="6" fillId="42" borderId="68" applyNumberFormat="0" applyBorder="0" applyAlignment="0" applyProtection="0"/>
    <xf numFmtId="0" fontId="6" fillId="43" borderId="0">
      <alignment vertical="center"/>
    </xf>
    <xf numFmtId="0" fontId="6" fillId="44" borderId="84" applyNumberFormat="0" applyAlignment="0" applyProtection="0"/>
    <xf numFmtId="0" fontId="38" fillId="15" borderId="70" applyNumberFormat="0" applyFont="0" applyAlignment="0" applyProtection="0"/>
    <xf numFmtId="0" fontId="43" fillId="45" borderId="85" applyNumberFormat="0" applyAlignment="0" applyProtection="0"/>
    <xf numFmtId="9" fontId="44" fillId="0" borderId="0" applyFont="0" applyFill="0" applyBorder="0" applyAlignment="0" applyProtection="0"/>
    <xf numFmtId="0" fontId="6" fillId="46" borderId="86" applyNumberFormat="0" applyProtection="0">
      <alignment vertical="center"/>
    </xf>
    <xf numFmtId="0" fontId="43" fillId="47" borderId="0" applyNumberFormat="0" applyBorder="0" applyAlignment="0" applyProtection="0"/>
    <xf numFmtId="0" fontId="51" fillId="0" borderId="0" applyNumberFormat="0" applyFill="0" applyBorder="0" applyAlignment="0" applyProtection="0"/>
    <xf numFmtId="0" fontId="56" fillId="50" borderId="68" applyNumberFormat="0" applyAlignment="0" applyProtection="0"/>
    <xf numFmtId="0" fontId="57" fillId="13" borderId="0" applyNumberFormat="0" applyBorder="0" applyAlignment="0" applyProtection="0"/>
  </cellStyleXfs>
  <cellXfs count="464">
    <xf numFmtId="0" fontId="0" fillId="0" borderId="0" xfId="0"/>
    <xf numFmtId="0" fontId="1" fillId="0" borderId="0" xfId="0" applyFont="1" applyAlignment="1">
      <alignment vertical="center"/>
    </xf>
    <xf numFmtId="0" fontId="11" fillId="0" borderId="0" xfId="0" applyFont="1" applyAlignment="1">
      <alignment vertical="center"/>
    </xf>
    <xf numFmtId="0" fontId="1" fillId="0" borderId="0" xfId="0" applyFont="1" applyBorder="1" applyAlignment="1">
      <alignment vertical="center"/>
    </xf>
    <xf numFmtId="169" fontId="2" fillId="2" borderId="0" xfId="0" applyNumberFormat="1" applyFont="1" applyFill="1" applyBorder="1" applyAlignment="1">
      <alignment horizontal="center" vertical="center"/>
    </xf>
    <xf numFmtId="169" fontId="1" fillId="0" borderId="0" xfId="0" applyNumberFormat="1" applyFont="1" applyAlignment="1">
      <alignment vertical="center"/>
    </xf>
    <xf numFmtId="169" fontId="2" fillId="2" borderId="19" xfId="0" applyNumberFormat="1" applyFont="1" applyFill="1" applyBorder="1" applyAlignment="1">
      <alignment horizontal="center" vertical="center"/>
    </xf>
    <xf numFmtId="169" fontId="1" fillId="2" borderId="30" xfId="0" applyNumberFormat="1" applyFont="1" applyFill="1" applyBorder="1" applyAlignment="1">
      <alignment horizontal="center" vertical="center"/>
    </xf>
    <xf numFmtId="169" fontId="1" fillId="2" borderId="29" xfId="0" applyNumberFormat="1" applyFont="1" applyFill="1" applyBorder="1" applyAlignment="1">
      <alignment horizontal="center" vertical="center"/>
    </xf>
    <xf numFmtId="169" fontId="1" fillId="2" borderId="28" xfId="0" applyNumberFormat="1" applyFont="1" applyFill="1" applyBorder="1" applyAlignment="1">
      <alignment horizontal="center" vertical="center"/>
    </xf>
    <xf numFmtId="3" fontId="1" fillId="0" borderId="0" xfId="0" applyNumberFormat="1" applyFont="1" applyAlignment="1">
      <alignment horizontal="center" vertical="center"/>
    </xf>
    <xf numFmtId="2" fontId="1" fillId="0" borderId="0" xfId="0" applyNumberFormat="1" applyFont="1" applyAlignment="1">
      <alignment horizontal="center" vertical="center"/>
    </xf>
    <xf numFmtId="0" fontId="2" fillId="0" borderId="0" xfId="0" applyFont="1" applyAlignment="1">
      <alignment vertical="center"/>
    </xf>
    <xf numFmtId="0" fontId="1" fillId="0" borderId="0" xfId="0" applyFont="1" applyAlignment="1">
      <alignment horizontal="center" vertical="center"/>
    </xf>
    <xf numFmtId="0" fontId="3" fillId="2" borderId="0" xfId="0" applyFont="1" applyFill="1" applyBorder="1" applyAlignment="1">
      <alignment horizontal="center" vertical="center"/>
    </xf>
    <xf numFmtId="0" fontId="5" fillId="4" borderId="0" xfId="0" applyFont="1" applyFill="1" applyAlignment="1">
      <alignment horizontal="center" vertical="center"/>
    </xf>
    <xf numFmtId="0" fontId="5" fillId="4" borderId="0" xfId="0" applyFont="1" applyFill="1" applyBorder="1" applyAlignment="1">
      <alignment horizontal="center" vertical="center"/>
    </xf>
    <xf numFmtId="0" fontId="1" fillId="3" borderId="0" xfId="0" applyFont="1" applyFill="1" applyAlignment="1">
      <alignment horizontal="center" vertical="center"/>
    </xf>
    <xf numFmtId="169" fontId="1" fillId="3" borderId="14" xfId="0" applyNumberFormat="1" applyFont="1" applyFill="1" applyBorder="1" applyAlignment="1">
      <alignment horizontal="center" vertical="center"/>
    </xf>
    <xf numFmtId="169" fontId="2" fillId="3" borderId="24" xfId="0" applyNumberFormat="1" applyFont="1" applyFill="1" applyBorder="1" applyAlignment="1">
      <alignment horizontal="center" vertical="center"/>
    </xf>
    <xf numFmtId="169" fontId="2" fillId="3" borderId="0" xfId="0" applyNumberFormat="1" applyFont="1" applyFill="1" applyBorder="1" applyAlignment="1">
      <alignment horizontal="center" vertical="center"/>
    </xf>
    <xf numFmtId="169" fontId="2" fillId="6" borderId="0" xfId="0" applyNumberFormat="1" applyFont="1" applyFill="1" applyAlignment="1">
      <alignment horizontal="center" vertical="center"/>
    </xf>
    <xf numFmtId="169" fontId="1" fillId="2" borderId="39" xfId="0" applyNumberFormat="1" applyFont="1" applyFill="1" applyBorder="1" applyAlignment="1">
      <alignment horizontal="center" vertical="center"/>
    </xf>
    <xf numFmtId="169" fontId="1" fillId="2" borderId="40" xfId="0" applyNumberFormat="1" applyFont="1" applyFill="1" applyBorder="1" applyAlignment="1">
      <alignment horizontal="center" vertical="center"/>
    </xf>
    <xf numFmtId="169" fontId="1" fillId="2" borderId="41" xfId="0" applyNumberFormat="1" applyFont="1" applyFill="1" applyBorder="1" applyAlignment="1">
      <alignment horizontal="center" vertical="center"/>
    </xf>
    <xf numFmtId="0" fontId="1" fillId="0" borderId="38" xfId="0" applyFont="1" applyBorder="1" applyAlignment="1">
      <alignment vertical="center"/>
    </xf>
    <xf numFmtId="169" fontId="2" fillId="2" borderId="32" xfId="0" applyNumberFormat="1" applyFont="1" applyFill="1" applyBorder="1" applyAlignment="1">
      <alignment horizontal="center" vertical="center"/>
    </xf>
    <xf numFmtId="169" fontId="2" fillId="2" borderId="33" xfId="0" applyNumberFormat="1" applyFont="1" applyFill="1" applyBorder="1" applyAlignment="1">
      <alignment horizontal="center" vertical="center"/>
    </xf>
    <xf numFmtId="3" fontId="1" fillId="3" borderId="0" xfId="0" applyNumberFormat="1" applyFont="1" applyFill="1" applyAlignment="1">
      <alignment horizontal="center" vertical="center"/>
    </xf>
    <xf numFmtId="169" fontId="1" fillId="2" borderId="42" xfId="0" applyNumberFormat="1" applyFont="1" applyFill="1" applyBorder="1" applyAlignment="1">
      <alignment horizontal="center" vertical="center"/>
    </xf>
    <xf numFmtId="0" fontId="8" fillId="0" borderId="0" xfId="0" applyFont="1" applyAlignment="1">
      <alignment vertical="center"/>
    </xf>
    <xf numFmtId="0" fontId="19" fillId="0" borderId="0" xfId="0" applyFont="1" applyAlignment="1">
      <alignment vertical="center"/>
    </xf>
    <xf numFmtId="0" fontId="8" fillId="0" borderId="0" xfId="0" applyFont="1" applyBorder="1" applyAlignment="1">
      <alignment vertical="center"/>
    </xf>
    <xf numFmtId="0" fontId="1" fillId="2" borderId="0" xfId="0" applyFont="1" applyFill="1" applyBorder="1" applyAlignment="1">
      <alignment vertical="center"/>
    </xf>
    <xf numFmtId="0" fontId="1" fillId="2" borderId="0" xfId="0" applyFont="1" applyFill="1" applyAlignment="1">
      <alignment vertical="center"/>
    </xf>
    <xf numFmtId="0" fontId="1" fillId="0" borderId="0" xfId="0" applyFont="1" applyAlignment="1">
      <alignment vertical="center" wrapText="1"/>
    </xf>
    <xf numFmtId="0" fontId="1" fillId="0" borderId="0" xfId="0" applyFont="1" applyAlignment="1">
      <alignment horizontal="center" vertical="center"/>
    </xf>
    <xf numFmtId="3" fontId="1" fillId="2" borderId="0" xfId="0" applyNumberFormat="1" applyFont="1" applyFill="1" applyAlignment="1">
      <alignment horizontal="center" vertical="center"/>
    </xf>
    <xf numFmtId="0" fontId="23" fillId="0" borderId="0" xfId="0" applyFont="1" applyAlignment="1">
      <alignment horizontal="center" vertical="center"/>
    </xf>
    <xf numFmtId="3" fontId="23" fillId="0" borderId="0" xfId="0" applyNumberFormat="1" applyFont="1" applyAlignment="1">
      <alignment horizontal="center" vertical="center"/>
    </xf>
    <xf numFmtId="0" fontId="23" fillId="8" borderId="0" xfId="0" applyFont="1" applyFill="1" applyAlignment="1">
      <alignment horizontal="center" vertical="center"/>
    </xf>
    <xf numFmtId="174" fontId="23" fillId="0" borderId="0" xfId="0" applyNumberFormat="1" applyFont="1" applyAlignment="1">
      <alignment horizontal="center" vertical="center"/>
    </xf>
    <xf numFmtId="0" fontId="25" fillId="0" borderId="0" xfId="0" applyFont="1"/>
    <xf numFmtId="0" fontId="2" fillId="0" borderId="0" xfId="0" applyFont="1" applyBorder="1" applyAlignment="1">
      <alignment vertical="center"/>
    </xf>
    <xf numFmtId="0" fontId="23" fillId="0" borderId="0" xfId="0" applyFont="1" applyAlignment="1">
      <alignment horizontal="center" vertical="center"/>
    </xf>
    <xf numFmtId="0" fontId="5" fillId="4" borderId="0" xfId="0" applyFont="1" applyFill="1" applyAlignment="1">
      <alignment horizontal="center" vertical="center"/>
    </xf>
    <xf numFmtId="0" fontId="11" fillId="2" borderId="0" xfId="0" applyFont="1" applyFill="1" applyBorder="1" applyAlignment="1">
      <alignment vertical="center"/>
    </xf>
    <xf numFmtId="173" fontId="1" fillId="2" borderId="0" xfId="0" applyNumberFormat="1" applyFont="1" applyFill="1" applyAlignment="1">
      <alignment horizontal="center" vertical="center"/>
    </xf>
    <xf numFmtId="2" fontId="26" fillId="0" borderId="0" xfId="0" applyNumberFormat="1" applyFont="1" applyAlignment="1">
      <alignment horizontal="center" vertical="center"/>
    </xf>
    <xf numFmtId="2" fontId="1" fillId="3" borderId="0" xfId="0" applyNumberFormat="1" applyFont="1" applyFill="1"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5" fillId="4" borderId="0" xfId="0" applyFont="1" applyFill="1" applyAlignment="1">
      <alignment horizontal="center" vertical="center"/>
    </xf>
    <xf numFmtId="0" fontId="5" fillId="4" borderId="0" xfId="0" applyFont="1" applyFill="1" applyBorder="1" applyAlignment="1">
      <alignment horizontal="center" vertical="center"/>
    </xf>
    <xf numFmtId="0" fontId="1" fillId="3" borderId="0" xfId="0" applyFont="1" applyFill="1" applyAlignment="1">
      <alignment horizontal="center" vertical="center"/>
    </xf>
    <xf numFmtId="0" fontId="5" fillId="4" borderId="32" xfId="0" applyFont="1" applyFill="1" applyBorder="1" applyAlignment="1">
      <alignment horizontal="center" vertical="center"/>
    </xf>
    <xf numFmtId="0" fontId="5" fillId="4" borderId="0" xfId="0" applyFont="1" applyFill="1" applyAlignment="1">
      <alignment horizontal="center" vertical="center" wrapText="1"/>
    </xf>
    <xf numFmtId="0" fontId="1" fillId="3" borderId="0" xfId="0" applyFont="1" applyFill="1" applyAlignment="1">
      <alignment horizontal="center" vertical="center" wrapText="1"/>
    </xf>
    <xf numFmtId="0" fontId="1" fillId="2" borderId="0" xfId="0" applyFont="1" applyFill="1"/>
    <xf numFmtId="0" fontId="27" fillId="2" borderId="0" xfId="0" applyFont="1" applyFill="1" applyAlignment="1">
      <alignment horizontal="center" vertical="center" wrapText="1"/>
    </xf>
    <xf numFmtId="3" fontId="1" fillId="0" borderId="0" xfId="0" applyNumberFormat="1" applyFont="1" applyAlignment="1">
      <alignment horizontal="center" vertical="center" wrapText="1"/>
    </xf>
    <xf numFmtId="3" fontId="1" fillId="3" borderId="0" xfId="0" applyNumberFormat="1" applyFont="1" applyFill="1" applyAlignment="1">
      <alignment horizontal="center" vertical="center" wrapText="1"/>
    </xf>
    <xf numFmtId="0" fontId="5" fillId="4" borderId="32" xfId="0" applyFont="1" applyFill="1" applyBorder="1" applyAlignment="1">
      <alignment horizontal="center" vertical="center" wrapText="1"/>
    </xf>
    <xf numFmtId="169" fontId="2" fillId="2" borderId="0" xfId="0" applyNumberFormat="1" applyFont="1" applyFill="1" applyBorder="1" applyAlignment="1">
      <alignment horizontal="center" vertical="center" wrapText="1"/>
    </xf>
    <xf numFmtId="169" fontId="2" fillId="6" borderId="0" xfId="0" applyNumberFormat="1" applyFont="1" applyFill="1" applyAlignment="1">
      <alignment horizontal="center" vertical="center" wrapText="1"/>
    </xf>
    <xf numFmtId="0" fontId="11" fillId="0" borderId="0" xfId="0" applyFont="1" applyAlignment="1">
      <alignment vertical="center" wrapText="1"/>
    </xf>
    <xf numFmtId="0" fontId="2" fillId="0" borderId="0" xfId="0" applyFont="1" applyBorder="1" applyAlignment="1">
      <alignment horizontal="center" vertical="center" wrapText="1"/>
    </xf>
    <xf numFmtId="0" fontId="2" fillId="2" borderId="0" xfId="0" applyFont="1" applyFill="1" applyAlignment="1">
      <alignment horizontal="center" vertical="center"/>
    </xf>
    <xf numFmtId="3" fontId="2" fillId="2" borderId="0" xfId="0" applyNumberFormat="1" applyFont="1" applyFill="1" applyAlignment="1">
      <alignment horizontal="center" vertical="center"/>
    </xf>
    <xf numFmtId="0" fontId="1" fillId="0" borderId="0" xfId="0" applyFont="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9" fillId="5" borderId="0" xfId="0" applyFont="1" applyFill="1" applyAlignment="1">
      <alignment horizontal="center" vertical="center"/>
    </xf>
    <xf numFmtId="169" fontId="1" fillId="2" borderId="0" xfId="0" applyNumberFormat="1" applyFont="1" applyFill="1" applyBorder="1" applyAlignment="1">
      <alignment horizontal="center" vertical="center"/>
    </xf>
    <xf numFmtId="169" fontId="2" fillId="3" borderId="55" xfId="0" applyNumberFormat="1" applyFont="1" applyFill="1" applyBorder="1" applyAlignment="1">
      <alignment horizontal="center" vertical="center"/>
    </xf>
    <xf numFmtId="169" fontId="2" fillId="5" borderId="58" xfId="0" applyNumberFormat="1"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xf numFmtId="0" fontId="2" fillId="2" borderId="0" xfId="0" applyFont="1" applyFill="1" applyBorder="1" applyAlignment="1">
      <alignment vertical="center"/>
    </xf>
    <xf numFmtId="0" fontId="2" fillId="2" borderId="0" xfId="0" applyFont="1" applyFill="1" applyAlignment="1">
      <alignment vertical="center"/>
    </xf>
    <xf numFmtId="0" fontId="2" fillId="0" borderId="38" xfId="0" applyFont="1" applyBorder="1" applyAlignment="1">
      <alignment vertical="center"/>
    </xf>
    <xf numFmtId="169" fontId="2" fillId="2" borderId="40" xfId="0" applyNumberFormat="1" applyFont="1" applyFill="1" applyBorder="1" applyAlignment="1">
      <alignment horizontal="center" vertical="center"/>
    </xf>
    <xf numFmtId="0" fontId="16" fillId="2" borderId="0" xfId="0" applyFont="1" applyFill="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6" fillId="2" borderId="0" xfId="0" applyFont="1" applyFill="1" applyAlignment="1">
      <alignment vertical="center"/>
    </xf>
    <xf numFmtId="0" fontId="26" fillId="2" borderId="0" xfId="0" applyFont="1" applyFill="1" applyAlignment="1">
      <alignment vertical="center" wrapText="1"/>
    </xf>
    <xf numFmtId="0" fontId="2" fillId="2" borderId="59" xfId="0" applyFont="1" applyFill="1" applyBorder="1" applyAlignment="1">
      <alignment horizontal="center" vertical="center"/>
    </xf>
    <xf numFmtId="169" fontId="2" fillId="2" borderId="41" xfId="0" applyNumberFormat="1" applyFont="1" applyFill="1" applyBorder="1" applyAlignment="1">
      <alignment horizontal="center" vertical="center"/>
    </xf>
    <xf numFmtId="0" fontId="2" fillId="2" borderId="60" xfId="0" applyFont="1" applyFill="1" applyBorder="1" applyAlignment="1">
      <alignment vertical="center"/>
    </xf>
    <xf numFmtId="173" fontId="26" fillId="2" borderId="0" xfId="0" applyNumberFormat="1" applyFont="1" applyFill="1" applyAlignment="1">
      <alignment horizontal="center" vertical="center"/>
    </xf>
    <xf numFmtId="0" fontId="1" fillId="2" borderId="0" xfId="0" applyFont="1" applyFill="1" applyAlignment="1">
      <alignment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xf>
    <xf numFmtId="0" fontId="1" fillId="2" borderId="0" xfId="0" applyFont="1" applyFill="1" applyAlignment="1">
      <alignment horizontal="center" vertical="center" wrapText="1"/>
    </xf>
    <xf numFmtId="0" fontId="1" fillId="0" borderId="0" xfId="0" applyFont="1" applyAlignment="1">
      <alignment horizontal="center" vertical="center"/>
    </xf>
    <xf numFmtId="0" fontId="1" fillId="2" borderId="0" xfId="0" applyFont="1" applyFill="1" applyAlignment="1">
      <alignment horizontal="center" vertical="center"/>
    </xf>
    <xf numFmtId="0" fontId="23" fillId="0" borderId="0" xfId="0" applyFont="1" applyAlignment="1">
      <alignment horizontal="center" vertical="center"/>
    </xf>
    <xf numFmtId="0" fontId="0" fillId="0" borderId="0" xfId="0"/>
    <xf numFmtId="0" fontId="5" fillId="4" borderId="32" xfId="0" applyFont="1" applyFill="1" applyBorder="1" applyAlignment="1">
      <alignment horizontal="center" vertical="center" wrapText="1"/>
    </xf>
    <xf numFmtId="0" fontId="5" fillId="4" borderId="0" xfId="0" applyFont="1" applyFill="1" applyBorder="1" applyAlignment="1">
      <alignment horizontal="center" vertical="center"/>
    </xf>
    <xf numFmtId="0" fontId="5" fillId="4" borderId="32" xfId="0" applyFont="1" applyFill="1" applyBorder="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3" fontId="1" fillId="2" borderId="0" xfId="0" applyNumberFormat="1" applyFont="1" applyFill="1" applyBorder="1" applyAlignment="1">
      <alignment horizontal="center" vertical="center"/>
    </xf>
    <xf numFmtId="0" fontId="0" fillId="0" borderId="0" xfId="0"/>
    <xf numFmtId="0" fontId="20" fillId="2" borderId="0" xfId="1" applyFont="1" applyFill="1" applyBorder="1" applyAlignment="1" applyProtection="1">
      <alignment horizontal="center" vertical="center" wrapText="1"/>
    </xf>
    <xf numFmtId="0" fontId="5" fillId="4" borderId="0" xfId="0" applyFont="1" applyFill="1" applyBorder="1" applyAlignment="1">
      <alignment horizontal="center" vertical="center"/>
    </xf>
    <xf numFmtId="0" fontId="5" fillId="4" borderId="0" xfId="0" applyFont="1" applyFill="1" applyAlignment="1">
      <alignment horizontal="center" vertical="center"/>
    </xf>
    <xf numFmtId="0" fontId="1" fillId="3" borderId="0" xfId="0" applyFont="1" applyFill="1" applyAlignment="1">
      <alignment horizontal="center" vertical="center"/>
    </xf>
    <xf numFmtId="0" fontId="1" fillId="2" borderId="0" xfId="0" applyFont="1" applyFill="1" applyBorder="1" applyAlignment="1">
      <alignment vertical="center" wrapText="1"/>
    </xf>
    <xf numFmtId="4" fontId="1" fillId="2" borderId="0" xfId="0" applyNumberFormat="1" applyFont="1" applyFill="1" applyBorder="1" applyAlignment="1">
      <alignment horizontal="center" vertical="center" wrapText="1"/>
    </xf>
    <xf numFmtId="0" fontId="20" fillId="2" borderId="0" xfId="0" applyFont="1" applyFill="1" applyBorder="1" applyAlignment="1">
      <alignment horizontal="center" vertical="center" wrapText="1"/>
    </xf>
    <xf numFmtId="0" fontId="1" fillId="2" borderId="0" xfId="0" applyFont="1" applyFill="1" applyAlignment="1">
      <alignment horizontal="center" vertical="center"/>
    </xf>
    <xf numFmtId="0" fontId="9" fillId="5" borderId="0" xfId="0" applyFont="1" applyFill="1" applyAlignment="1">
      <alignment horizontal="center" vertical="center"/>
    </xf>
    <xf numFmtId="0" fontId="0" fillId="0" borderId="0" xfId="0"/>
    <xf numFmtId="0" fontId="1" fillId="0" borderId="0" xfId="0" applyFont="1" applyAlignment="1">
      <alignment horizontal="left" vertical="center" wrapText="1"/>
    </xf>
    <xf numFmtId="0" fontId="45" fillId="0" borderId="0" xfId="0" applyFont="1" applyAlignment="1">
      <alignment vertical="center"/>
    </xf>
    <xf numFmtId="0" fontId="3" fillId="0" borderId="0" xfId="0" applyFont="1" applyAlignment="1">
      <alignment horizontal="center" vertical="center"/>
    </xf>
    <xf numFmtId="176" fontId="1" fillId="0" borderId="0" xfId="0" applyNumberFormat="1" applyFont="1" applyAlignment="1">
      <alignment horizontal="center" vertical="center"/>
    </xf>
    <xf numFmtId="167" fontId="7" fillId="0" borderId="0" xfId="0" applyNumberFormat="1" applyFont="1" applyAlignment="1">
      <alignment horizontal="center" vertical="center"/>
    </xf>
    <xf numFmtId="177" fontId="1" fillId="0" borderId="0" xfId="0" applyNumberFormat="1" applyFont="1" applyAlignment="1">
      <alignment horizontal="center" vertical="center"/>
    </xf>
    <xf numFmtId="0" fontId="3" fillId="0" borderId="75" xfId="0" applyFont="1" applyBorder="1" applyAlignment="1">
      <alignment horizontal="center" vertical="center"/>
    </xf>
    <xf numFmtId="0" fontId="1" fillId="0" borderId="75" xfId="0" applyFont="1" applyBorder="1" applyAlignment="1">
      <alignment horizontal="left" vertical="center" wrapText="1"/>
    </xf>
    <xf numFmtId="0" fontId="1" fillId="0" borderId="75" xfId="0" applyFont="1" applyBorder="1" applyAlignment="1">
      <alignment horizontal="center" vertical="center" wrapText="1"/>
    </xf>
    <xf numFmtId="176" fontId="1" fillId="0" borderId="75" xfId="0" applyNumberFormat="1" applyFont="1" applyBorder="1" applyAlignment="1">
      <alignment horizontal="center" vertical="center"/>
    </xf>
    <xf numFmtId="167" fontId="7" fillId="0" borderId="75" xfId="0" applyNumberFormat="1" applyFont="1" applyBorder="1" applyAlignment="1">
      <alignment horizontal="center" vertical="center"/>
    </xf>
    <xf numFmtId="177" fontId="1" fillId="0" borderId="75" xfId="0" applyNumberFormat="1" applyFont="1" applyBorder="1" applyAlignment="1">
      <alignment horizontal="center" vertical="center"/>
    </xf>
    <xf numFmtId="0" fontId="3" fillId="0" borderId="73" xfId="0" applyFont="1" applyBorder="1" applyAlignment="1">
      <alignment horizontal="center" vertical="center"/>
    </xf>
    <xf numFmtId="0" fontId="1" fillId="0" borderId="73" xfId="0" applyFont="1" applyBorder="1" applyAlignment="1">
      <alignment horizontal="left" vertical="center" wrapText="1"/>
    </xf>
    <xf numFmtId="0" fontId="1" fillId="0" borderId="73" xfId="0" applyFont="1" applyBorder="1" applyAlignment="1">
      <alignment horizontal="center" vertical="center" wrapText="1"/>
    </xf>
    <xf numFmtId="176" fontId="1" fillId="0" borderId="73" xfId="0" applyNumberFormat="1" applyFont="1" applyBorder="1" applyAlignment="1">
      <alignment horizontal="center" vertical="center"/>
    </xf>
    <xf numFmtId="167" fontId="7" fillId="0" borderId="73" xfId="0" applyNumberFormat="1" applyFont="1" applyBorder="1" applyAlignment="1">
      <alignment horizontal="center" vertical="center"/>
    </xf>
    <xf numFmtId="177" fontId="1" fillId="0" borderId="73"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47" fillId="0" borderId="0" xfId="0" applyFont="1" applyBorder="1" applyAlignment="1">
      <alignment horizontal="center" vertical="center"/>
    </xf>
    <xf numFmtId="0" fontId="0" fillId="0" borderId="0" xfId="0" applyAlignment="1">
      <alignment wrapText="1"/>
    </xf>
    <xf numFmtId="0" fontId="50" fillId="49" borderId="94" xfId="0" applyFont="1" applyFill="1" applyBorder="1" applyAlignment="1">
      <alignment horizontal="center" vertical="center"/>
    </xf>
    <xf numFmtId="0" fontId="49" fillId="10" borderId="93" xfId="0" applyFont="1" applyFill="1" applyBorder="1" applyAlignment="1">
      <alignment horizontal="center" vertical="center" wrapText="1"/>
    </xf>
    <xf numFmtId="0" fontId="5" fillId="10" borderId="93" xfId="0" applyFont="1" applyFill="1" applyBorder="1" applyAlignment="1">
      <alignment horizontal="center" vertical="center" wrapText="1"/>
    </xf>
    <xf numFmtId="0" fontId="1" fillId="0" borderId="75" xfId="0" applyNumberFormat="1" applyFont="1" applyBorder="1" applyAlignment="1">
      <alignment horizontal="center" vertical="center" wrapText="1"/>
    </xf>
    <xf numFmtId="0" fontId="1" fillId="0" borderId="75" xfId="0" applyNumberFormat="1" applyFont="1" applyBorder="1" applyAlignment="1">
      <alignment horizontal="center" vertical="center"/>
    </xf>
    <xf numFmtId="0" fontId="7" fillId="0" borderId="75" xfId="0" applyNumberFormat="1" applyFont="1" applyBorder="1" applyAlignment="1">
      <alignment horizontal="center" vertical="center"/>
    </xf>
    <xf numFmtId="0" fontId="1" fillId="0" borderId="73" xfId="0" applyNumberFormat="1" applyFont="1" applyBorder="1" applyAlignment="1">
      <alignment horizontal="center" vertical="center" wrapText="1"/>
    </xf>
    <xf numFmtId="0" fontId="1" fillId="0" borderId="73" xfId="0" applyNumberFormat="1" applyFont="1" applyBorder="1" applyAlignment="1">
      <alignment horizontal="center" vertical="center"/>
    </xf>
    <xf numFmtId="0" fontId="7" fillId="0" borderId="73" xfId="0" applyNumberFormat="1" applyFont="1" applyBorder="1" applyAlignment="1">
      <alignment horizontal="center" vertical="center"/>
    </xf>
    <xf numFmtId="0" fontId="0" fillId="0" borderId="71" xfId="0" applyBorder="1" applyAlignment="1">
      <alignment horizontal="center" vertical="center"/>
    </xf>
    <xf numFmtId="3" fontId="1" fillId="0" borderId="75"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75" xfId="0" applyNumberFormat="1" applyFont="1" applyBorder="1" applyAlignment="1">
      <alignment horizontal="center" vertical="center"/>
    </xf>
    <xf numFmtId="3" fontId="1" fillId="0" borderId="73" xfId="0" applyNumberFormat="1" applyFont="1" applyBorder="1" applyAlignment="1">
      <alignment horizontal="center" vertical="center"/>
    </xf>
    <xf numFmtId="0" fontId="50" fillId="49" borderId="94" xfId="0" applyFont="1" applyFill="1" applyBorder="1" applyAlignment="1">
      <alignment horizontal="center" vertical="center"/>
    </xf>
    <xf numFmtId="4" fontId="1" fillId="0" borderId="73" xfId="0" applyNumberFormat="1" applyFont="1" applyBorder="1" applyAlignment="1">
      <alignment horizontal="center" vertical="center" wrapText="1"/>
    </xf>
    <xf numFmtId="3" fontId="7" fillId="0" borderId="73" xfId="0" applyNumberFormat="1" applyFont="1" applyBorder="1" applyAlignment="1">
      <alignment horizontal="center" vertical="center"/>
    </xf>
    <xf numFmtId="4" fontId="7" fillId="0" borderId="73" xfId="0" applyNumberFormat="1" applyFont="1" applyBorder="1" applyAlignment="1">
      <alignment horizontal="center" vertical="center"/>
    </xf>
    <xf numFmtId="4" fontId="1" fillId="0" borderId="73" xfId="0" applyNumberFormat="1" applyFont="1" applyBorder="1" applyAlignment="1">
      <alignment horizontal="center" vertical="center"/>
    </xf>
    <xf numFmtId="9" fontId="0" fillId="2" borderId="0" xfId="4" applyFont="1" applyFill="1"/>
    <xf numFmtId="176" fontId="1" fillId="0" borderId="0" xfId="0" applyNumberFormat="1" applyFont="1" applyAlignment="1">
      <alignment vertical="center"/>
    </xf>
    <xf numFmtId="0" fontId="0" fillId="0" borderId="105" xfId="0" applyBorder="1"/>
    <xf numFmtId="0" fontId="0" fillId="0" borderId="100" xfId="0" applyBorder="1"/>
    <xf numFmtId="0" fontId="0" fillId="0" borderId="102" xfId="0" applyBorder="1"/>
    <xf numFmtId="0" fontId="0" fillId="0" borderId="79" xfId="0" applyBorder="1" applyAlignment="1">
      <alignment horizontal="center" wrapText="1"/>
    </xf>
    <xf numFmtId="0" fontId="37" fillId="0" borderId="77" xfId="0" applyFont="1" applyBorder="1" applyAlignment="1">
      <alignment horizontal="center" wrapText="1"/>
    </xf>
    <xf numFmtId="3" fontId="0" fillId="0" borderId="105" xfId="0" applyNumberFormat="1" applyBorder="1"/>
    <xf numFmtId="3" fontId="0" fillId="0" borderId="100" xfId="0" applyNumberFormat="1" applyBorder="1"/>
    <xf numFmtId="3" fontId="0" fillId="0" borderId="102" xfId="0" applyNumberFormat="1" applyBorder="1"/>
    <xf numFmtId="3" fontId="37" fillId="0" borderId="78" xfId="0" applyNumberFormat="1" applyFont="1" applyBorder="1"/>
    <xf numFmtId="3" fontId="37" fillId="0" borderId="99" xfId="0" applyNumberFormat="1" applyFont="1" applyBorder="1"/>
    <xf numFmtId="3" fontId="37" fillId="0" borderId="110" xfId="0" applyNumberFormat="1" applyFont="1" applyBorder="1"/>
    <xf numFmtId="3" fontId="37" fillId="0" borderId="111" xfId="0" applyNumberFormat="1" applyFont="1" applyBorder="1"/>
    <xf numFmtId="0" fontId="0" fillId="0" borderId="77" xfId="0" applyBorder="1" applyAlignment="1">
      <alignment horizontal="center" wrapText="1"/>
    </xf>
    <xf numFmtId="3" fontId="0" fillId="0" borderId="106" xfId="0" applyNumberFormat="1" applyBorder="1"/>
    <xf numFmtId="3" fontId="0" fillId="0" borderId="101" xfId="0" applyNumberFormat="1" applyBorder="1"/>
    <xf numFmtId="3" fontId="0" fillId="0" borderId="103" xfId="0" applyNumberFormat="1" applyBorder="1"/>
    <xf numFmtId="0" fontId="0" fillId="0" borderId="112" xfId="0" applyBorder="1" applyAlignment="1">
      <alignment horizontal="center" wrapText="1"/>
    </xf>
    <xf numFmtId="3" fontId="37" fillId="0" borderId="88" xfId="0" applyNumberFormat="1" applyFont="1" applyBorder="1"/>
    <xf numFmtId="3" fontId="37" fillId="0" borderId="113" xfId="0" applyNumberFormat="1" applyFont="1" applyBorder="1"/>
    <xf numFmtId="0" fontId="55" fillId="0" borderId="97" xfId="0" applyFont="1" applyFill="1" applyBorder="1" applyAlignment="1">
      <alignment horizontal="right" vertical="center"/>
    </xf>
    <xf numFmtId="3" fontId="37" fillId="0" borderId="80" xfId="0" applyNumberFormat="1" applyFont="1" applyBorder="1"/>
    <xf numFmtId="3" fontId="37" fillId="0" borderId="104" xfId="0" applyNumberFormat="1" applyFont="1" applyBorder="1"/>
    <xf numFmtId="3" fontId="37" fillId="0" borderId="0" xfId="0" applyNumberFormat="1" applyFont="1" applyAlignment="1">
      <alignment horizontal="right"/>
    </xf>
    <xf numFmtId="3" fontId="37" fillId="0" borderId="79" xfId="0" applyNumberFormat="1" applyFont="1" applyBorder="1"/>
    <xf numFmtId="3" fontId="37" fillId="0" borderId="112" xfId="0" applyNumberFormat="1" applyFont="1" applyBorder="1"/>
    <xf numFmtId="3" fontId="37" fillId="0" borderId="107" xfId="0" applyNumberFormat="1" applyFont="1" applyBorder="1"/>
    <xf numFmtId="9" fontId="0" fillId="0" borderId="0" xfId="4" applyFont="1"/>
    <xf numFmtId="0" fontId="37" fillId="0" borderId="88" xfId="0" applyFont="1" applyBorder="1" applyAlignment="1">
      <alignment horizontal="right"/>
    </xf>
    <xf numFmtId="3" fontId="37" fillId="0" borderId="113" xfId="0" applyNumberFormat="1" applyFont="1" applyBorder="1" applyAlignment="1">
      <alignment horizontal="right"/>
    </xf>
    <xf numFmtId="0" fontId="37" fillId="0" borderId="104" xfId="0" applyFont="1" applyBorder="1" applyAlignment="1">
      <alignment horizontal="right"/>
    </xf>
    <xf numFmtId="4" fontId="1" fillId="0" borderId="75" xfId="0" applyNumberFormat="1" applyFont="1" applyBorder="1" applyAlignment="1">
      <alignment horizontal="center" vertical="center" wrapText="1"/>
    </xf>
    <xf numFmtId="171" fontId="1" fillId="0" borderId="75" xfId="0" applyNumberFormat="1" applyFont="1" applyBorder="1" applyAlignment="1">
      <alignment horizontal="center" vertical="center"/>
    </xf>
    <xf numFmtId="4" fontId="7" fillId="0" borderId="75" xfId="0" applyNumberFormat="1" applyFont="1" applyBorder="1" applyAlignment="1">
      <alignment horizontal="center" vertical="center"/>
    </xf>
    <xf numFmtId="4" fontId="1" fillId="0" borderId="75" xfId="0" applyNumberFormat="1" applyFont="1" applyBorder="1" applyAlignment="1">
      <alignment horizontal="center" vertical="center"/>
    </xf>
    <xf numFmtId="0" fontId="53" fillId="0" borderId="108" xfId="0" applyFont="1" applyBorder="1" applyAlignment="1">
      <alignment horizontal="left" vertical="center" wrapText="1"/>
    </xf>
    <xf numFmtId="0" fontId="53" fillId="0" borderId="72" xfId="0" applyFont="1" applyBorder="1" applyAlignment="1">
      <alignment horizontal="left" vertical="center" wrapText="1"/>
    </xf>
    <xf numFmtId="0" fontId="53" fillId="0" borderId="109" xfId="0" applyFont="1" applyBorder="1" applyAlignment="1">
      <alignment horizontal="left" vertical="center" wrapText="1"/>
    </xf>
    <xf numFmtId="3" fontId="34" fillId="12" borderId="98" xfId="16" applyNumberFormat="1" applyBorder="1"/>
    <xf numFmtId="0" fontId="56" fillId="50" borderId="68" xfId="60" applyAlignment="1">
      <alignment horizontal="left" vertical="center" wrapText="1"/>
    </xf>
    <xf numFmtId="0" fontId="15" fillId="18" borderId="72" xfId="21" applyBorder="1" applyAlignment="1">
      <alignment horizontal="left" vertical="center" wrapText="1"/>
    </xf>
    <xf numFmtId="3" fontId="37" fillId="0" borderId="87" xfId="0" applyNumberFormat="1" applyFont="1" applyFill="1" applyBorder="1"/>
    <xf numFmtId="0" fontId="0" fillId="0" borderId="0" xfId="0" applyFont="1"/>
    <xf numFmtId="0" fontId="0" fillId="0" borderId="0" xfId="0" applyFont="1" applyFill="1"/>
    <xf numFmtId="0" fontId="58" fillId="2" borderId="0" xfId="0" applyFont="1" applyFill="1" applyBorder="1" applyAlignment="1">
      <alignment vertical="center"/>
    </xf>
    <xf numFmtId="0" fontId="0" fillId="0" borderId="0" xfId="0" applyFont="1" applyBorder="1"/>
    <xf numFmtId="0" fontId="52" fillId="0" borderId="0" xfId="0" applyFont="1" applyAlignment="1">
      <alignment horizontal="justify" vertical="center"/>
    </xf>
    <xf numFmtId="0" fontId="61" fillId="2" borderId="0" xfId="0" applyFont="1" applyFill="1" applyAlignment="1">
      <alignment horizontal="left"/>
    </xf>
    <xf numFmtId="0" fontId="0" fillId="2" borderId="0" xfId="0" applyFont="1" applyFill="1"/>
    <xf numFmtId="0" fontId="0" fillId="2" borderId="0" xfId="0" applyFont="1" applyFill="1" applyAlignment="1">
      <alignment vertical="top" wrapText="1"/>
    </xf>
    <xf numFmtId="44" fontId="1" fillId="2" borderId="71" xfId="0" applyNumberFormat="1" applyFont="1" applyFill="1" applyBorder="1" applyAlignment="1">
      <alignment horizontal="left" vertical="center" wrapText="1" indent="2"/>
    </xf>
    <xf numFmtId="178" fontId="1" fillId="2" borderId="71" xfId="0" applyNumberFormat="1" applyFont="1" applyFill="1" applyBorder="1" applyAlignment="1">
      <alignment horizontal="left" vertical="center" wrapText="1" indent="2"/>
    </xf>
    <xf numFmtId="0" fontId="2" fillId="51" borderId="76" xfId="0" applyFont="1" applyFill="1" applyBorder="1" applyAlignment="1">
      <alignment horizontal="center" vertical="center"/>
    </xf>
    <xf numFmtId="0" fontId="2" fillId="51" borderId="0" xfId="0" applyFont="1" applyFill="1" applyBorder="1" applyAlignment="1">
      <alignment horizontal="center" vertical="center"/>
    </xf>
    <xf numFmtId="0" fontId="0" fillId="2" borderId="71" xfId="0" applyFont="1" applyFill="1" applyBorder="1"/>
    <xf numFmtId="4" fontId="0" fillId="2" borderId="71" xfId="0" applyNumberFormat="1" applyFont="1" applyFill="1" applyBorder="1" applyAlignment="1">
      <alignment horizontal="left" vertical="top"/>
    </xf>
    <xf numFmtId="3" fontId="0" fillId="0" borderId="71" xfId="0" applyNumberFormat="1" applyFont="1" applyFill="1" applyBorder="1" applyAlignment="1">
      <alignment horizontal="center" vertical="center"/>
    </xf>
    <xf numFmtId="0" fontId="0" fillId="2" borderId="71" xfId="0" applyFont="1" applyFill="1" applyBorder="1" applyAlignment="1">
      <alignment horizontal="center" vertical="center"/>
    </xf>
    <xf numFmtId="0" fontId="0" fillId="2" borderId="71" xfId="0" applyFont="1" applyFill="1" applyBorder="1" applyAlignment="1">
      <alignment horizontal="center" vertical="center" wrapText="1"/>
    </xf>
    <xf numFmtId="0" fontId="0" fillId="0" borderId="0" xfId="0" applyFont="1" applyFill="1" applyAlignment="1">
      <alignment wrapText="1"/>
    </xf>
    <xf numFmtId="4" fontId="0" fillId="2" borderId="71" xfId="0" applyNumberFormat="1" applyFont="1" applyFill="1" applyBorder="1" applyAlignment="1">
      <alignment horizontal="center" vertical="center"/>
    </xf>
    <xf numFmtId="3" fontId="0" fillId="2" borderId="71" xfId="0" applyNumberFormat="1" applyFont="1" applyFill="1" applyBorder="1" applyAlignment="1">
      <alignment horizontal="center" vertical="center"/>
    </xf>
    <xf numFmtId="0" fontId="0" fillId="2" borderId="0" xfId="0" applyFont="1" applyFill="1" applyAlignment="1">
      <alignment wrapText="1"/>
    </xf>
    <xf numFmtId="9" fontId="1" fillId="2" borderId="0" xfId="0" applyNumberFormat="1" applyFont="1" applyFill="1" applyAlignment="1">
      <alignment vertical="center"/>
    </xf>
    <xf numFmtId="1" fontId="1" fillId="2" borderId="0" xfId="0" applyNumberFormat="1" applyFont="1" applyFill="1" applyAlignment="1">
      <alignment vertical="center"/>
    </xf>
    <xf numFmtId="9" fontId="1" fillId="2" borderId="0" xfId="4" applyFont="1" applyFill="1" applyAlignment="1">
      <alignment vertical="center"/>
    </xf>
    <xf numFmtId="0" fontId="0" fillId="2" borderId="0" xfId="0" applyFont="1" applyFill="1" applyAlignment="1">
      <alignment vertical="center"/>
    </xf>
    <xf numFmtId="0" fontId="61" fillId="51" borderId="0" xfId="0" applyFont="1" applyFill="1" applyAlignment="1">
      <alignment horizontal="left"/>
    </xf>
    <xf numFmtId="0" fontId="0" fillId="51" borderId="71" xfId="0" applyFont="1" applyFill="1" applyBorder="1" applyAlignment="1">
      <alignment horizontal="right"/>
    </xf>
    <xf numFmtId="0" fontId="0" fillId="51" borderId="71" xfId="0" applyFont="1" applyFill="1" applyBorder="1" applyAlignment="1">
      <alignment horizontal="right" vertical="center"/>
    </xf>
    <xf numFmtId="0" fontId="59" fillId="0" borderId="0" xfId="0" applyFont="1" applyBorder="1" applyAlignment="1">
      <alignment vertical="center"/>
    </xf>
    <xf numFmtId="0" fontId="59" fillId="0" borderId="109" xfId="0" applyFont="1" applyBorder="1" applyAlignment="1">
      <alignment horizontal="left" vertical="center" wrapText="1"/>
    </xf>
    <xf numFmtId="0" fontId="59" fillId="0" borderId="114" xfId="0" applyFont="1" applyBorder="1" applyAlignment="1">
      <alignment horizontal="left" vertical="center" wrapText="1"/>
    </xf>
    <xf numFmtId="0" fontId="52" fillId="0" borderId="97" xfId="0" applyFont="1" applyBorder="1" applyAlignment="1">
      <alignment horizontal="left" vertical="center" wrapText="1"/>
    </xf>
    <xf numFmtId="0" fontId="52" fillId="0" borderId="115" xfId="0" applyFont="1" applyBorder="1" applyAlignment="1">
      <alignment horizontal="left" vertical="center" wrapText="1"/>
    </xf>
    <xf numFmtId="0" fontId="52" fillId="0" borderId="90" xfId="0" applyFont="1" applyBorder="1" applyAlignment="1">
      <alignment horizontal="left" vertical="center" wrapText="1"/>
    </xf>
    <xf numFmtId="0" fontId="0" fillId="0" borderId="91" xfId="0" applyFont="1" applyBorder="1" applyAlignment="1">
      <alignment horizontal="left" vertical="center" wrapText="1"/>
    </xf>
    <xf numFmtId="0" fontId="37" fillId="51" borderId="71" xfId="0" applyFont="1" applyFill="1" applyBorder="1" applyAlignment="1">
      <alignment horizontal="center"/>
    </xf>
    <xf numFmtId="0" fontId="37" fillId="51" borderId="71" xfId="0" applyFont="1" applyFill="1" applyBorder="1" applyAlignment="1">
      <alignment horizontal="center" vertical="center" wrapText="1"/>
    </xf>
    <xf numFmtId="0" fontId="37" fillId="51" borderId="71" xfId="0" applyFont="1" applyFill="1" applyBorder="1" applyAlignment="1">
      <alignment horizontal="center" vertical="center"/>
    </xf>
    <xf numFmtId="0" fontId="37" fillId="51" borderId="71" xfId="0" applyFont="1" applyFill="1" applyBorder="1" applyAlignment="1">
      <alignment horizontal="left" vertical="center"/>
    </xf>
    <xf numFmtId="169" fontId="2" fillId="2" borderId="0" xfId="0" applyNumberFormat="1" applyFont="1" applyFill="1" applyBorder="1" applyAlignment="1">
      <alignment horizontal="left" vertical="center" wrapText="1"/>
    </xf>
    <xf numFmtId="166" fontId="1" fillId="2" borderId="0" xfId="0" applyNumberFormat="1" applyFont="1" applyFill="1" applyAlignment="1">
      <alignment vertical="center"/>
    </xf>
    <xf numFmtId="0" fontId="1" fillId="52" borderId="64" xfId="0" applyFont="1" applyFill="1" applyBorder="1" applyAlignment="1">
      <alignment vertical="center"/>
    </xf>
    <xf numFmtId="179" fontId="1" fillId="52" borderId="65" xfId="5" applyNumberFormat="1" applyFont="1" applyFill="1" applyBorder="1" applyAlignment="1">
      <alignment vertical="center"/>
    </xf>
    <xf numFmtId="0" fontId="1" fillId="52" borderId="4" xfId="0" applyFont="1" applyFill="1" applyBorder="1" applyAlignment="1">
      <alignment vertical="center"/>
    </xf>
    <xf numFmtId="179" fontId="1" fillId="52" borderId="34" xfId="5" applyNumberFormat="1" applyFont="1" applyFill="1" applyBorder="1" applyAlignment="1">
      <alignment vertical="center"/>
    </xf>
    <xf numFmtId="166" fontId="1" fillId="52" borderId="34" xfId="5" applyFont="1" applyFill="1" applyBorder="1" applyAlignment="1">
      <alignment vertical="center"/>
    </xf>
    <xf numFmtId="0" fontId="1" fillId="52" borderId="66" xfId="0" applyFont="1" applyFill="1" applyBorder="1" applyAlignment="1">
      <alignment vertical="center"/>
    </xf>
    <xf numFmtId="166" fontId="1" fillId="52" borderId="67" xfId="5" applyFont="1" applyFill="1" applyBorder="1" applyAlignment="1">
      <alignment vertical="center"/>
    </xf>
    <xf numFmtId="0" fontId="2" fillId="0" borderId="71" xfId="0" applyFont="1" applyFill="1" applyBorder="1" applyAlignment="1">
      <alignment vertical="center"/>
    </xf>
    <xf numFmtId="0" fontId="2" fillId="51" borderId="71" xfId="0" applyFont="1" applyFill="1" applyBorder="1" applyAlignment="1">
      <alignment vertical="center"/>
    </xf>
    <xf numFmtId="0" fontId="2" fillId="51" borderId="71" xfId="0" applyFont="1" applyFill="1" applyBorder="1" applyAlignment="1">
      <alignment horizontal="center" vertical="center"/>
    </xf>
    <xf numFmtId="175" fontId="1" fillId="0" borderId="71" xfId="0" applyNumberFormat="1" applyFont="1" applyFill="1" applyBorder="1" applyAlignment="1">
      <alignment horizontal="left" vertical="center" wrapText="1" indent="2"/>
    </xf>
    <xf numFmtId="175" fontId="1" fillId="0" borderId="71" xfId="0" applyNumberFormat="1" applyFont="1" applyFill="1" applyBorder="1" applyAlignment="1">
      <alignment horizontal="left" vertical="center" indent="2"/>
    </xf>
    <xf numFmtId="175" fontId="1" fillId="2" borderId="71" xfId="0" applyNumberFormat="1" applyFont="1" applyFill="1" applyBorder="1" applyAlignment="1">
      <alignment vertical="center"/>
    </xf>
    <xf numFmtId="175" fontId="1" fillId="2" borderId="71" xfId="0" applyNumberFormat="1" applyFont="1" applyFill="1" applyBorder="1" applyAlignment="1">
      <alignment horizontal="left" vertical="center" indent="2"/>
    </xf>
    <xf numFmtId="167" fontId="1" fillId="2" borderId="71" xfId="0" applyNumberFormat="1" applyFont="1" applyFill="1" applyBorder="1" applyAlignment="1">
      <alignment vertical="center"/>
    </xf>
    <xf numFmtId="167" fontId="1" fillId="2" borderId="0" xfId="0" applyNumberFormat="1" applyFont="1" applyFill="1" applyAlignment="1">
      <alignment vertical="center"/>
    </xf>
    <xf numFmtId="175" fontId="1" fillId="52" borderId="10" xfId="0" applyNumberFormat="1" applyFont="1" applyFill="1" applyBorder="1" applyAlignment="1">
      <alignment horizontal="center" vertical="center"/>
    </xf>
    <xf numFmtId="175" fontId="1" fillId="52" borderId="12" xfId="0" applyNumberFormat="1" applyFont="1" applyFill="1" applyBorder="1" applyAlignment="1">
      <alignment horizontal="center" vertical="center"/>
    </xf>
    <xf numFmtId="0" fontId="2" fillId="51" borderId="0" xfId="0" applyFont="1" applyFill="1" applyBorder="1" applyAlignment="1">
      <alignment horizontal="center" vertical="center"/>
    </xf>
    <xf numFmtId="0" fontId="2" fillId="51" borderId="71" xfId="0" applyFont="1" applyFill="1" applyBorder="1" applyAlignment="1">
      <alignment horizontal="center" vertical="center"/>
    </xf>
    <xf numFmtId="0" fontId="0" fillId="0" borderId="97" xfId="0" applyFont="1" applyBorder="1"/>
    <xf numFmtId="0" fontId="0" fillId="0" borderId="115" xfId="0" applyFont="1" applyBorder="1"/>
    <xf numFmtId="0" fontId="59" fillId="0" borderId="97" xfId="0" applyFont="1" applyBorder="1" applyAlignment="1">
      <alignment vertical="center"/>
    </xf>
    <xf numFmtId="0" fontId="0" fillId="0" borderId="0" xfId="0" applyFont="1" applyBorder="1" applyAlignment="1">
      <alignment horizontal="left" vertical="center" wrapText="1"/>
    </xf>
    <xf numFmtId="0" fontId="52" fillId="0" borderId="97" xfId="0" applyFont="1" applyBorder="1" applyAlignment="1">
      <alignment horizontal="left" vertical="center" wrapText="1"/>
    </xf>
    <xf numFmtId="0" fontId="52" fillId="0" borderId="0" xfId="0" applyFont="1" applyBorder="1" applyAlignment="1">
      <alignment horizontal="left" vertical="center" wrapText="1"/>
    </xf>
    <xf numFmtId="0" fontId="52" fillId="0" borderId="115" xfId="0" applyFont="1" applyBorder="1" applyAlignment="1">
      <alignment horizontal="left" vertical="center" wrapText="1"/>
    </xf>
    <xf numFmtId="0" fontId="52" fillId="0" borderId="90" xfId="0" applyFont="1" applyBorder="1" applyAlignment="1">
      <alignment horizontal="left" vertical="center" wrapText="1"/>
    </xf>
    <xf numFmtId="0" fontId="52" fillId="0" borderId="75" xfId="0" applyFont="1" applyBorder="1" applyAlignment="1">
      <alignment horizontal="left" vertical="center" wrapText="1"/>
    </xf>
    <xf numFmtId="0" fontId="52" fillId="0" borderId="91" xfId="0" applyFont="1" applyBorder="1" applyAlignment="1">
      <alignment horizontal="left" vertical="center" wrapText="1"/>
    </xf>
    <xf numFmtId="0" fontId="60" fillId="51" borderId="81" xfId="0" applyFont="1" applyFill="1" applyBorder="1" applyAlignment="1">
      <alignment horizontal="center" vertical="center"/>
    </xf>
    <xf numFmtId="0" fontId="60" fillId="51" borderId="82" xfId="0" applyFont="1" applyFill="1" applyBorder="1" applyAlignment="1">
      <alignment horizontal="center" vertical="center"/>
    </xf>
    <xf numFmtId="0" fontId="60" fillId="51" borderId="89" xfId="0" applyFont="1" applyFill="1" applyBorder="1" applyAlignment="1">
      <alignment horizontal="center" vertical="center"/>
    </xf>
    <xf numFmtId="0" fontId="60" fillId="51" borderId="97" xfId="0" applyFont="1" applyFill="1" applyBorder="1" applyAlignment="1">
      <alignment horizontal="center" vertical="center"/>
    </xf>
    <xf numFmtId="0" fontId="60" fillId="51" borderId="0" xfId="0" applyFont="1" applyFill="1" applyBorder="1" applyAlignment="1">
      <alignment horizontal="center" vertical="center"/>
    </xf>
    <xf numFmtId="0" fontId="60" fillId="51" borderId="115" xfId="0" applyFont="1" applyFill="1" applyBorder="1" applyAlignment="1">
      <alignment horizontal="center" vertical="center"/>
    </xf>
    <xf numFmtId="0" fontId="0" fillId="0" borderId="97" xfId="0" applyFont="1" applyBorder="1" applyAlignment="1">
      <alignment horizontal="left" vertical="center" wrapText="1"/>
    </xf>
    <xf numFmtId="0" fontId="0" fillId="0" borderId="0" xfId="0" applyFont="1" applyBorder="1" applyAlignment="1">
      <alignment horizontal="left" vertical="center" wrapText="1"/>
    </xf>
    <xf numFmtId="0" fontId="0" fillId="0" borderId="115" xfId="0" applyFont="1" applyBorder="1" applyAlignment="1">
      <alignment horizontal="left" vertical="center" wrapText="1"/>
    </xf>
    <xf numFmtId="0" fontId="0" fillId="2" borderId="0" xfId="0" applyFont="1" applyFill="1" applyAlignment="1">
      <alignment horizontal="left" vertical="top" wrapText="1"/>
    </xf>
    <xf numFmtId="0" fontId="0" fillId="2" borderId="71" xfId="0" applyFont="1" applyFill="1" applyBorder="1" applyAlignment="1">
      <alignment horizontal="center" vertical="center"/>
    </xf>
    <xf numFmtId="0" fontId="0" fillId="2" borderId="71" xfId="0" applyFont="1" applyFill="1" applyBorder="1" applyAlignment="1">
      <alignment horizontal="center" vertical="center" wrapText="1"/>
    </xf>
    <xf numFmtId="0" fontId="0" fillId="2" borderId="0" xfId="0" applyFont="1" applyFill="1" applyAlignment="1">
      <alignment horizontal="center" vertical="top" wrapText="1"/>
    </xf>
    <xf numFmtId="0" fontId="0" fillId="2" borderId="0" xfId="0" applyFont="1" applyFill="1" applyAlignment="1">
      <alignment horizontal="left" vertical="top"/>
    </xf>
    <xf numFmtId="0" fontId="1" fillId="2" borderId="0" xfId="0" applyFont="1" applyFill="1" applyAlignment="1">
      <alignment horizontal="left" vertical="top" wrapText="1"/>
    </xf>
    <xf numFmtId="0" fontId="0" fillId="2" borderId="72" xfId="0" applyFont="1" applyFill="1" applyBorder="1" applyAlignment="1">
      <alignment horizontal="center" vertical="center" wrapText="1"/>
    </xf>
    <xf numFmtId="0" fontId="0" fillId="2" borderId="73" xfId="0" applyFont="1" applyFill="1" applyBorder="1" applyAlignment="1">
      <alignment horizontal="center" vertical="center" wrapText="1"/>
    </xf>
    <xf numFmtId="0" fontId="0" fillId="2" borderId="74" xfId="0" applyFont="1" applyFill="1" applyBorder="1" applyAlignment="1">
      <alignment horizontal="center" vertical="center" wrapText="1"/>
    </xf>
    <xf numFmtId="0" fontId="0" fillId="2" borderId="71" xfId="0" applyFont="1" applyFill="1" applyBorder="1" applyAlignment="1">
      <alignment horizontal="left" vertical="center" wrapText="1"/>
    </xf>
    <xf numFmtId="0" fontId="0" fillId="2" borderId="71" xfId="0" applyFont="1" applyFill="1" applyBorder="1" applyAlignment="1">
      <alignment horizontal="left" vertical="center"/>
    </xf>
    <xf numFmtId="0" fontId="0" fillId="2" borderId="72" xfId="0" applyFont="1" applyFill="1" applyBorder="1" applyAlignment="1">
      <alignment horizontal="center" vertical="center"/>
    </xf>
    <xf numFmtId="0" fontId="0" fillId="2" borderId="73" xfId="0" applyFont="1" applyFill="1" applyBorder="1" applyAlignment="1">
      <alignment horizontal="center" vertical="center"/>
    </xf>
    <xf numFmtId="0" fontId="0" fillId="2" borderId="74" xfId="0" applyFont="1" applyFill="1" applyBorder="1" applyAlignment="1">
      <alignment horizontal="center" vertical="center"/>
    </xf>
    <xf numFmtId="0" fontId="0" fillId="2" borderId="71" xfId="0" applyFont="1" applyFill="1" applyBorder="1" applyAlignment="1">
      <alignment horizontal="left"/>
    </xf>
    <xf numFmtId="0" fontId="63" fillId="51" borderId="98" xfId="0" applyFont="1" applyFill="1" applyBorder="1" applyAlignment="1">
      <alignment horizontal="center"/>
    </xf>
    <xf numFmtId="0" fontId="63" fillId="51" borderId="118" xfId="0" applyFont="1" applyFill="1" applyBorder="1" applyAlignment="1">
      <alignment horizontal="center"/>
    </xf>
    <xf numFmtId="0" fontId="63" fillId="51" borderId="119" xfId="0" applyFont="1" applyFill="1" applyBorder="1" applyAlignment="1">
      <alignment horizontal="center"/>
    </xf>
    <xf numFmtId="0" fontId="37" fillId="51" borderId="71" xfId="0" applyFont="1" applyFill="1" applyBorder="1" applyAlignment="1">
      <alignment horizontal="center"/>
    </xf>
    <xf numFmtId="0" fontId="62" fillId="51" borderId="0" xfId="0" applyFont="1" applyFill="1" applyAlignment="1">
      <alignment horizontal="left" vertical="center"/>
    </xf>
    <xf numFmtId="0" fontId="2" fillId="51" borderId="76" xfId="0" applyFont="1" applyFill="1" applyBorder="1" applyAlignment="1">
      <alignment horizontal="center" vertical="center" wrapText="1"/>
    </xf>
    <xf numFmtId="0" fontId="2" fillId="51" borderId="0" xfId="0" applyFont="1" applyFill="1" applyBorder="1" applyAlignment="1">
      <alignment horizontal="center" vertical="center"/>
    </xf>
    <xf numFmtId="0" fontId="2" fillId="51" borderId="75" xfId="0" applyFont="1" applyFill="1" applyBorder="1" applyAlignment="1">
      <alignment horizontal="center" vertical="center"/>
    </xf>
    <xf numFmtId="0" fontId="2" fillId="51" borderId="76" xfId="0" applyFont="1" applyFill="1" applyBorder="1" applyAlignment="1">
      <alignment horizontal="center" vertical="center"/>
    </xf>
    <xf numFmtId="0" fontId="1" fillId="2" borderId="71" xfId="0" applyFont="1" applyFill="1" applyBorder="1" applyAlignment="1">
      <alignment horizontal="center" vertical="center" wrapText="1"/>
    </xf>
    <xf numFmtId="0" fontId="2" fillId="52" borderId="8" xfId="0" applyFont="1" applyFill="1" applyBorder="1" applyAlignment="1">
      <alignment horizontal="center" vertical="center"/>
    </xf>
    <xf numFmtId="0" fontId="2" fillId="52" borderId="9" xfId="0" applyFont="1" applyFill="1" applyBorder="1" applyAlignment="1">
      <alignment horizontal="center" vertical="center"/>
    </xf>
    <xf numFmtId="0" fontId="2" fillId="52" borderId="11" xfId="0" applyFont="1" applyFill="1" applyBorder="1" applyAlignment="1">
      <alignment horizontal="center" vertical="center"/>
    </xf>
    <xf numFmtId="0" fontId="2" fillId="52" borderId="6"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2" fillId="52" borderId="1" xfId="0" applyFont="1" applyFill="1" applyBorder="1" applyAlignment="1">
      <alignment horizontal="center" vertical="center"/>
    </xf>
    <xf numFmtId="0" fontId="2" fillId="52" borderId="3" xfId="0" applyFont="1" applyFill="1" applyBorder="1" applyAlignment="1">
      <alignment horizontal="center" vertical="center"/>
    </xf>
    <xf numFmtId="172" fontId="1" fillId="0" borderId="3" xfId="0" applyNumberFormat="1" applyFont="1" applyFill="1" applyBorder="1" applyAlignment="1">
      <alignment horizontal="center" vertical="center"/>
    </xf>
    <xf numFmtId="172" fontId="1" fillId="0" borderId="2" xfId="0" applyNumberFormat="1" applyFont="1" applyFill="1" applyBorder="1" applyAlignment="1">
      <alignment horizontal="center" vertical="center"/>
    </xf>
    <xf numFmtId="10" fontId="1" fillId="0" borderId="3" xfId="0" applyNumberFormat="1" applyFont="1" applyFill="1" applyBorder="1" applyAlignment="1">
      <alignment horizontal="center" vertical="center"/>
    </xf>
    <xf numFmtId="10" fontId="1" fillId="0" borderId="2" xfId="0" applyNumberFormat="1" applyFont="1" applyFill="1" applyBorder="1" applyAlignment="1">
      <alignment horizontal="center" vertical="center"/>
    </xf>
    <xf numFmtId="0" fontId="2" fillId="51" borderId="116" xfId="0" applyFont="1" applyFill="1" applyBorder="1" applyAlignment="1">
      <alignment horizontal="center" vertical="center"/>
    </xf>
    <xf numFmtId="0" fontId="2" fillId="51" borderId="117" xfId="0" applyFont="1" applyFill="1" applyBorder="1" applyAlignment="1">
      <alignment horizontal="center" vertical="center"/>
    </xf>
    <xf numFmtId="0" fontId="2" fillId="51" borderId="71" xfId="0" applyFont="1" applyFill="1" applyBorder="1" applyAlignment="1">
      <alignment horizontal="center" vertical="center"/>
    </xf>
    <xf numFmtId="0" fontId="2" fillId="2" borderId="71" xfId="0" applyFont="1" applyFill="1" applyBorder="1" applyAlignment="1">
      <alignment horizontal="left" vertical="center"/>
    </xf>
    <xf numFmtId="0" fontId="2" fillId="0" borderId="71"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71" xfId="0" applyFont="1" applyFill="1" applyBorder="1" applyAlignment="1">
      <alignment horizontal="center" vertical="center" wrapText="1"/>
    </xf>
    <xf numFmtId="0" fontId="46" fillId="48" borderId="0" xfId="0" applyFont="1" applyFill="1" applyAlignment="1">
      <alignment horizontal="left" vertical="center"/>
    </xf>
    <xf numFmtId="0" fontId="47" fillId="0" borderId="81" xfId="0" applyFont="1" applyBorder="1" applyAlignment="1">
      <alignment horizontal="left" vertical="center"/>
    </xf>
    <xf numFmtId="0" fontId="47" fillId="0" borderId="82" xfId="0" applyFont="1" applyBorder="1" applyAlignment="1">
      <alignment horizontal="left" vertical="center"/>
    </xf>
    <xf numFmtId="0" fontId="47" fillId="0" borderId="89" xfId="0" applyFont="1" applyBorder="1" applyAlignment="1">
      <alignment horizontal="left" vertical="center"/>
    </xf>
    <xf numFmtId="0" fontId="47" fillId="0" borderId="90" xfId="0" applyFont="1" applyBorder="1" applyAlignment="1">
      <alignment horizontal="left" vertical="center"/>
    </xf>
    <xf numFmtId="0" fontId="47" fillId="0" borderId="75" xfId="0" applyFont="1" applyBorder="1" applyAlignment="1">
      <alignment horizontal="left" vertical="center"/>
    </xf>
    <xf numFmtId="0" fontId="47" fillId="0" borderId="91" xfId="0" applyFont="1" applyBorder="1" applyAlignment="1">
      <alignment horizontal="left" vertical="center"/>
    </xf>
    <xf numFmtId="0" fontId="50" fillId="49" borderId="94" xfId="0" applyFont="1" applyFill="1" applyBorder="1" applyAlignment="1">
      <alignment horizontal="center" vertical="center"/>
    </xf>
    <xf numFmtId="0" fontId="50" fillId="49" borderId="95" xfId="0" applyFont="1" applyFill="1" applyBorder="1" applyAlignment="1">
      <alignment horizontal="center" vertical="center"/>
    </xf>
    <xf numFmtId="0" fontId="5" fillId="10" borderId="92" xfId="0" applyFont="1" applyFill="1" applyBorder="1" applyAlignment="1">
      <alignment horizontal="center" vertical="center" wrapText="1"/>
    </xf>
    <xf numFmtId="0" fontId="5" fillId="10" borderId="96" xfId="0" applyFont="1" applyFill="1" applyBorder="1" applyAlignment="1">
      <alignment horizontal="center" vertical="center" wrapText="1"/>
    </xf>
    <xf numFmtId="3" fontId="1" fillId="0" borderId="35" xfId="0" applyNumberFormat="1" applyFont="1" applyBorder="1" applyAlignment="1">
      <alignment horizontal="center" vertical="center"/>
    </xf>
    <xf numFmtId="3" fontId="1" fillId="0" borderId="36" xfId="0" applyNumberFormat="1" applyFont="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0" xfId="0" applyFont="1" applyFill="1" applyAlignment="1">
      <alignment horizontal="center" vertical="center" wrapText="1"/>
    </xf>
    <xf numFmtId="0" fontId="5" fillId="4" borderId="0" xfId="0" applyFont="1" applyFill="1" applyAlignment="1">
      <alignment horizontal="center" vertical="center" wrapText="1"/>
    </xf>
    <xf numFmtId="0" fontId="5" fillId="4" borderId="13" xfId="0" applyFont="1" applyFill="1" applyBorder="1" applyAlignment="1">
      <alignment horizontal="center" vertical="center" wrapText="1"/>
    </xf>
    <xf numFmtId="9" fontId="1" fillId="2" borderId="35" xfId="4" applyNumberFormat="1" applyFont="1" applyFill="1" applyBorder="1" applyAlignment="1">
      <alignment horizontal="center" vertical="center"/>
    </xf>
    <xf numFmtId="9" fontId="1" fillId="2" borderId="36" xfId="4" applyNumberFormat="1" applyFont="1" applyFill="1" applyBorder="1" applyAlignment="1">
      <alignment horizontal="center" vertical="center"/>
    </xf>
    <xf numFmtId="0" fontId="5" fillId="4" borderId="0" xfId="0" applyFont="1" applyFill="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1" fillId="2" borderId="48" xfId="0" applyFont="1" applyFill="1" applyBorder="1" applyAlignment="1">
      <alignment horizontal="center" vertical="center"/>
    </xf>
    <xf numFmtId="0" fontId="1" fillId="2" borderId="41" xfId="0"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3" borderId="0" xfId="0" applyFont="1" applyFill="1" applyAlignment="1">
      <alignment horizontal="center" vertical="center" wrapText="1"/>
    </xf>
    <xf numFmtId="0" fontId="1" fillId="0" borderId="27" xfId="0" applyFont="1" applyBorder="1" applyAlignment="1">
      <alignment horizontal="center" vertical="center"/>
    </xf>
    <xf numFmtId="0" fontId="1" fillId="0" borderId="26" xfId="0" applyFont="1" applyBorder="1" applyAlignment="1">
      <alignment horizontal="center" vertical="center"/>
    </xf>
    <xf numFmtId="168" fontId="2" fillId="5" borderId="0" xfId="0" applyNumberFormat="1" applyFont="1" applyFill="1" applyAlignment="1">
      <alignment horizontal="center" vertical="center"/>
    </xf>
    <xf numFmtId="0" fontId="2" fillId="5" borderId="0" xfId="0" applyFont="1" applyFill="1" applyAlignment="1">
      <alignment horizontal="center" vertical="center"/>
    </xf>
    <xf numFmtId="0" fontId="2" fillId="3" borderId="53" xfId="0" applyFont="1" applyFill="1" applyBorder="1" applyAlignment="1">
      <alignment horizontal="center" vertical="center"/>
    </xf>
    <xf numFmtId="0" fontId="2" fillId="3" borderId="54" xfId="0" applyFont="1" applyFill="1" applyBorder="1" applyAlignment="1">
      <alignment horizontal="center" vertical="center"/>
    </xf>
    <xf numFmtId="0" fontId="5" fillId="4" borderId="0"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0" xfId="0" applyFont="1" applyFill="1" applyBorder="1" applyAlignment="1">
      <alignment horizontal="center" vertical="center"/>
    </xf>
    <xf numFmtId="0" fontId="5" fillId="4" borderId="32" xfId="0" applyFont="1" applyFill="1" applyBorder="1" applyAlignment="1">
      <alignment horizontal="center" vertical="center"/>
    </xf>
    <xf numFmtId="0" fontId="2" fillId="3" borderId="18" xfId="0" applyFont="1" applyFill="1" applyBorder="1" applyAlignment="1">
      <alignment horizontal="center" vertical="center" wrapText="1"/>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2" fillId="3" borderId="22" xfId="0" applyFont="1" applyFill="1" applyBorder="1" applyAlignment="1">
      <alignment horizontal="center" vertical="center"/>
    </xf>
    <xf numFmtId="0" fontId="2" fillId="6" borderId="0" xfId="0" applyFont="1" applyFill="1" applyBorder="1" applyAlignment="1">
      <alignment horizontal="center" vertical="center"/>
    </xf>
    <xf numFmtId="0" fontId="1" fillId="3" borderId="51" xfId="0" applyFont="1" applyFill="1" applyBorder="1" applyAlignment="1">
      <alignment horizontal="center" vertical="center"/>
    </xf>
    <xf numFmtId="0" fontId="1" fillId="3" borderId="52" xfId="0" applyFont="1" applyFill="1" applyBorder="1" applyAlignment="1">
      <alignment horizontal="center" vertical="center"/>
    </xf>
    <xf numFmtId="169" fontId="2" fillId="2" borderId="21" xfId="0" applyNumberFormat="1" applyFont="1" applyFill="1" applyBorder="1" applyAlignment="1">
      <alignment horizontal="center" vertical="center"/>
    </xf>
    <xf numFmtId="169" fontId="2" fillId="2" borderId="16" xfId="0" applyNumberFormat="1" applyFont="1" applyFill="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9" xfId="0" applyFont="1" applyBorder="1" applyAlignment="1">
      <alignment horizontal="center" vertical="center"/>
    </xf>
    <xf numFmtId="0" fontId="2" fillId="0" borderId="33" xfId="0" applyFont="1" applyBorder="1" applyAlignment="1">
      <alignment horizontal="center" vertical="center"/>
    </xf>
    <xf numFmtId="0" fontId="1" fillId="0" borderId="40" xfId="0" applyFont="1" applyFill="1" applyBorder="1" applyAlignment="1">
      <alignment horizontal="center" vertical="center"/>
    </xf>
    <xf numFmtId="0" fontId="1" fillId="0" borderId="42" xfId="0" applyFont="1" applyFill="1" applyBorder="1" applyAlignment="1">
      <alignment horizontal="center" vertical="center"/>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3" xfId="0" applyFont="1" applyBorder="1" applyAlignment="1">
      <alignment horizontal="center" vertical="center" wrapText="1"/>
    </xf>
    <xf numFmtId="0" fontId="2" fillId="5" borderId="56" xfId="0" applyFont="1" applyFill="1" applyBorder="1" applyAlignment="1">
      <alignment horizontal="center" vertical="center"/>
    </xf>
    <xf numFmtId="0" fontId="2" fillId="5" borderId="57" xfId="0" applyFont="1" applyFill="1" applyBorder="1" applyAlignment="1">
      <alignment horizontal="center" vertical="center"/>
    </xf>
    <xf numFmtId="0" fontId="13" fillId="3" borderId="35" xfId="1" applyFont="1" applyFill="1" applyBorder="1" applyAlignment="1" applyProtection="1">
      <alignment horizontal="center" vertical="center" wrapText="1"/>
    </xf>
    <xf numFmtId="0" fontId="13" fillId="3" borderId="36" xfId="0" applyFont="1" applyFill="1" applyBorder="1" applyAlignment="1">
      <alignment horizontal="center" vertical="center" wrapText="1"/>
    </xf>
    <xf numFmtId="4" fontId="1" fillId="0" borderId="35" xfId="0" applyNumberFormat="1" applyFont="1" applyBorder="1" applyAlignment="1">
      <alignment horizontal="center" vertical="center"/>
    </xf>
    <xf numFmtId="0" fontId="1" fillId="0" borderId="36" xfId="0" applyFont="1" applyBorder="1" applyAlignment="1">
      <alignment horizontal="center" vertical="center"/>
    </xf>
    <xf numFmtId="0" fontId="5" fillId="4" borderId="13" xfId="0" applyFont="1" applyFill="1" applyBorder="1" applyAlignment="1">
      <alignment horizontal="center" vertical="center"/>
    </xf>
    <xf numFmtId="4" fontId="1" fillId="0" borderId="36" xfId="0" applyNumberFormat="1" applyFont="1" applyBorder="1" applyAlignment="1">
      <alignment horizontal="center" vertical="center"/>
    </xf>
    <xf numFmtId="0" fontId="23" fillId="0" borderId="0" xfId="0" applyFont="1" applyAlignment="1">
      <alignment horizontal="center" vertical="center"/>
    </xf>
    <xf numFmtId="0" fontId="1" fillId="3" borderId="0" xfId="0" applyFont="1" applyFill="1" applyAlignment="1">
      <alignment horizontal="center" vertical="center"/>
    </xf>
    <xf numFmtId="0" fontId="20" fillId="3" borderId="35" xfId="1" applyFont="1" applyFill="1" applyBorder="1" applyAlignment="1" applyProtection="1">
      <alignment horizontal="center" vertical="center" wrapText="1"/>
    </xf>
    <xf numFmtId="0" fontId="20" fillId="3" borderId="36" xfId="0" applyFont="1" applyFill="1" applyBorder="1" applyAlignment="1">
      <alignment horizontal="center" vertical="center" wrapText="1"/>
    </xf>
    <xf numFmtId="0" fontId="16" fillId="6" borderId="0" xfId="0" applyFont="1" applyFill="1" applyAlignment="1">
      <alignment horizontal="center" vertical="center"/>
    </xf>
    <xf numFmtId="0" fontId="23" fillId="0" borderId="0" xfId="0" applyFont="1" applyAlignment="1">
      <alignment horizontal="center" vertical="center" wrapText="1"/>
    </xf>
    <xf numFmtId="0" fontId="1" fillId="2" borderId="40" xfId="0" applyFont="1" applyFill="1" applyBorder="1" applyAlignment="1">
      <alignment horizontal="center" vertical="center"/>
    </xf>
    <xf numFmtId="0" fontId="1" fillId="2" borderId="42" xfId="0" applyFont="1" applyFill="1" applyBorder="1" applyAlignment="1">
      <alignment horizontal="center" vertical="center"/>
    </xf>
    <xf numFmtId="2" fontId="1" fillId="2" borderId="35" xfId="4" applyNumberFormat="1" applyFont="1" applyFill="1" applyBorder="1" applyAlignment="1">
      <alignment horizontal="center" vertical="center"/>
    </xf>
    <xf numFmtId="2" fontId="1" fillId="2" borderId="36" xfId="4" applyNumberFormat="1" applyFont="1" applyFill="1" applyBorder="1" applyAlignment="1">
      <alignment horizontal="center" vertical="center"/>
    </xf>
    <xf numFmtId="0" fontId="17" fillId="3" borderId="0" xfId="0" applyFont="1" applyFill="1" applyAlignment="1">
      <alignment horizontal="center" vertical="center" wrapText="1"/>
    </xf>
    <xf numFmtId="0" fontId="17" fillId="3" borderId="0" xfId="0" applyFont="1" applyFill="1" applyAlignment="1">
      <alignment horizontal="left" vertical="center"/>
    </xf>
    <xf numFmtId="3" fontId="1" fillId="2" borderId="35" xfId="0" applyNumberFormat="1" applyFont="1" applyFill="1" applyBorder="1" applyAlignment="1">
      <alignment horizontal="center" vertical="center"/>
    </xf>
    <xf numFmtId="3" fontId="1" fillId="2" borderId="36" xfId="0" applyNumberFormat="1" applyFont="1" applyFill="1" applyBorder="1" applyAlignment="1">
      <alignment horizontal="center" vertical="center"/>
    </xf>
    <xf numFmtId="172" fontId="1" fillId="2" borderId="35" xfId="4" applyNumberFormat="1" applyFont="1" applyFill="1" applyBorder="1" applyAlignment="1">
      <alignment horizontal="center" vertical="center"/>
    </xf>
    <xf numFmtId="172" fontId="1" fillId="2" borderId="36" xfId="4" applyNumberFormat="1" applyFont="1" applyFill="1" applyBorder="1" applyAlignment="1">
      <alignment horizontal="center" vertical="center"/>
    </xf>
    <xf numFmtId="0" fontId="12" fillId="2" borderId="0" xfId="1" applyFont="1" applyFill="1" applyBorder="1" applyAlignment="1" applyProtection="1">
      <alignment horizontal="center" vertical="center" wrapText="1"/>
    </xf>
    <xf numFmtId="0" fontId="13" fillId="2" borderId="0" xfId="0" applyFont="1" applyFill="1" applyBorder="1" applyAlignment="1">
      <alignment horizontal="center" vertical="center" wrapText="1"/>
    </xf>
    <xf numFmtId="3" fontId="1" fillId="9" borderId="35" xfId="0" applyNumberFormat="1" applyFont="1" applyFill="1" applyBorder="1" applyAlignment="1">
      <alignment horizontal="center" vertical="center"/>
    </xf>
    <xf numFmtId="3" fontId="1" fillId="9" borderId="36" xfId="0" applyNumberFormat="1" applyFont="1" applyFill="1" applyBorder="1" applyAlignment="1">
      <alignment horizontal="center" vertical="center"/>
    </xf>
    <xf numFmtId="4" fontId="1" fillId="9" borderId="35" xfId="0" applyNumberFormat="1" applyFont="1" applyFill="1" applyBorder="1" applyAlignment="1">
      <alignment horizontal="center" vertical="center"/>
    </xf>
    <xf numFmtId="4" fontId="1" fillId="9" borderId="36" xfId="0" applyNumberFormat="1" applyFont="1" applyFill="1" applyBorder="1" applyAlignment="1">
      <alignment horizontal="center" vertical="center"/>
    </xf>
    <xf numFmtId="0" fontId="20" fillId="9" borderId="35" xfId="1" applyFont="1" applyFill="1" applyBorder="1" applyAlignment="1" applyProtection="1">
      <alignment horizontal="center" vertical="center" wrapText="1"/>
    </xf>
    <xf numFmtId="0" fontId="20" fillId="9" borderId="36" xfId="0" applyFont="1" applyFill="1" applyBorder="1" applyAlignment="1">
      <alignment horizontal="center" vertical="center" wrapText="1"/>
    </xf>
    <xf numFmtId="0" fontId="2" fillId="0" borderId="0" xfId="0" applyFont="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13" fillId="3" borderId="36" xfId="1" applyFont="1" applyFill="1" applyBorder="1" applyAlignment="1" applyProtection="1">
      <alignment horizontal="center" vertical="center" wrapText="1"/>
    </xf>
    <xf numFmtId="4" fontId="1" fillId="2" borderId="0" xfId="0" applyNumberFormat="1" applyFont="1" applyFill="1" applyBorder="1" applyAlignment="1">
      <alignment horizontal="center" vertical="center"/>
    </xf>
    <xf numFmtId="0" fontId="20" fillId="2" borderId="0" xfId="1" applyFont="1" applyFill="1" applyBorder="1" applyAlignment="1" applyProtection="1">
      <alignment horizontal="center" vertical="center" wrapText="1"/>
    </xf>
    <xf numFmtId="0" fontId="20" fillId="2" borderId="0" xfId="0" applyFont="1" applyFill="1" applyBorder="1" applyAlignment="1">
      <alignment horizontal="center" vertical="center" wrapText="1"/>
    </xf>
    <xf numFmtId="168" fontId="9" fillId="5" borderId="0" xfId="0" applyNumberFormat="1" applyFont="1" applyFill="1" applyAlignment="1">
      <alignment horizontal="center" vertical="center"/>
    </xf>
    <xf numFmtId="0" fontId="1" fillId="3" borderId="20" xfId="0" applyFont="1" applyFill="1" applyBorder="1" applyAlignment="1">
      <alignment horizontal="center" vertical="center"/>
    </xf>
    <xf numFmtId="0" fontId="1" fillId="3" borderId="17"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23" xfId="0" applyFont="1" applyFill="1" applyBorder="1" applyAlignment="1">
      <alignment horizontal="center" vertical="center"/>
    </xf>
    <xf numFmtId="0" fontId="2" fillId="0" borderId="26" xfId="0" applyFont="1" applyBorder="1" applyAlignment="1">
      <alignment horizontal="center" vertical="center"/>
    </xf>
    <xf numFmtId="0" fontId="2" fillId="0" borderId="19" xfId="0" applyFont="1" applyBorder="1" applyAlignment="1">
      <alignment horizontal="center" vertical="center"/>
    </xf>
    <xf numFmtId="0" fontId="1" fillId="2" borderId="28" xfId="0" applyFont="1" applyFill="1" applyBorder="1" applyAlignment="1">
      <alignment horizontal="center" vertical="center"/>
    </xf>
    <xf numFmtId="0" fontId="1" fillId="2" borderId="29" xfId="0" applyFont="1" applyFill="1" applyBorder="1" applyAlignment="1">
      <alignment horizontal="center" vertical="center"/>
    </xf>
    <xf numFmtId="0" fontId="2" fillId="0" borderId="25" xfId="0" applyFont="1" applyBorder="1" applyAlignment="1">
      <alignment horizontal="center" vertical="center"/>
    </xf>
    <xf numFmtId="0" fontId="9" fillId="7" borderId="0" xfId="0" applyFont="1" applyFill="1" applyAlignment="1">
      <alignment horizontal="center" vertical="center"/>
    </xf>
    <xf numFmtId="0" fontId="13" fillId="7" borderId="50" xfId="1" applyFont="1" applyFill="1" applyBorder="1" applyAlignment="1" applyProtection="1">
      <alignment horizontal="center" vertical="center" wrapText="1"/>
    </xf>
    <xf numFmtId="0" fontId="5" fillId="4" borderId="50" xfId="0" applyFont="1" applyFill="1" applyBorder="1" applyAlignment="1">
      <alignment horizontal="center" vertical="center"/>
    </xf>
    <xf numFmtId="3" fontId="1" fillId="0" borderId="50" xfId="0" applyNumberFormat="1" applyFont="1" applyBorder="1" applyAlignment="1">
      <alignment horizontal="center" vertical="center"/>
    </xf>
    <xf numFmtId="0" fontId="5" fillId="4" borderId="35" xfId="0" applyFont="1" applyFill="1" applyBorder="1" applyAlignment="1">
      <alignment horizontal="center" vertical="center" wrapText="1"/>
    </xf>
    <xf numFmtId="0" fontId="5" fillId="4" borderId="36" xfId="0" applyFont="1" applyFill="1" applyBorder="1" applyAlignment="1">
      <alignment horizontal="center" vertical="center" wrapText="1"/>
    </xf>
    <xf numFmtId="171" fontId="1" fillId="0" borderId="35" xfId="0" applyNumberFormat="1" applyFont="1" applyBorder="1" applyAlignment="1">
      <alignment horizontal="center" vertical="center" wrapText="1"/>
    </xf>
    <xf numFmtId="171" fontId="1" fillId="0" borderId="36"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1" fillId="0" borderId="36" xfId="0" applyNumberFormat="1" applyFont="1" applyBorder="1" applyAlignment="1">
      <alignment horizontal="center" vertical="center" wrapText="1"/>
    </xf>
    <xf numFmtId="0" fontId="18" fillId="3" borderId="0" xfId="0" applyFont="1" applyFill="1" applyAlignment="1">
      <alignment horizontal="center" vertical="center"/>
    </xf>
    <xf numFmtId="0" fontId="18" fillId="3" borderId="0" xfId="0" applyFont="1" applyFill="1" applyAlignment="1">
      <alignment horizontal="left" vertical="center"/>
    </xf>
    <xf numFmtId="4" fontId="1" fillId="0" borderId="50" xfId="0" applyNumberFormat="1" applyFont="1" applyBorder="1" applyAlignment="1">
      <alignment horizontal="center" vertical="center"/>
    </xf>
    <xf numFmtId="9" fontId="1" fillId="0" borderId="50" xfId="0" applyNumberFormat="1" applyFont="1" applyBorder="1" applyAlignment="1">
      <alignment horizontal="center" vertical="center"/>
    </xf>
    <xf numFmtId="0" fontId="1" fillId="2" borderId="61" xfId="0" applyFont="1" applyFill="1" applyBorder="1" applyAlignment="1">
      <alignment horizontal="center" vertical="center"/>
    </xf>
    <xf numFmtId="0" fontId="1" fillId="2" borderId="62" xfId="0" applyFont="1" applyFill="1" applyBorder="1" applyAlignment="1">
      <alignment horizontal="center" vertical="center"/>
    </xf>
    <xf numFmtId="0" fontId="1" fillId="2" borderId="63" xfId="0" applyFont="1" applyFill="1" applyBorder="1" applyAlignment="1">
      <alignment horizontal="center" vertical="center"/>
    </xf>
    <xf numFmtId="2" fontId="21" fillId="2" borderId="35" xfId="4" applyNumberFormat="1" applyFont="1" applyFill="1" applyBorder="1" applyAlignment="1">
      <alignment horizontal="center" vertical="center"/>
    </xf>
    <xf numFmtId="2" fontId="21" fillId="2" borderId="36" xfId="4" applyNumberFormat="1" applyFont="1" applyFill="1" applyBorder="1" applyAlignment="1">
      <alignment horizontal="center" vertical="center"/>
    </xf>
    <xf numFmtId="3" fontId="21" fillId="2" borderId="35" xfId="0" applyNumberFormat="1" applyFont="1" applyFill="1" applyBorder="1" applyAlignment="1">
      <alignment horizontal="center" vertical="center"/>
    </xf>
    <xf numFmtId="3" fontId="21" fillId="2" borderId="36" xfId="0" applyNumberFormat="1" applyFont="1" applyFill="1" applyBorder="1" applyAlignment="1">
      <alignment horizontal="center" vertical="center"/>
    </xf>
    <xf numFmtId="171" fontId="1" fillId="0" borderId="35" xfId="0" applyNumberFormat="1" applyFont="1" applyBorder="1" applyAlignment="1">
      <alignment horizontal="center" vertical="center"/>
    </xf>
    <xf numFmtId="171" fontId="1" fillId="0" borderId="36" xfId="0" applyNumberFormat="1" applyFont="1" applyBorder="1" applyAlignment="1">
      <alignment horizontal="center" vertical="center"/>
    </xf>
    <xf numFmtId="0" fontId="9" fillId="5" borderId="0" xfId="0" applyFont="1" applyFill="1" applyAlignment="1">
      <alignment horizontal="center" vertical="center"/>
    </xf>
    <xf numFmtId="11" fontId="1" fillId="2" borderId="71" xfId="0" applyNumberFormat="1" applyFont="1" applyFill="1" applyBorder="1" applyAlignment="1">
      <alignment horizontal="left" vertical="center" wrapText="1" indent="2"/>
    </xf>
  </cellXfs>
  <cellStyles count="62">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16" builtinId="27" customBuiltin="1"/>
    <cellStyle name="Calculation 2" xfId="45"/>
    <cellStyle name="Cálculo 2" xfId="44"/>
    <cellStyle name="Celda vinculada 2" xfId="53"/>
    <cellStyle name="Check Cell" xfId="18" builtinId="23" customBuiltin="1"/>
    <cellStyle name="Comma" xfId="5" builtinId="3"/>
    <cellStyle name="Comma 2" xfId="47"/>
    <cellStyle name="Entrada 2" xfId="51"/>
    <cellStyle name="Euro" xfId="6"/>
    <cellStyle name="Euro 2" xfId="7"/>
    <cellStyle name="Followed Hyperlink" xfId="13" builtinId="9" hidden="1"/>
    <cellStyle name="Good" xfId="15" builtinId="26" customBuiltin="1"/>
    <cellStyle name="Hipervínculo 2" xfId="8"/>
    <cellStyle name="Hipervínculo 3" xfId="50"/>
    <cellStyle name="Hipervínculo 4" xfId="59"/>
    <cellStyle name="Hipervínculo visitado 2" xfId="49"/>
    <cellStyle name="Hyperlink" xfId="1" builtinId="8"/>
    <cellStyle name="Input" xfId="60" builtinId="20"/>
    <cellStyle name="Input data" xfId="52"/>
    <cellStyle name="Millares 2" xfId="3"/>
    <cellStyle name="Millares 3" xfId="46"/>
    <cellStyle name="Neutral" xfId="17" builtinId="28" customBuiltin="1"/>
    <cellStyle name="Neutral 2" xfId="61"/>
    <cellStyle name="Normal" xfId="0" builtinId="0"/>
    <cellStyle name="Normal 2" xfId="2"/>
    <cellStyle name="Normal 2 2" xfId="9"/>
    <cellStyle name="Normal 3" xfId="10"/>
    <cellStyle name="Normal 4" xfId="43"/>
    <cellStyle name="Notas 2" xfId="54"/>
    <cellStyle name="Percent" xfId="4" builtinId="5"/>
    <cellStyle name="Percent 2" xfId="56"/>
    <cellStyle name="Porcentual 2" xfId="11"/>
    <cellStyle name="Salida 2" xfId="55"/>
    <cellStyle name="Selection" xfId="57"/>
    <cellStyle name="Texto de advertencia 2" xfId="58"/>
    <cellStyle name="Texto explicativo 2" xfId="48"/>
    <cellStyle name="Title" xfId="14" builtinId="15" customBuiltin="1"/>
    <cellStyle name="Обычный_LULUCF module - v 1.0" xfId="12"/>
  </cellStyles>
  <dxfs count="8">
    <dxf>
      <font>
        <color theme="6" tint="-0.499984740745262"/>
      </font>
    </dxf>
    <dxf>
      <font>
        <condense val="0"/>
        <extend val="0"/>
        <color rgb="FF9C0006"/>
      </font>
    </dxf>
    <dxf>
      <font>
        <color theme="6" tint="-0.499984740745262"/>
      </font>
    </dxf>
    <dxf>
      <font>
        <condense val="0"/>
        <extend val="0"/>
        <color rgb="FF9C0006"/>
      </font>
    </dxf>
    <dxf>
      <font>
        <color theme="6" tint="-0.499984740745262"/>
      </font>
    </dxf>
    <dxf>
      <font>
        <condense val="0"/>
        <extend val="0"/>
        <color rgb="FF9C0006"/>
      </font>
    </dxf>
    <dxf>
      <font>
        <color theme="6" tint="-0.499984740745262"/>
      </font>
    </dxf>
    <dxf>
      <font>
        <condense val="0"/>
        <extend val="0"/>
        <color rgb="FF9C0006"/>
      </font>
    </dxf>
  </dxfs>
  <tableStyles count="0" defaultTableStyle="TableStyleMedium9" defaultPivotStyle="PivotStyleLight16"/>
  <colors>
    <mruColors>
      <color rgb="FF1E3B59"/>
      <color rgb="FF299D6C"/>
      <color rgb="FF4F657D"/>
      <color rgb="FF98E4C3"/>
      <color rgb="FF95E3C2"/>
      <color rgb="FF42CE92"/>
      <color rgb="FF0052F6"/>
      <color rgb="FF004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Public Investment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doughnutChart>
        <c:varyColors val="1"/>
        <c:ser>
          <c:idx val="0"/>
          <c:order val="0"/>
          <c:spPr>
            <a:solidFill>
              <a:srgbClr val="299D6C"/>
            </a:solidFill>
          </c:spPr>
          <c:dPt>
            <c:idx val="0"/>
            <c:bubble3D val="0"/>
            <c:spPr>
              <a:solidFill>
                <a:srgbClr val="1E3B59"/>
              </a:solidFill>
              <a:ln w="19050">
                <a:solidFill>
                  <a:schemeClr val="lt1"/>
                </a:solidFill>
              </a:ln>
              <a:effectLst/>
            </c:spPr>
            <c:extLst xmlns:c16r2="http://schemas.microsoft.com/office/drawing/2015/06/chart">
              <c:ext xmlns:c16="http://schemas.microsoft.com/office/drawing/2014/chart" uri="{C3380CC4-5D6E-409C-BE32-E72D297353CC}">
                <c16:uniqueId val="{00000003-B4A7-4B68-A45F-E54BA0BF4B1A}"/>
              </c:ext>
            </c:extLst>
          </c:dPt>
          <c:dPt>
            <c:idx val="1"/>
            <c:bubble3D val="0"/>
            <c:spPr>
              <a:solidFill>
                <a:srgbClr val="299D6C"/>
              </a:solidFill>
              <a:ln w="19050">
                <a:solidFill>
                  <a:schemeClr val="lt1"/>
                </a:solidFill>
              </a:ln>
              <a:effectLst/>
            </c:spPr>
            <c:extLst xmlns:c16r2="http://schemas.microsoft.com/office/drawing/2015/06/chart">
              <c:ext xmlns:c16="http://schemas.microsoft.com/office/drawing/2014/chart" uri="{C3380CC4-5D6E-409C-BE32-E72D297353CC}">
                <c16:uniqueId val="{00000002-B4A7-4B68-A45F-E54BA0BF4B1A}"/>
              </c:ext>
            </c:extLst>
          </c:dPt>
          <c:val>
            <c:numRef>
              <c:f>Hoja1!$D$15:$E$15</c:f>
              <c:numCache>
                <c:formatCode>0%</c:formatCode>
                <c:ptCount val="2"/>
                <c:pt idx="0">
                  <c:v>0</c:v>
                </c:pt>
                <c:pt idx="1">
                  <c:v>0</c:v>
                </c:pt>
              </c:numCache>
            </c:numRef>
          </c:val>
          <c:extLst xmlns:c16r2="http://schemas.microsoft.com/office/drawing/2015/06/chart">
            <c:ext xmlns:c16="http://schemas.microsoft.com/office/drawing/2014/chart" uri="{C3380CC4-5D6E-409C-BE32-E72D297353CC}">
              <c16:uniqueId val="{00000000-B4A7-4B68-A45F-E54BA0BF4B1A}"/>
            </c:ext>
          </c:extLst>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5102781136638E-2"/>
          <c:y val="1.39049826187717E-2"/>
          <c:w val="0.97218863361547803"/>
          <c:h val="0.97334878331402097"/>
        </c:manualLayout>
      </c:layout>
      <c:scatterChart>
        <c:scatterStyle val="lineMarker"/>
        <c:varyColors val="0"/>
        <c:ser>
          <c:idx val="0"/>
          <c:order val="0"/>
          <c:tx>
            <c:v>cage</c:v>
          </c:tx>
          <c:spPr>
            <a:ln w="3175">
              <a:solidFill>
                <a:srgbClr val="969696"/>
              </a:solidFill>
              <a:prstDash val="solid"/>
            </a:ln>
          </c:spPr>
          <c:marker>
            <c:symbol val="none"/>
          </c:marker>
          <c:dLbls>
            <c:dLbl>
              <c:idx val="0"/>
              <c:delete val="1"/>
              <c:extLst xmlns:c16r2="http://schemas.microsoft.com/office/drawing/2015/06/chart">
                <c:ext xmlns:c16="http://schemas.microsoft.com/office/drawing/2014/chart" uri="{C3380CC4-5D6E-409C-BE32-E72D297353CC}">
                  <c16:uniqueId val="{00000000-DA0F-4C54-BAFE-64AAAFE72721}"/>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1-DA0F-4C54-BAFE-64AAAFE72721}"/>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2-DA0F-4C54-BAFE-64AAAFE72721}"/>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3-DA0F-4C54-BAFE-64AAAFE72721}"/>
                </c:ext>
                <c:ext xmlns:c15="http://schemas.microsoft.com/office/drawing/2012/chart" uri="{CE6537A1-D6FC-4f65-9D91-7224C49458BB}"/>
              </c:extLst>
            </c:dLbl>
            <c:dLbl>
              <c:idx val="4"/>
              <c:tx>
                <c:strRef>
                  <c:f>[3]plot!$C$32</c:f>
                  <c:strCache>
                    <c:ptCount val="1"/>
                    <c:pt idx="0">
                      <c:v>Material 
Reductions</c:v>
                    </c:pt>
                  </c:strCache>
                </c:strRef>
              </c:tx>
              <c:dLblPos val="l"/>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4-DA0F-4C54-BAFE-64AAAFE72721}"/>
                </c:ext>
                <c:ext xmlns:c15="http://schemas.microsoft.com/office/drawing/2012/chart" uri="{CE6537A1-D6FC-4f65-9D91-7224C49458BB}">
                  <c15:dlblFieldTable>
                    <c15:dlblFTEntry>
                      <c15:txfldGUID>{F24E1985-33FE-4DB4-A5BB-1FE0685F849A}</c15:txfldGUID>
                      <c15:f>[3]plot!$C$32</c15:f>
                      <c15:dlblFieldTableCache>
                        <c:ptCount val="1"/>
                        <c:pt idx="0">
                          <c:v>Material 
Reductions</c:v>
                        </c:pt>
                      </c15:dlblFieldTableCache>
                    </c15:dlblFTEntry>
                  </c15:dlblFieldTable>
                  <c15:showDataLabelsRange val="0"/>
                </c:ext>
              </c:extLst>
            </c:dLbl>
            <c:dLbl>
              <c:idx val="5"/>
              <c:delete val="1"/>
              <c:extLst xmlns:c16r2="http://schemas.microsoft.com/office/drawing/2015/06/chart">
                <c:ext xmlns:c16="http://schemas.microsoft.com/office/drawing/2014/chart" uri="{C3380CC4-5D6E-409C-BE32-E72D297353CC}">
                  <c16:uniqueId val="{00000005-DA0F-4C54-BAFE-64AAAFE72721}"/>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06-DA0F-4C54-BAFE-64AAAFE72721}"/>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07-DA0F-4C54-BAFE-64AAAFE72721}"/>
                </c:ext>
                <c:ext xmlns:c15="http://schemas.microsoft.com/office/drawing/2012/chart" uri="{CE6537A1-D6FC-4f65-9D91-7224C49458BB}"/>
              </c:extLst>
            </c:dLbl>
            <c:dLbl>
              <c:idx val="8"/>
              <c:tx>
                <c:strRef>
                  <c:f>[3]plot!$E$32</c:f>
                  <c:strCache>
                    <c:ptCount val="1"/>
                    <c:pt idx="0">
                      <c:v>Competitiveness</c:v>
                    </c:pt>
                  </c:strCache>
                </c:strRef>
              </c:tx>
              <c:dLblPos val="t"/>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8-DA0F-4C54-BAFE-64AAAFE72721}"/>
                </c:ext>
                <c:ext xmlns:c15="http://schemas.microsoft.com/office/drawing/2012/chart" uri="{CE6537A1-D6FC-4f65-9D91-7224C49458BB}">
                  <c15:dlblFieldTable>
                    <c15:dlblFTEntry>
                      <c15:txfldGUID>{AD696000-1D2A-485D-96C9-E9875C484D64}</c15:txfldGUID>
                      <c15:f>[3]plot!$E$32</c15:f>
                      <c15:dlblFieldTableCache>
                        <c:ptCount val="1"/>
                        <c:pt idx="0">
                          <c:v>Competitiveness</c:v>
                        </c:pt>
                      </c15:dlblFieldTableCache>
                    </c15:dlblFTEntry>
                  </c15:dlblFieldTable>
                  <c15:showDataLabelsRange val="0"/>
                </c:ext>
              </c:extLst>
            </c:dLbl>
            <c:dLbl>
              <c:idx val="9"/>
              <c:delete val="1"/>
              <c:extLst xmlns:c16r2="http://schemas.microsoft.com/office/drawing/2015/06/chart">
                <c:ext xmlns:c16="http://schemas.microsoft.com/office/drawing/2014/chart" uri="{C3380CC4-5D6E-409C-BE32-E72D297353CC}">
                  <c16:uniqueId val="{00000009-DA0F-4C54-BAFE-64AAAFE72721}"/>
                </c:ext>
                <c:ext xmlns:c15="http://schemas.microsoft.com/office/drawing/2012/chart" uri="{CE6537A1-D6FC-4f65-9D91-7224C49458BB}"/>
              </c:extLst>
            </c:dLbl>
            <c:dLbl>
              <c:idx val="10"/>
              <c:tx>
                <c:strRef>
                  <c:f>[3]plot!$D$32</c:f>
                  <c:strCache>
                    <c:ptCount val="1"/>
                    <c:pt idx="0">
                      <c:v>Social</c:v>
                    </c:pt>
                  </c:strCache>
                </c:strRef>
              </c:tx>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A-DA0F-4C54-BAFE-64AAAFE72721}"/>
                </c:ext>
                <c:ext xmlns:c15="http://schemas.microsoft.com/office/drawing/2012/chart" uri="{CE6537A1-D6FC-4f65-9D91-7224C49458BB}">
                  <c15:dlblFieldTable>
                    <c15:dlblFTEntry>
                      <c15:txfldGUID>{85F8FD70-F444-451B-9219-0A9B9F3A54F5}</c15:txfldGUID>
                      <c15:f>[3]plot!$D$32</c15:f>
                      <c15:dlblFieldTableCache>
                        <c:ptCount val="1"/>
                        <c:pt idx="0">
                          <c:v>Social</c:v>
                        </c:pt>
                      </c15:dlblFieldTableCache>
                    </c15:dlblFTEntry>
                  </c15:dlblFieldTable>
                  <c15:showDataLabelsRange val="0"/>
                </c:ext>
              </c:extLst>
            </c:dLbl>
            <c:spPr>
              <a:noFill/>
              <a:ln w="25400">
                <a:noFill/>
              </a:ln>
            </c:spPr>
            <c:txPr>
              <a:bodyPr/>
              <a:lstStyle/>
              <a:p>
                <a:pPr>
                  <a:defRPr sz="1200" b="1" i="0" u="none" strike="noStrike" baseline="0">
                    <a:solidFill>
                      <a:srgbClr val="000000"/>
                    </a:solidFill>
                    <a:latin typeface="Verdana"/>
                    <a:ea typeface="Verdana"/>
                    <a:cs typeface="Verdana"/>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[3]plot!$N$10:$N$20</c:f>
              <c:numCache>
                <c:formatCode>General</c:formatCode>
                <c:ptCount val="11"/>
                <c:pt idx="0">
                  <c:v>-0.68301270189221952</c:v>
                </c:pt>
                <c:pt idx="1">
                  <c:v>-0.1830127018922193</c:v>
                </c:pt>
                <c:pt idx="2">
                  <c:v>-0.18301270189221919</c:v>
                </c:pt>
                <c:pt idx="3">
                  <c:v>-0.6830127018922193</c:v>
                </c:pt>
                <c:pt idx="4">
                  <c:v>-0.68301270189221952</c:v>
                </c:pt>
                <c:pt idx="5">
                  <c:v>0.18301270189221919</c:v>
                </c:pt>
                <c:pt idx="6">
                  <c:v>0.6830127018922193</c:v>
                </c:pt>
                <c:pt idx="7">
                  <c:v>0.68301270189221952</c:v>
                </c:pt>
                <c:pt idx="8">
                  <c:v>-0.18301270189221919</c:v>
                </c:pt>
                <c:pt idx="9">
                  <c:v>-0.1830127018922193</c:v>
                </c:pt>
                <c:pt idx="10">
                  <c:v>0.6830127018922193</c:v>
                </c:pt>
              </c:numCache>
            </c:numRef>
          </c:xVal>
          <c:yVal>
            <c:numRef>
              <c:f>[3]plot!$O$10:$O$20</c:f>
              <c:numCache>
                <c:formatCode>General</c:formatCode>
                <c:ptCount val="11"/>
                <c:pt idx="0">
                  <c:v>-0.52451905283832889</c:v>
                </c:pt>
                <c:pt idx="1">
                  <c:v>-9.150635094610976E-2</c:v>
                </c:pt>
                <c:pt idx="2">
                  <c:v>0.774519052838329</c:v>
                </c:pt>
                <c:pt idx="3">
                  <c:v>0.34150635094610982</c:v>
                </c:pt>
                <c:pt idx="4">
                  <c:v>-0.52451905283832889</c:v>
                </c:pt>
                <c:pt idx="5">
                  <c:v>-0.774519052838329</c:v>
                </c:pt>
                <c:pt idx="6">
                  <c:v>-0.34150635094610982</c:v>
                </c:pt>
                <c:pt idx="7">
                  <c:v>0.52451905283832889</c:v>
                </c:pt>
                <c:pt idx="8">
                  <c:v>0.774519052838329</c:v>
                </c:pt>
                <c:pt idx="9">
                  <c:v>-9.150635094610976E-2</c:v>
                </c:pt>
                <c:pt idx="10">
                  <c:v>-0.34150635094610982</c:v>
                </c:pt>
              </c:numCache>
            </c:numRef>
          </c:yVal>
          <c:smooth val="0"/>
          <c:extLst xmlns:c16r2="http://schemas.microsoft.com/office/drawing/2015/06/chart">
            <c:ext xmlns:c16="http://schemas.microsoft.com/office/drawing/2014/chart" uri="{C3380CC4-5D6E-409C-BE32-E72D297353CC}">
              <c16:uniqueId val="{0000000B-DA0F-4C54-BAFE-64AAAFE72721}"/>
            </c:ext>
          </c:extLst>
        </c:ser>
        <c:ser>
          <c:idx val="1"/>
          <c:order val="1"/>
          <c:tx>
            <c:v>labx</c:v>
          </c:tx>
          <c:spPr>
            <a:ln w="3175">
              <a:solidFill>
                <a:srgbClr val="C0C0C0"/>
              </a:solidFill>
              <a:prstDash val="solid"/>
            </a:ln>
          </c:spPr>
          <c:marker>
            <c:symbol val="none"/>
          </c:marker>
          <c:dLbls>
            <c:dLbl>
              <c:idx val="0"/>
              <c:tx>
                <c:strRef>
                  <c:f>[3]plot!$X$9</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C-DA0F-4C54-BAFE-64AAAFE72721}"/>
                </c:ext>
                <c:ext xmlns:c15="http://schemas.microsoft.com/office/drawing/2012/chart" uri="{CE6537A1-D6FC-4f65-9D91-7224C49458BB}">
                  <c15:dlblFieldTable>
                    <c15:dlblFTEntry>
                      <c15:txfldGUID>{B18C9BE9-C4A1-4D45-9FC9-8A0774C55F4B}</c15:txfldGUID>
                      <c15:f>[3]plot!$X$9</c15:f>
                      <c15:dlblFieldTableCache>
                        <c:ptCount val="1"/>
                      </c15:dlblFieldTableCache>
                    </c15:dlblFTEntry>
                  </c15:dlblFieldTable>
                  <c15:showDataLabelsRange val="0"/>
                </c:ext>
              </c:extLst>
            </c:dLbl>
            <c:dLbl>
              <c:idx val="1"/>
              <c:tx>
                <c:strRef>
                  <c:f>[3]plot!$X$10</c:f>
                  <c:strCache>
                    <c:ptCount val="1"/>
                    <c:pt idx="0">
                      <c:v>2.5</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D-DA0F-4C54-BAFE-64AAAFE72721}"/>
                </c:ext>
                <c:ext xmlns:c15="http://schemas.microsoft.com/office/drawing/2012/chart" uri="{CE6537A1-D6FC-4f65-9D91-7224C49458BB}">
                  <c15:dlblFieldTable>
                    <c15:dlblFTEntry>
                      <c15:txfldGUID>{8DF17C7F-B097-4F4C-AE57-663884F8B0F3}</c15:txfldGUID>
                      <c15:f>[3]plot!$X$10</c15:f>
                      <c15:dlblFieldTableCache>
                        <c:ptCount val="1"/>
                        <c:pt idx="0">
                          <c:v>2.5</c:v>
                        </c:pt>
                      </c15:dlblFieldTableCache>
                    </c15:dlblFTEntry>
                  </c15:dlblFieldTable>
                  <c15:showDataLabelsRange val="0"/>
                </c:ext>
              </c:extLst>
            </c:dLbl>
            <c:dLbl>
              <c:idx val="2"/>
              <c:tx>
                <c:strRef>
                  <c:f>[3]plot!$X$11</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E-DA0F-4C54-BAFE-64AAAFE72721}"/>
                </c:ext>
                <c:ext xmlns:c15="http://schemas.microsoft.com/office/drawing/2012/chart" uri="{CE6537A1-D6FC-4f65-9D91-7224C49458BB}">
                  <c15:dlblFieldTable>
                    <c15:dlblFTEntry>
                      <c15:txfldGUID>{D0F2A5D5-AE5D-4D48-8157-07EE876B4E61}</c15:txfldGUID>
                      <c15:f>[3]plot!$X$11</c15:f>
                      <c15:dlblFieldTableCache>
                        <c:ptCount val="1"/>
                      </c15:dlblFieldTableCache>
                    </c15:dlblFTEntry>
                  </c15:dlblFieldTable>
                  <c15:showDataLabelsRange val="0"/>
                </c:ext>
              </c:extLst>
            </c:dLbl>
            <c:dLbl>
              <c:idx val="3"/>
              <c:tx>
                <c:strRef>
                  <c:f>[3]plot!$X$12</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F-DA0F-4C54-BAFE-64AAAFE72721}"/>
                </c:ext>
                <c:ext xmlns:c15="http://schemas.microsoft.com/office/drawing/2012/chart" uri="{CE6537A1-D6FC-4f65-9D91-7224C49458BB}">
                  <c15:dlblFieldTable>
                    <c15:dlblFTEntry>
                      <c15:txfldGUID>{7994283B-2203-4C52-A64C-2E074C54F243}</c15:txfldGUID>
                      <c15:f>[3]plot!$X$12</c15:f>
                      <c15:dlblFieldTableCache>
                        <c:ptCount val="1"/>
                      </c15:dlblFieldTableCache>
                    </c15:dlblFTEntry>
                  </c15:dlblFieldTable>
                  <c15:showDataLabelsRange val="0"/>
                </c:ext>
              </c:extLst>
            </c:dLbl>
            <c:dLbl>
              <c:idx val="4"/>
              <c:tx>
                <c:strRef>
                  <c:f>[3]plot!$X$13</c:f>
                  <c:strCache>
                    <c:ptCount val="1"/>
                    <c:pt idx="0">
                      <c:v>3</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0-DA0F-4C54-BAFE-64AAAFE72721}"/>
                </c:ext>
                <c:ext xmlns:c15="http://schemas.microsoft.com/office/drawing/2012/chart" uri="{CE6537A1-D6FC-4f65-9D91-7224C49458BB}">
                  <c15:dlblFieldTable>
                    <c15:dlblFTEntry>
                      <c15:txfldGUID>{9DFAF225-5869-4440-B126-A1D9E38F68B0}</c15:txfldGUID>
                      <c15:f>[3]plot!$X$13</c15:f>
                      <c15:dlblFieldTableCache>
                        <c:ptCount val="1"/>
                        <c:pt idx="0">
                          <c:v>3</c:v>
                        </c:pt>
                      </c15:dlblFieldTableCache>
                    </c15:dlblFTEntry>
                  </c15:dlblFieldTable>
                  <c15:showDataLabelsRange val="0"/>
                </c:ext>
              </c:extLst>
            </c:dLbl>
            <c:dLbl>
              <c:idx val="5"/>
              <c:tx>
                <c:strRef>
                  <c:f>[3]plot!$X$14</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1-DA0F-4C54-BAFE-64AAAFE72721}"/>
                </c:ext>
                <c:ext xmlns:c15="http://schemas.microsoft.com/office/drawing/2012/chart" uri="{CE6537A1-D6FC-4f65-9D91-7224C49458BB}">
                  <c15:dlblFieldTable>
                    <c15:dlblFTEntry>
                      <c15:txfldGUID>{897CD11E-9041-4215-8921-71AC0D7CB231}</c15:txfldGUID>
                      <c15:f>[3]plot!$X$14</c15:f>
                      <c15:dlblFieldTableCache>
                        <c:ptCount val="1"/>
                      </c15:dlblFieldTableCache>
                    </c15:dlblFTEntry>
                  </c15:dlblFieldTable>
                  <c15:showDataLabelsRange val="0"/>
                </c:ext>
              </c:extLst>
            </c:dLbl>
            <c:dLbl>
              <c:idx val="6"/>
              <c:tx>
                <c:strRef>
                  <c:f>[3]plot!$X$15</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2-DA0F-4C54-BAFE-64AAAFE72721}"/>
                </c:ext>
                <c:ext xmlns:c15="http://schemas.microsoft.com/office/drawing/2012/chart" uri="{CE6537A1-D6FC-4f65-9D91-7224C49458BB}">
                  <c15:dlblFieldTable>
                    <c15:dlblFTEntry>
                      <c15:txfldGUID>{0A15DFF5-A162-4F18-A194-08C446BA6987}</c15:txfldGUID>
                      <c15:f>[3]plot!$X$15</c15:f>
                      <c15:dlblFieldTableCache>
                        <c:ptCount val="1"/>
                      </c15:dlblFieldTableCache>
                    </c15:dlblFTEntry>
                  </c15:dlblFieldTable>
                  <c15:showDataLabelsRange val="0"/>
                </c:ext>
              </c:extLst>
            </c:dLbl>
            <c:dLbl>
              <c:idx val="7"/>
              <c:tx>
                <c:strRef>
                  <c:f>[3]plot!$X$16</c:f>
                  <c:strCache>
                    <c:ptCount val="1"/>
                    <c:pt idx="0">
                      <c:v>3.5</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3-DA0F-4C54-BAFE-64AAAFE72721}"/>
                </c:ext>
                <c:ext xmlns:c15="http://schemas.microsoft.com/office/drawing/2012/chart" uri="{CE6537A1-D6FC-4f65-9D91-7224C49458BB}">
                  <c15:dlblFieldTable>
                    <c15:dlblFTEntry>
                      <c15:txfldGUID>{86D57063-F184-4756-9737-43D65E82F489}</c15:txfldGUID>
                      <c15:f>[3]plot!$X$16</c15:f>
                      <c15:dlblFieldTableCache>
                        <c:ptCount val="1"/>
                        <c:pt idx="0">
                          <c:v>3.5</c:v>
                        </c:pt>
                      </c15:dlblFieldTableCache>
                    </c15:dlblFTEntry>
                  </c15:dlblFieldTable>
                  <c15:showDataLabelsRange val="0"/>
                </c:ext>
              </c:extLst>
            </c:dLbl>
            <c:dLbl>
              <c:idx val="8"/>
              <c:tx>
                <c:strRef>
                  <c:f>[3]plot!$X$17</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4-DA0F-4C54-BAFE-64AAAFE72721}"/>
                </c:ext>
                <c:ext xmlns:c15="http://schemas.microsoft.com/office/drawing/2012/chart" uri="{CE6537A1-D6FC-4f65-9D91-7224C49458BB}">
                  <c15:dlblFieldTable>
                    <c15:dlblFTEntry>
                      <c15:txfldGUID>{AF466D08-6DC9-4037-8BEB-1CFA5ED39215}</c15:txfldGUID>
                      <c15:f>[3]plot!$X$17</c15:f>
                      <c15:dlblFieldTableCache>
                        <c:ptCount val="1"/>
                      </c15:dlblFieldTableCache>
                    </c15:dlblFTEntry>
                  </c15:dlblFieldTable>
                  <c15:showDataLabelsRange val="0"/>
                </c:ext>
              </c:extLst>
            </c:dLbl>
            <c:dLbl>
              <c:idx val="9"/>
              <c:tx>
                <c:strRef>
                  <c:f>[3]plot!$X$18</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5-DA0F-4C54-BAFE-64AAAFE72721}"/>
                </c:ext>
                <c:ext xmlns:c15="http://schemas.microsoft.com/office/drawing/2012/chart" uri="{CE6537A1-D6FC-4f65-9D91-7224C49458BB}">
                  <c15:dlblFieldTable>
                    <c15:dlblFTEntry>
                      <c15:txfldGUID>{C72EFADD-E11C-452A-AAE6-407D1F5C7DF2}</c15:txfldGUID>
                      <c15:f>[3]plot!$X$18</c15:f>
                      <c15:dlblFieldTableCache>
                        <c:ptCount val="1"/>
                      </c15:dlblFieldTableCache>
                    </c15:dlblFTEntry>
                  </c15:dlblFieldTable>
                  <c15:showDataLabelsRange val="0"/>
                </c:ext>
              </c:extLst>
            </c:dLbl>
            <c:dLbl>
              <c:idx val="10"/>
              <c:tx>
                <c:strRef>
                  <c:f>[3]plot!$X$19</c:f>
                  <c:strCache>
                    <c:ptCount val="1"/>
                    <c:pt idx="0">
                      <c:v>4</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6-DA0F-4C54-BAFE-64AAAFE72721}"/>
                </c:ext>
                <c:ext xmlns:c15="http://schemas.microsoft.com/office/drawing/2012/chart" uri="{CE6537A1-D6FC-4f65-9D91-7224C49458BB}">
                  <c15:dlblFieldTable>
                    <c15:dlblFTEntry>
                      <c15:txfldGUID>{20374AA0-3001-4829-9FC6-A5B003D60B6C}</c15:txfldGUID>
                      <c15:f>[3]plot!$X$19</c15:f>
                      <c15:dlblFieldTableCache>
                        <c:ptCount val="1"/>
                        <c:pt idx="0">
                          <c:v>4</c:v>
                        </c:pt>
                      </c15:dlblFieldTableCache>
                    </c15:dlblFTEntry>
                  </c15:dlblFieldTable>
                  <c15:showDataLabelsRange val="0"/>
                </c:ext>
              </c:extLst>
            </c:dLbl>
            <c:dLbl>
              <c:idx val="11"/>
              <c:tx>
                <c:strRef>
                  <c:f>[3]plot!$X$20</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7-DA0F-4C54-BAFE-64AAAFE72721}"/>
                </c:ext>
                <c:ext xmlns:c15="http://schemas.microsoft.com/office/drawing/2012/chart" uri="{CE6537A1-D6FC-4f65-9D91-7224C49458BB}">
                  <c15:dlblFieldTable>
                    <c15:dlblFTEntry>
                      <c15:txfldGUID>{F48821E5-B21A-4D9F-91E7-D48554D284AE}</c15:txfldGUID>
                      <c15:f>[3]plot!$X$20</c15:f>
                      <c15:dlblFieldTableCache>
                        <c:ptCount val="1"/>
                      </c15:dlblFieldTableCache>
                    </c15:dlblFTEntry>
                  </c15:dlblFieldTable>
                  <c15:showDataLabelsRange val="0"/>
                </c:ext>
              </c:extLst>
            </c:dLbl>
            <c:dLbl>
              <c:idx val="12"/>
              <c:tx>
                <c:strRef>
                  <c:f>[3]plot!$X$21</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8-DA0F-4C54-BAFE-64AAAFE72721}"/>
                </c:ext>
                <c:ext xmlns:c15="http://schemas.microsoft.com/office/drawing/2012/chart" uri="{CE6537A1-D6FC-4f65-9D91-7224C49458BB}">
                  <c15:dlblFieldTable>
                    <c15:dlblFTEntry>
                      <c15:txfldGUID>{E2B469FF-6E0E-4CF5-845A-E7FE16B909E8}</c15:txfldGUID>
                      <c15:f>[3]plot!$X$21</c15:f>
                      <c15:dlblFieldTableCache>
                        <c:ptCount val="1"/>
                      </c15:dlblFieldTableCache>
                    </c15:dlblFTEntry>
                  </c15:dlblFieldTable>
                  <c15:showDataLabelsRange val="0"/>
                </c:ext>
              </c:extLst>
            </c:dLbl>
            <c:dLbl>
              <c:idx val="13"/>
              <c:tx>
                <c:strRef>
                  <c:f>[3]plot!$X$22</c:f>
                  <c:strCache>
                    <c:ptCount val="1"/>
                    <c:pt idx="0">
                      <c:v>4</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9-DA0F-4C54-BAFE-64AAAFE72721}"/>
                </c:ext>
                <c:ext xmlns:c15="http://schemas.microsoft.com/office/drawing/2012/chart" uri="{CE6537A1-D6FC-4f65-9D91-7224C49458BB}">
                  <c15:dlblFieldTable>
                    <c15:dlblFTEntry>
                      <c15:txfldGUID>{B17834DF-3519-4D37-B18D-74AEF7F5C474}</c15:txfldGUID>
                      <c15:f>[3]plot!$X$22</c15:f>
                      <c15:dlblFieldTableCache>
                        <c:ptCount val="1"/>
                        <c:pt idx="0">
                          <c:v>4</c:v>
                        </c:pt>
                      </c15:dlblFieldTableCache>
                    </c15:dlblFTEntry>
                  </c15:dlblFieldTable>
                  <c15:showDataLabelsRange val="0"/>
                </c:ext>
              </c:extLst>
            </c:dLbl>
            <c:dLbl>
              <c:idx val="14"/>
              <c:tx>
                <c:strRef>
                  <c:f>[3]plot!$X$23</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A-DA0F-4C54-BAFE-64AAAFE72721}"/>
                </c:ext>
                <c:ext xmlns:c15="http://schemas.microsoft.com/office/drawing/2012/chart" uri="{CE6537A1-D6FC-4f65-9D91-7224C49458BB}">
                  <c15:dlblFieldTable>
                    <c15:dlblFTEntry>
                      <c15:txfldGUID>{B163C141-0FFE-4F91-A1E2-C72D5A442F01}</c15:txfldGUID>
                      <c15:f>[3]plot!$X$23</c15:f>
                      <c15:dlblFieldTableCache>
                        <c:ptCount val="1"/>
                      </c15:dlblFieldTableCache>
                    </c15:dlblFTEntry>
                  </c15:dlblFieldTable>
                  <c15:showDataLabelsRange val="0"/>
                </c:ext>
              </c:extLst>
            </c:dLbl>
            <c:dLbl>
              <c:idx val="15"/>
              <c:tx>
                <c:strRef>
                  <c:f>[3]plot!$X$24</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B-DA0F-4C54-BAFE-64AAAFE72721}"/>
                </c:ext>
                <c:ext xmlns:c15="http://schemas.microsoft.com/office/drawing/2012/chart" uri="{CE6537A1-D6FC-4f65-9D91-7224C49458BB}">
                  <c15:dlblFieldTable>
                    <c15:dlblFTEntry>
                      <c15:txfldGUID>{91DCD954-ECC9-4DDE-8161-246BD38BA173}</c15:txfldGUID>
                      <c15:f>[3]plot!$X$24</c15:f>
                      <c15:dlblFieldTableCache>
                        <c:ptCount val="1"/>
                      </c15:dlblFieldTableCache>
                    </c15:dlblFTEntry>
                  </c15:dlblFieldTable>
                  <c15:showDataLabelsRange val="0"/>
                </c:ext>
              </c:extLst>
            </c:dLbl>
            <c:dLbl>
              <c:idx val="16"/>
              <c:tx>
                <c:strRef>
                  <c:f>[3]plot!$X$25</c:f>
                  <c:strCache>
                    <c:ptCount val="1"/>
                    <c:pt idx="0">
                      <c:v>4</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C-DA0F-4C54-BAFE-64AAAFE72721}"/>
                </c:ext>
                <c:ext xmlns:c15="http://schemas.microsoft.com/office/drawing/2012/chart" uri="{CE6537A1-D6FC-4f65-9D91-7224C49458BB}">
                  <c15:dlblFieldTable>
                    <c15:dlblFTEntry>
                      <c15:txfldGUID>{A62E8D61-52B3-4550-A1B0-DC93B3D8B400}</c15:txfldGUID>
                      <c15:f>[3]plot!$X$25</c15:f>
                      <c15:dlblFieldTableCache>
                        <c:ptCount val="1"/>
                        <c:pt idx="0">
                          <c:v>4</c:v>
                        </c:pt>
                      </c15:dlblFieldTableCache>
                    </c15:dlblFTEntry>
                  </c15:dlblFieldTable>
                  <c15:showDataLabelsRange val="0"/>
                </c:ext>
              </c:extLst>
            </c:dLbl>
            <c:dLbl>
              <c:idx val="17"/>
              <c:tx>
                <c:strRef>
                  <c:f>[3]plot!$X$26</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D-DA0F-4C54-BAFE-64AAAFE72721}"/>
                </c:ext>
                <c:ext xmlns:c15="http://schemas.microsoft.com/office/drawing/2012/chart" uri="{CE6537A1-D6FC-4f65-9D91-7224C49458BB}">
                  <c15:dlblFieldTable>
                    <c15:dlblFTEntry>
                      <c15:txfldGUID>{7627960D-3689-450B-9C83-C6E41719DAF5}</c15:txfldGUID>
                      <c15:f>[3]plot!$X$26</c15:f>
                      <c15:dlblFieldTableCache>
                        <c:ptCount val="1"/>
                      </c15:dlblFieldTableCache>
                    </c15:dlblFTEntry>
                  </c15:dlblFieldTable>
                  <c15:showDataLabelsRange val="0"/>
                </c:ext>
              </c:extLst>
            </c:dLbl>
            <c:dLbl>
              <c:idx val="18"/>
              <c:tx>
                <c:strRef>
                  <c:f>[3]plot!$X$27</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E-DA0F-4C54-BAFE-64AAAFE72721}"/>
                </c:ext>
                <c:ext xmlns:c15="http://schemas.microsoft.com/office/drawing/2012/chart" uri="{CE6537A1-D6FC-4f65-9D91-7224C49458BB}">
                  <c15:dlblFieldTable>
                    <c15:dlblFTEntry>
                      <c15:txfldGUID>{D23CD8EB-DCE7-4FDB-AC05-C5F21D7D8123}</c15:txfldGUID>
                      <c15:f>[3]plot!$X$27</c15:f>
                      <c15:dlblFieldTableCache>
                        <c:ptCount val="1"/>
                      </c15:dlblFieldTableCache>
                    </c15:dlblFTEntry>
                  </c15:dlblFieldTable>
                  <c15:showDataLabelsRange val="0"/>
                </c:ext>
              </c:extLst>
            </c:dLbl>
            <c:dLbl>
              <c:idx val="19"/>
              <c:tx>
                <c:strRef>
                  <c:f>[3]plot!$X$28</c:f>
                  <c:strCache>
                    <c:ptCount val="1"/>
                    <c:pt idx="0">
                      <c:v>4</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F-DA0F-4C54-BAFE-64AAAFE72721}"/>
                </c:ext>
                <c:ext xmlns:c15="http://schemas.microsoft.com/office/drawing/2012/chart" uri="{CE6537A1-D6FC-4f65-9D91-7224C49458BB}">
                  <c15:dlblFieldTable>
                    <c15:dlblFTEntry>
                      <c15:txfldGUID>{41A193C7-0BB0-4A96-95A7-4B2E78CC4FC9}</c15:txfldGUID>
                      <c15:f>[3]plot!$X$28</c15:f>
                      <c15:dlblFieldTableCache>
                        <c:ptCount val="1"/>
                        <c:pt idx="0">
                          <c:v>4</c:v>
                        </c:pt>
                      </c15:dlblFieldTableCache>
                    </c15:dlblFTEntry>
                  </c15:dlblFieldTable>
                  <c15:showDataLabelsRange val="0"/>
                </c:ext>
              </c:extLst>
            </c:dLbl>
            <c:dLbl>
              <c:idx val="20"/>
              <c:tx>
                <c:strRef>
                  <c:f>[3]plot!$X$29</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0-DA0F-4C54-BAFE-64AAAFE72721}"/>
                </c:ext>
                <c:ext xmlns:c15="http://schemas.microsoft.com/office/drawing/2012/chart" uri="{CE6537A1-D6FC-4f65-9D91-7224C49458BB}">
                  <c15:dlblFieldTable>
                    <c15:dlblFTEntry>
                      <c15:txfldGUID>{73D707A5-6F29-4160-9754-5F57B33EB657}</c15:txfldGUID>
                      <c15:f>[3]plot!$X$29</c15:f>
                      <c15:dlblFieldTableCache>
                        <c:ptCount val="1"/>
                      </c15:dlblFieldTableCache>
                    </c15:dlblFTEntry>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xVal>
            <c:numRef>
              <c:f>[3]plot!$Y$9:$Y$29</c:f>
              <c:numCache>
                <c:formatCode>General</c:formatCode>
                <c:ptCount val="21"/>
                <c:pt idx="0">
                  <c:v>0.57190159078110814</c:v>
                </c:pt>
                <c:pt idx="1">
                  <c:v>0.65850413115955198</c:v>
                </c:pt>
                <c:pt idx="2">
                  <c:v>0.57190159078110814</c:v>
                </c:pt>
                <c:pt idx="3">
                  <c:v>0.46079047966999703</c:v>
                </c:pt>
                <c:pt idx="4">
                  <c:v>0.54739302004844081</c:v>
                </c:pt>
                <c:pt idx="5">
                  <c:v>0.46079047966999703</c:v>
                </c:pt>
                <c:pt idx="6">
                  <c:v>0.34967936855888593</c:v>
                </c:pt>
                <c:pt idx="7">
                  <c:v>0.43628190893732977</c:v>
                </c:pt>
                <c:pt idx="8">
                  <c:v>0.34967936855888593</c:v>
                </c:pt>
                <c:pt idx="9">
                  <c:v>0.23856825744777477</c:v>
                </c:pt>
                <c:pt idx="10">
                  <c:v>0.3251707978262186</c:v>
                </c:pt>
                <c:pt idx="11">
                  <c:v>0.23856825744777477</c:v>
                </c:pt>
                <c:pt idx="12">
                  <c:v>0.23856825744777477</c:v>
                </c:pt>
                <c:pt idx="13">
                  <c:v>0.3251707978262186</c:v>
                </c:pt>
                <c:pt idx="14">
                  <c:v>0.23856825744777477</c:v>
                </c:pt>
                <c:pt idx="15">
                  <c:v>0.23856825744777477</c:v>
                </c:pt>
                <c:pt idx="16">
                  <c:v>0.3251707978262186</c:v>
                </c:pt>
                <c:pt idx="17">
                  <c:v>0.23856825744777477</c:v>
                </c:pt>
                <c:pt idx="18">
                  <c:v>0.23856825744777477</c:v>
                </c:pt>
                <c:pt idx="19">
                  <c:v>0.3251707978262186</c:v>
                </c:pt>
                <c:pt idx="20">
                  <c:v>0.23856825744777477</c:v>
                </c:pt>
              </c:numCache>
            </c:numRef>
          </c:xVal>
          <c:yVal>
            <c:numRef>
              <c:f>[3]plot!$Z$9:$Z$29</c:f>
              <c:numCache>
                <c:formatCode>General</c:formatCode>
                <c:ptCount val="21"/>
                <c:pt idx="0">
                  <c:v>-0.43773139581104742</c:v>
                </c:pt>
                <c:pt idx="1">
                  <c:v>-0.46273139581104739</c:v>
                </c:pt>
                <c:pt idx="2">
                  <c:v>-0.43773139581104742</c:v>
                </c:pt>
                <c:pt idx="3">
                  <c:v>-0.53395644067598502</c:v>
                </c:pt>
                <c:pt idx="4">
                  <c:v>-0.55895644067598493</c:v>
                </c:pt>
                <c:pt idx="5">
                  <c:v>-0.53395644067598502</c:v>
                </c:pt>
                <c:pt idx="6">
                  <c:v>-0.63018148554092257</c:v>
                </c:pt>
                <c:pt idx="7">
                  <c:v>-0.65518148554092259</c:v>
                </c:pt>
                <c:pt idx="8">
                  <c:v>-0.63018148554092257</c:v>
                </c:pt>
                <c:pt idx="9">
                  <c:v>-0.72640653040586012</c:v>
                </c:pt>
                <c:pt idx="10">
                  <c:v>-0.75140653040586014</c:v>
                </c:pt>
                <c:pt idx="11">
                  <c:v>-0.72640653040586012</c:v>
                </c:pt>
                <c:pt idx="12">
                  <c:v>-0.72640653040586012</c:v>
                </c:pt>
                <c:pt idx="13">
                  <c:v>-0.75140653040586014</c:v>
                </c:pt>
                <c:pt idx="14">
                  <c:v>-0.72640653040586012</c:v>
                </c:pt>
                <c:pt idx="15">
                  <c:v>-0.72640653040586012</c:v>
                </c:pt>
                <c:pt idx="16">
                  <c:v>-0.75140653040586014</c:v>
                </c:pt>
                <c:pt idx="17">
                  <c:v>-0.72640653040586012</c:v>
                </c:pt>
                <c:pt idx="18">
                  <c:v>-0.72640653040586012</c:v>
                </c:pt>
                <c:pt idx="19">
                  <c:v>-0.75140653040586014</c:v>
                </c:pt>
                <c:pt idx="20">
                  <c:v>-0.72640653040586012</c:v>
                </c:pt>
              </c:numCache>
            </c:numRef>
          </c:yVal>
          <c:smooth val="0"/>
          <c:extLst xmlns:c16r2="http://schemas.microsoft.com/office/drawing/2015/06/chart">
            <c:ext xmlns:c16="http://schemas.microsoft.com/office/drawing/2014/chart" uri="{C3380CC4-5D6E-409C-BE32-E72D297353CC}">
              <c16:uniqueId val="{00000021-DA0F-4C54-BAFE-64AAAFE72721}"/>
            </c:ext>
          </c:extLst>
        </c:ser>
        <c:ser>
          <c:idx val="3"/>
          <c:order val="2"/>
          <c:tx>
            <c:v>cut_plane_x</c:v>
          </c:tx>
          <c:spPr>
            <a:ln w="28575">
              <a:noFill/>
            </a:ln>
          </c:spPr>
          <c:marker>
            <c:symbol val="circle"/>
            <c:size val="3"/>
            <c:spPr>
              <a:solidFill>
                <a:srgbClr val="006411"/>
              </a:solidFill>
              <a:ln>
                <a:solidFill>
                  <a:srgbClr val="808080"/>
                </a:solidFill>
                <a:prstDash val="solid"/>
              </a:ln>
            </c:spPr>
          </c:marker>
          <c:xVal>
            <c:numRef>
              <c:f>[3]plot!$M$33:$M$42</c:f>
              <c:numCache>
                <c:formatCode>General</c:formatCode>
                <c:ptCount val="10"/>
                <c:pt idx="0">
                  <c:v>0.10566243270259364</c:v>
                </c:pt>
                <c:pt idx="1">
                  <c:v>0.10566243270259365</c:v>
                </c:pt>
                <c:pt idx="2">
                  <c:v>0.10566243270259364</c:v>
                </c:pt>
                <c:pt idx="3">
                  <c:v>-0.18301270189221927</c:v>
                </c:pt>
                <c:pt idx="4">
                  <c:v>0.68301270189221941</c:v>
                </c:pt>
                <c:pt idx="5">
                  <c:v>0.10566243270259361</c:v>
                </c:pt>
                <c:pt idx="6">
                  <c:v>0.10566243270259364</c:v>
                </c:pt>
                <c:pt idx="7">
                  <c:v>0.39433756729740643</c:v>
                </c:pt>
                <c:pt idx="8">
                  <c:v>0.39433756729740638</c:v>
                </c:pt>
                <c:pt idx="9">
                  <c:v>-0.18301270189221924</c:v>
                </c:pt>
              </c:numCache>
            </c:numRef>
          </c:xVal>
          <c:yVal>
            <c:numRef>
              <c:f>[3]plot!$N$33:$N$42</c:f>
              <c:numCache>
                <c:formatCode>General</c:formatCode>
                <c:ptCount val="10"/>
                <c:pt idx="0">
                  <c:v>0.51798063874810796</c:v>
                </c:pt>
                <c:pt idx="1">
                  <c:v>0.69118571950499552</c:v>
                </c:pt>
                <c:pt idx="2">
                  <c:v>0.51798063874810796</c:v>
                </c:pt>
                <c:pt idx="3">
                  <c:v>8.1698729810778026E-2</c:v>
                </c:pt>
                <c:pt idx="4">
                  <c:v>4.9038105676657978E-3</c:v>
                </c:pt>
                <c:pt idx="5">
                  <c:v>0.34477555799122017</c:v>
                </c:pt>
                <c:pt idx="6">
                  <c:v>0.51798063874810796</c:v>
                </c:pt>
                <c:pt idx="7">
                  <c:v>0.2614422246578868</c:v>
                </c:pt>
                <c:pt idx="8">
                  <c:v>-0.25817301761277645</c:v>
                </c:pt>
                <c:pt idx="9">
                  <c:v>0.25490381056766587</c:v>
                </c:pt>
              </c:numCache>
            </c:numRef>
          </c:yVal>
          <c:smooth val="0"/>
          <c:extLst xmlns:c16r2="http://schemas.microsoft.com/office/drawing/2015/06/chart">
            <c:ext xmlns:c16="http://schemas.microsoft.com/office/drawing/2014/chart" uri="{C3380CC4-5D6E-409C-BE32-E72D297353CC}">
              <c16:uniqueId val="{00000022-DA0F-4C54-BAFE-64AAAFE72721}"/>
            </c:ext>
          </c:extLst>
        </c:ser>
        <c:ser>
          <c:idx val="4"/>
          <c:order val="3"/>
          <c:tx>
            <c:v>projxframe</c:v>
          </c:tx>
          <c:spPr>
            <a:ln w="25400">
              <a:solidFill>
                <a:srgbClr val="006411"/>
              </a:solidFill>
              <a:prstDash val="solid"/>
            </a:ln>
          </c:spPr>
          <c:marker>
            <c:symbol val="none"/>
          </c:marker>
          <c:xVal>
            <c:numRef>
              <c:f>[3]plot!$M$24:$M$28</c:f>
              <c:numCache>
                <c:formatCode>General</c:formatCode>
                <c:ptCount val="5"/>
                <c:pt idx="0">
                  <c:v>-0.1830127018922193</c:v>
                </c:pt>
                <c:pt idx="1">
                  <c:v>0.6830127018922193</c:v>
                </c:pt>
                <c:pt idx="2">
                  <c:v>0.68301270189221952</c:v>
                </c:pt>
                <c:pt idx="3">
                  <c:v>-0.18301270189221919</c:v>
                </c:pt>
                <c:pt idx="4">
                  <c:v>-0.1830127018922193</c:v>
                </c:pt>
              </c:numCache>
            </c:numRef>
          </c:xVal>
          <c:yVal>
            <c:numRef>
              <c:f>[3]plot!$N$24:$N$28</c:f>
              <c:numCache>
                <c:formatCode>General</c:formatCode>
                <c:ptCount val="5"/>
                <c:pt idx="0">
                  <c:v>-9.150635094610976E-2</c:v>
                </c:pt>
                <c:pt idx="1">
                  <c:v>-0.34150635094610982</c:v>
                </c:pt>
                <c:pt idx="2">
                  <c:v>0.52451905283832889</c:v>
                </c:pt>
                <c:pt idx="3">
                  <c:v>0.774519052838329</c:v>
                </c:pt>
                <c:pt idx="4">
                  <c:v>-9.150635094610976E-2</c:v>
                </c:pt>
              </c:numCache>
            </c:numRef>
          </c:yVal>
          <c:smooth val="0"/>
          <c:extLst xmlns:c16r2="http://schemas.microsoft.com/office/drawing/2015/06/chart">
            <c:ext xmlns:c16="http://schemas.microsoft.com/office/drawing/2014/chart" uri="{C3380CC4-5D6E-409C-BE32-E72D297353CC}">
              <c16:uniqueId val="{00000023-DA0F-4C54-BAFE-64AAAFE72721}"/>
            </c:ext>
          </c:extLst>
        </c:ser>
        <c:ser>
          <c:idx val="5"/>
          <c:order val="4"/>
          <c:tx>
            <c:v>projyframe</c:v>
          </c:tx>
          <c:spPr>
            <a:ln w="25400">
              <a:solidFill>
                <a:srgbClr val="900000"/>
              </a:solidFill>
              <a:prstDash val="solid"/>
            </a:ln>
          </c:spPr>
          <c:marker>
            <c:symbol val="none"/>
          </c:marker>
          <c:xVal>
            <c:numRef>
              <c:f>[3]plot!$O$24:$O$28</c:f>
              <c:numCache>
                <c:formatCode>General</c:formatCode>
                <c:ptCount val="5"/>
                <c:pt idx="0">
                  <c:v>-0.1830127018922193</c:v>
                </c:pt>
                <c:pt idx="1">
                  <c:v>-0.68301270189221952</c:v>
                </c:pt>
                <c:pt idx="2">
                  <c:v>-0.6830127018922193</c:v>
                </c:pt>
                <c:pt idx="3">
                  <c:v>-0.18301270189221919</c:v>
                </c:pt>
                <c:pt idx="4">
                  <c:v>-0.1830127018922193</c:v>
                </c:pt>
              </c:numCache>
            </c:numRef>
          </c:xVal>
          <c:yVal>
            <c:numRef>
              <c:f>[3]plot!$P$24:$P$28</c:f>
              <c:numCache>
                <c:formatCode>General</c:formatCode>
                <c:ptCount val="5"/>
                <c:pt idx="0">
                  <c:v>-9.150635094610976E-2</c:v>
                </c:pt>
                <c:pt idx="1">
                  <c:v>-0.52451905283832889</c:v>
                </c:pt>
                <c:pt idx="2">
                  <c:v>0.34150635094610982</c:v>
                </c:pt>
                <c:pt idx="3">
                  <c:v>0.774519052838329</c:v>
                </c:pt>
                <c:pt idx="4">
                  <c:v>-9.150635094610976E-2</c:v>
                </c:pt>
              </c:numCache>
            </c:numRef>
          </c:yVal>
          <c:smooth val="0"/>
          <c:extLst xmlns:c16r2="http://schemas.microsoft.com/office/drawing/2015/06/chart">
            <c:ext xmlns:c16="http://schemas.microsoft.com/office/drawing/2014/chart" uri="{C3380CC4-5D6E-409C-BE32-E72D297353CC}">
              <c16:uniqueId val="{00000024-DA0F-4C54-BAFE-64AAAFE72721}"/>
            </c:ext>
          </c:extLst>
        </c:ser>
        <c:ser>
          <c:idx val="6"/>
          <c:order val="5"/>
          <c:tx>
            <c:v>projzframe</c:v>
          </c:tx>
          <c:spPr>
            <a:ln w="25400">
              <a:solidFill>
                <a:srgbClr val="000090"/>
              </a:solidFill>
              <a:prstDash val="solid"/>
            </a:ln>
          </c:spPr>
          <c:marker>
            <c:symbol val="none"/>
          </c:marker>
          <c:xVal>
            <c:numRef>
              <c:f>[3]plot!$Q$24:$Q$28</c:f>
              <c:numCache>
                <c:formatCode>General</c:formatCode>
                <c:ptCount val="5"/>
                <c:pt idx="0">
                  <c:v>-0.1830127018922193</c:v>
                </c:pt>
                <c:pt idx="1">
                  <c:v>-0.68301270189221952</c:v>
                </c:pt>
                <c:pt idx="2">
                  <c:v>0.18301270189221919</c:v>
                </c:pt>
                <c:pt idx="3">
                  <c:v>0.6830127018922193</c:v>
                </c:pt>
                <c:pt idx="4">
                  <c:v>-0.1830127018922193</c:v>
                </c:pt>
              </c:numCache>
            </c:numRef>
          </c:xVal>
          <c:yVal>
            <c:numRef>
              <c:f>[3]plot!$R$24:$R$28</c:f>
              <c:numCache>
                <c:formatCode>General</c:formatCode>
                <c:ptCount val="5"/>
                <c:pt idx="0">
                  <c:v>-9.150635094610976E-2</c:v>
                </c:pt>
                <c:pt idx="1">
                  <c:v>-0.52451905283832889</c:v>
                </c:pt>
                <c:pt idx="2">
                  <c:v>-0.774519052838329</c:v>
                </c:pt>
                <c:pt idx="3">
                  <c:v>-0.34150635094610982</c:v>
                </c:pt>
                <c:pt idx="4">
                  <c:v>-9.150635094610976E-2</c:v>
                </c:pt>
              </c:numCache>
            </c:numRef>
          </c:yVal>
          <c:smooth val="0"/>
          <c:extLst xmlns:c16r2="http://schemas.microsoft.com/office/drawing/2015/06/chart">
            <c:ext xmlns:c16="http://schemas.microsoft.com/office/drawing/2014/chart" uri="{C3380CC4-5D6E-409C-BE32-E72D297353CC}">
              <c16:uniqueId val="{00000025-DA0F-4C54-BAFE-64AAAFE72721}"/>
            </c:ext>
          </c:extLst>
        </c:ser>
        <c:ser>
          <c:idx val="7"/>
          <c:order val="6"/>
          <c:tx>
            <c:v>cut_plane_y</c:v>
          </c:tx>
          <c:spPr>
            <a:ln w="28575">
              <a:noFill/>
            </a:ln>
          </c:spPr>
          <c:marker>
            <c:symbol val="circle"/>
            <c:size val="3"/>
            <c:spPr>
              <a:solidFill>
                <a:srgbClr val="993300"/>
              </a:solidFill>
              <a:ln>
                <a:solidFill>
                  <a:srgbClr val="808080"/>
                </a:solidFill>
                <a:prstDash val="solid"/>
              </a:ln>
            </c:spPr>
          </c:marker>
          <c:xVal>
            <c:numRef>
              <c:f>[3]plot!$O$33:$O$42</c:f>
              <c:numCache>
                <c:formatCode>General</c:formatCode>
                <c:ptCount val="10"/>
                <c:pt idx="0">
                  <c:v>-0.62745714633666383</c:v>
                </c:pt>
                <c:pt idx="1">
                  <c:v>-0.57190159078110814</c:v>
                </c:pt>
                <c:pt idx="2">
                  <c:v>-0.57190159078110825</c:v>
                </c:pt>
                <c:pt idx="3">
                  <c:v>-0.40523492411444156</c:v>
                </c:pt>
                <c:pt idx="4">
                  <c:v>-0.46079047966999709</c:v>
                </c:pt>
                <c:pt idx="5">
                  <c:v>-0.51634603522555267</c:v>
                </c:pt>
                <c:pt idx="6">
                  <c:v>-0.40523492411444145</c:v>
                </c:pt>
                <c:pt idx="7">
                  <c:v>-0.18301270189221924</c:v>
                </c:pt>
                <c:pt idx="8">
                  <c:v>-0.51634603522555278</c:v>
                </c:pt>
                <c:pt idx="9">
                  <c:v>-0.68301270189221941</c:v>
                </c:pt>
              </c:numCache>
            </c:numRef>
          </c:xVal>
          <c:yVal>
            <c:numRef>
              <c:f>[3]plot!$P$33:$P$42</c:f>
              <c:numCache>
                <c:formatCode>General</c:formatCode>
                <c:ptCount val="10"/>
                <c:pt idx="0">
                  <c:v>0.21641379262169103</c:v>
                </c:pt>
                <c:pt idx="1">
                  <c:v>0.43773139581104742</c:v>
                </c:pt>
                <c:pt idx="2">
                  <c:v>0.2645263150541598</c:v>
                </c:pt>
                <c:pt idx="3">
                  <c:v>-0.11075135991909713</c:v>
                </c:pt>
                <c:pt idx="4">
                  <c:v>1.4341198405321914E-2</c:v>
                </c:pt>
                <c:pt idx="5">
                  <c:v>0.13943375672974082</c:v>
                </c:pt>
                <c:pt idx="6">
                  <c:v>0.40886388235156618</c:v>
                </c:pt>
                <c:pt idx="7">
                  <c:v>0.42810889132455354</c:v>
                </c:pt>
                <c:pt idx="8">
                  <c:v>-0.38018148554092246</c:v>
                </c:pt>
                <c:pt idx="9">
                  <c:v>-0.17810889132455321</c:v>
                </c:pt>
              </c:numCache>
            </c:numRef>
          </c:yVal>
          <c:smooth val="0"/>
          <c:extLst xmlns:c16r2="http://schemas.microsoft.com/office/drawing/2015/06/chart">
            <c:ext xmlns:c16="http://schemas.microsoft.com/office/drawing/2014/chart" uri="{C3380CC4-5D6E-409C-BE32-E72D297353CC}">
              <c16:uniqueId val="{00000026-DA0F-4C54-BAFE-64AAAFE72721}"/>
            </c:ext>
          </c:extLst>
        </c:ser>
        <c:ser>
          <c:idx val="8"/>
          <c:order val="7"/>
          <c:tx>
            <c:v>cut_plane_z</c:v>
          </c:tx>
          <c:spPr>
            <a:ln w="28575">
              <a:noFill/>
            </a:ln>
          </c:spPr>
          <c:marker>
            <c:symbol val="circle"/>
            <c:size val="3"/>
            <c:spPr>
              <a:solidFill>
                <a:srgbClr val="333399"/>
              </a:solidFill>
              <a:ln>
                <a:solidFill>
                  <a:srgbClr val="808080"/>
                </a:solidFill>
                <a:prstDash val="solid"/>
              </a:ln>
            </c:spPr>
          </c:marker>
          <c:xVal>
            <c:numRef>
              <c:f>[3]plot!$Q$33:$Q$42</c:f>
              <c:numCache>
                <c:formatCode>General</c:formatCode>
                <c:ptCount val="10"/>
                <c:pt idx="0">
                  <c:v>-0.33878201174185102</c:v>
                </c:pt>
                <c:pt idx="1">
                  <c:v>-0.28322645618629544</c:v>
                </c:pt>
                <c:pt idx="2">
                  <c:v>-0.28322645618629544</c:v>
                </c:pt>
                <c:pt idx="3">
                  <c:v>-0.40523492411444156</c:v>
                </c:pt>
                <c:pt idx="4">
                  <c:v>0.40523492411444145</c:v>
                </c:pt>
                <c:pt idx="5">
                  <c:v>-0.22767090063073986</c:v>
                </c:pt>
                <c:pt idx="6">
                  <c:v>-0.11655978951962873</c:v>
                </c:pt>
                <c:pt idx="7">
                  <c:v>0.39433756729740638</c:v>
                </c:pt>
                <c:pt idx="8">
                  <c:v>6.1004233964073014E-2</c:v>
                </c:pt>
                <c:pt idx="9">
                  <c:v>-0.68301270189221952</c:v>
                </c:pt>
              </c:numCache>
            </c:numRef>
          </c:xVal>
          <c:yVal>
            <c:numRef>
              <c:f>[3]plot!$R$33:$R$42</c:f>
              <c:numCache>
                <c:formatCode>General</c:formatCode>
                <c:ptCount val="10"/>
                <c:pt idx="0">
                  <c:v>-0.55973986373919338</c:v>
                </c:pt>
                <c:pt idx="1">
                  <c:v>-0.51162734130672471</c:v>
                </c:pt>
                <c:pt idx="2">
                  <c:v>-0.51162734130672471</c:v>
                </c:pt>
                <c:pt idx="3">
                  <c:v>-0.28395644067598491</c:v>
                </c:pt>
                <c:pt idx="4">
                  <c:v>-0.5820689631084538</c:v>
                </c:pt>
                <c:pt idx="5">
                  <c:v>-0.46351481887425583</c:v>
                </c:pt>
                <c:pt idx="6">
                  <c:v>-0.36728977400931828</c:v>
                </c:pt>
                <c:pt idx="7">
                  <c:v>-0.25817301761277645</c:v>
                </c:pt>
                <c:pt idx="8">
                  <c:v>-0.5468481522075892</c:v>
                </c:pt>
                <c:pt idx="9">
                  <c:v>-0.52451905283832889</c:v>
                </c:pt>
              </c:numCache>
            </c:numRef>
          </c:yVal>
          <c:smooth val="0"/>
          <c:extLst xmlns:c16r2="http://schemas.microsoft.com/office/drawing/2015/06/chart">
            <c:ext xmlns:c16="http://schemas.microsoft.com/office/drawing/2014/chart" uri="{C3380CC4-5D6E-409C-BE32-E72D297353CC}">
              <c16:uniqueId val="{00000027-DA0F-4C54-BAFE-64AAAFE72721}"/>
            </c:ext>
          </c:extLst>
        </c:ser>
        <c:ser>
          <c:idx val="9"/>
          <c:order val="8"/>
          <c:tx>
            <c:v>laby</c:v>
          </c:tx>
          <c:spPr>
            <a:ln w="3175">
              <a:solidFill>
                <a:srgbClr val="C0C0C0"/>
              </a:solidFill>
              <a:prstDash val="solid"/>
            </a:ln>
          </c:spPr>
          <c:marker>
            <c:symbol val="none"/>
          </c:marker>
          <c:dLbls>
            <c:dLbl>
              <c:idx val="0"/>
              <c:tx>
                <c:strRef>
                  <c:f>[3]plot!$AC$9</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8-DA0F-4C54-BAFE-64AAAFE72721}"/>
                </c:ext>
                <c:ext xmlns:c15="http://schemas.microsoft.com/office/drawing/2012/chart" uri="{CE6537A1-D6FC-4f65-9D91-7224C49458BB}">
                  <c15:dlblFieldTable>
                    <c15:dlblFTEntry>
                      <c15:txfldGUID>{BDBDECDA-F15F-42A3-BAEB-34948545451D}</c15:txfldGUID>
                      <c15:f>[3]plot!$AC$9</c15:f>
                      <c15:dlblFieldTableCache>
                        <c:ptCount val="1"/>
                      </c15:dlblFieldTableCache>
                    </c15:dlblFTEntry>
                  </c15:dlblFieldTable>
                  <c15:showDataLabelsRange val="0"/>
                </c:ext>
              </c:extLst>
            </c:dLbl>
            <c:dLbl>
              <c:idx val="1"/>
              <c:tx>
                <c:strRef>
                  <c:f>[3]plot!$AC$10</c:f>
                  <c:strCache>
                    <c:ptCount val="1"/>
                    <c:pt idx="0">
                      <c:v>2.4</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9-DA0F-4C54-BAFE-64AAAFE72721}"/>
                </c:ext>
                <c:ext xmlns:c15="http://schemas.microsoft.com/office/drawing/2012/chart" uri="{CE6537A1-D6FC-4f65-9D91-7224C49458BB}">
                  <c15:dlblFieldTable>
                    <c15:dlblFTEntry>
                      <c15:txfldGUID>{73843315-A76C-41E2-8394-FEF339DA5BBD}</c15:txfldGUID>
                      <c15:f>[3]plot!$AC$10</c15:f>
                      <c15:dlblFieldTableCache>
                        <c:ptCount val="1"/>
                        <c:pt idx="0">
                          <c:v>2.4</c:v>
                        </c:pt>
                      </c15:dlblFieldTableCache>
                    </c15:dlblFTEntry>
                  </c15:dlblFieldTable>
                  <c15:showDataLabelsRange val="0"/>
                </c:ext>
              </c:extLst>
            </c:dLbl>
            <c:dLbl>
              <c:idx val="2"/>
              <c:tx>
                <c:strRef>
                  <c:f>[3]plot!$AC$11</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A-DA0F-4C54-BAFE-64AAAFE72721}"/>
                </c:ext>
                <c:ext xmlns:c15="http://schemas.microsoft.com/office/drawing/2012/chart" uri="{CE6537A1-D6FC-4f65-9D91-7224C49458BB}">
                  <c15:dlblFieldTable>
                    <c15:dlblFTEntry>
                      <c15:txfldGUID>{EF1EE1F0-D043-4E14-BE88-1E8F05BC3B24}</c15:txfldGUID>
                      <c15:f>[3]plot!$AC$11</c15:f>
                      <c15:dlblFieldTableCache>
                        <c:ptCount val="1"/>
                      </c15:dlblFieldTableCache>
                    </c15:dlblFTEntry>
                  </c15:dlblFieldTable>
                  <c15:showDataLabelsRange val="0"/>
                </c:ext>
              </c:extLst>
            </c:dLbl>
            <c:dLbl>
              <c:idx val="3"/>
              <c:tx>
                <c:strRef>
                  <c:f>[3]plot!$AC$12</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B-DA0F-4C54-BAFE-64AAAFE72721}"/>
                </c:ext>
                <c:ext xmlns:c15="http://schemas.microsoft.com/office/drawing/2012/chart" uri="{CE6537A1-D6FC-4f65-9D91-7224C49458BB}">
                  <c15:dlblFieldTable>
                    <c15:dlblFTEntry>
                      <c15:txfldGUID>{06E4EA68-8A3F-4844-A270-ACC69D9A7B4E}</c15:txfldGUID>
                      <c15:f>[3]plot!$AC$12</c15:f>
                      <c15:dlblFieldTableCache>
                        <c:ptCount val="1"/>
                      </c15:dlblFieldTableCache>
                    </c15:dlblFTEntry>
                  </c15:dlblFieldTable>
                  <c15:showDataLabelsRange val="0"/>
                </c:ext>
              </c:extLst>
            </c:dLbl>
            <c:dLbl>
              <c:idx val="4"/>
              <c:tx>
                <c:strRef>
                  <c:f>[3]plot!$AC$13</c:f>
                  <c:strCache>
                    <c:ptCount val="1"/>
                    <c:pt idx="0">
                      <c:v>3</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C-DA0F-4C54-BAFE-64AAAFE72721}"/>
                </c:ext>
                <c:ext xmlns:c15="http://schemas.microsoft.com/office/drawing/2012/chart" uri="{CE6537A1-D6FC-4f65-9D91-7224C49458BB}">
                  <c15:dlblFieldTable>
                    <c15:dlblFTEntry>
                      <c15:txfldGUID>{FA465B27-2560-48E8-873A-8598E707A00F}</c15:txfldGUID>
                      <c15:f>[3]plot!$AC$13</c15:f>
                      <c15:dlblFieldTableCache>
                        <c:ptCount val="1"/>
                        <c:pt idx="0">
                          <c:v>3</c:v>
                        </c:pt>
                      </c15:dlblFieldTableCache>
                    </c15:dlblFTEntry>
                  </c15:dlblFieldTable>
                  <c15:showDataLabelsRange val="0"/>
                </c:ext>
              </c:extLst>
            </c:dLbl>
            <c:dLbl>
              <c:idx val="5"/>
              <c:tx>
                <c:strRef>
                  <c:f>[3]plot!$AC$14</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D-DA0F-4C54-BAFE-64AAAFE72721}"/>
                </c:ext>
                <c:ext xmlns:c15="http://schemas.microsoft.com/office/drawing/2012/chart" uri="{CE6537A1-D6FC-4f65-9D91-7224C49458BB}">
                  <c15:dlblFieldTable>
                    <c15:dlblFTEntry>
                      <c15:txfldGUID>{9B891769-B6BE-4DF5-B6BD-419525BE53D1}</c15:txfldGUID>
                      <c15:f>[3]plot!$AC$14</c15:f>
                      <c15:dlblFieldTableCache>
                        <c:ptCount val="1"/>
                      </c15:dlblFieldTableCache>
                    </c15:dlblFTEntry>
                  </c15:dlblFieldTable>
                  <c15:showDataLabelsRange val="0"/>
                </c:ext>
              </c:extLst>
            </c:dLbl>
            <c:dLbl>
              <c:idx val="6"/>
              <c:tx>
                <c:strRef>
                  <c:f>[3]plot!$AC$15</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E-DA0F-4C54-BAFE-64AAAFE72721}"/>
                </c:ext>
                <c:ext xmlns:c15="http://schemas.microsoft.com/office/drawing/2012/chart" uri="{CE6537A1-D6FC-4f65-9D91-7224C49458BB}">
                  <c15:dlblFieldTable>
                    <c15:dlblFTEntry>
                      <c15:txfldGUID>{39CF6471-41C5-4D4F-8E13-E7C45B0448CF}</c15:txfldGUID>
                      <c15:f>[3]plot!$AC$15</c15:f>
                      <c15:dlblFieldTableCache>
                        <c:ptCount val="1"/>
                      </c15:dlblFieldTableCache>
                    </c15:dlblFTEntry>
                  </c15:dlblFieldTable>
                  <c15:showDataLabelsRange val="0"/>
                </c:ext>
              </c:extLst>
            </c:dLbl>
            <c:dLbl>
              <c:idx val="7"/>
              <c:tx>
                <c:strRef>
                  <c:f>[3]plot!$AC$16</c:f>
                  <c:strCache>
                    <c:ptCount val="1"/>
                    <c:pt idx="0">
                      <c:v>3.6</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F-DA0F-4C54-BAFE-64AAAFE72721}"/>
                </c:ext>
                <c:ext xmlns:c15="http://schemas.microsoft.com/office/drawing/2012/chart" uri="{CE6537A1-D6FC-4f65-9D91-7224C49458BB}">
                  <c15:dlblFieldTable>
                    <c15:dlblFTEntry>
                      <c15:txfldGUID>{72C17D61-C500-43A8-9CE7-B3FD239EB40A}</c15:txfldGUID>
                      <c15:f>[3]plot!$AC$16</c15:f>
                      <c15:dlblFieldTableCache>
                        <c:ptCount val="1"/>
                        <c:pt idx="0">
                          <c:v>3.6</c:v>
                        </c:pt>
                      </c15:dlblFieldTableCache>
                    </c15:dlblFTEntry>
                  </c15:dlblFieldTable>
                  <c15:showDataLabelsRange val="0"/>
                </c:ext>
              </c:extLst>
            </c:dLbl>
            <c:dLbl>
              <c:idx val="8"/>
              <c:tx>
                <c:strRef>
                  <c:f>[3]plot!$AC$17</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0-DA0F-4C54-BAFE-64AAAFE72721}"/>
                </c:ext>
                <c:ext xmlns:c15="http://schemas.microsoft.com/office/drawing/2012/chart" uri="{CE6537A1-D6FC-4f65-9D91-7224C49458BB}">
                  <c15:dlblFieldTable>
                    <c15:dlblFTEntry>
                      <c15:txfldGUID>{37E0129F-12C3-42EF-8650-70C553F5CF18}</c15:txfldGUID>
                      <c15:f>[3]plot!$AC$17</c15:f>
                      <c15:dlblFieldTableCache>
                        <c:ptCount val="1"/>
                      </c15:dlblFieldTableCache>
                    </c15:dlblFTEntry>
                  </c15:dlblFieldTable>
                  <c15:showDataLabelsRange val="0"/>
                </c:ext>
              </c:extLst>
            </c:dLbl>
            <c:dLbl>
              <c:idx val="9"/>
              <c:tx>
                <c:strRef>
                  <c:f>[3]plot!$AC$18</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1-DA0F-4C54-BAFE-64AAAFE72721}"/>
                </c:ext>
                <c:ext xmlns:c15="http://schemas.microsoft.com/office/drawing/2012/chart" uri="{CE6537A1-D6FC-4f65-9D91-7224C49458BB}">
                  <c15:dlblFieldTable>
                    <c15:dlblFTEntry>
                      <c15:txfldGUID>{8FBB0F83-2AE6-48C7-B6B7-8DD073F8D171}</c15:txfldGUID>
                      <c15:f>[3]plot!$AC$18</c15:f>
                      <c15:dlblFieldTableCache>
                        <c:ptCount val="1"/>
                      </c15:dlblFieldTableCache>
                    </c15:dlblFTEntry>
                  </c15:dlblFieldTable>
                  <c15:showDataLabelsRange val="0"/>
                </c:ext>
              </c:extLst>
            </c:dLbl>
            <c:dLbl>
              <c:idx val="10"/>
              <c:tx>
                <c:strRef>
                  <c:f>[3]plot!$AC$19</c:f>
                  <c:strCache>
                    <c:ptCount val="1"/>
                    <c:pt idx="0">
                      <c:v>4.2</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2-DA0F-4C54-BAFE-64AAAFE72721}"/>
                </c:ext>
                <c:ext xmlns:c15="http://schemas.microsoft.com/office/drawing/2012/chart" uri="{CE6537A1-D6FC-4f65-9D91-7224C49458BB}">
                  <c15:dlblFieldTable>
                    <c15:dlblFTEntry>
                      <c15:txfldGUID>{BAB2A260-F6AC-4684-ACFE-EE7BE0A80D66}</c15:txfldGUID>
                      <c15:f>[3]plot!$AC$19</c15:f>
                      <c15:dlblFieldTableCache>
                        <c:ptCount val="1"/>
                        <c:pt idx="0">
                          <c:v>4.2</c:v>
                        </c:pt>
                      </c15:dlblFieldTableCache>
                    </c15:dlblFTEntry>
                  </c15:dlblFieldTable>
                  <c15:showDataLabelsRange val="0"/>
                </c:ext>
              </c:extLst>
            </c:dLbl>
            <c:dLbl>
              <c:idx val="11"/>
              <c:tx>
                <c:strRef>
                  <c:f>[3]plot!$AC$20</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3-DA0F-4C54-BAFE-64AAAFE72721}"/>
                </c:ext>
                <c:ext xmlns:c15="http://schemas.microsoft.com/office/drawing/2012/chart" uri="{CE6537A1-D6FC-4f65-9D91-7224C49458BB}">
                  <c15:dlblFieldTable>
                    <c15:dlblFTEntry>
                      <c15:txfldGUID>{FD0E6DA8-112F-4735-BD48-6C942BE6E45D}</c15:txfldGUID>
                      <c15:f>[3]plot!$AC$20</c15:f>
                      <c15:dlblFieldTableCache>
                        <c:ptCount val="1"/>
                      </c15:dlblFieldTableCache>
                    </c15:dlblFTEntry>
                  </c15:dlblFieldTable>
                  <c15:showDataLabelsRange val="0"/>
                </c:ext>
              </c:extLst>
            </c:dLbl>
            <c:dLbl>
              <c:idx val="12"/>
              <c:tx>
                <c:strRef>
                  <c:f>[3]plot!$AC$21</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4-DA0F-4C54-BAFE-64AAAFE72721}"/>
                </c:ext>
                <c:ext xmlns:c15="http://schemas.microsoft.com/office/drawing/2012/chart" uri="{CE6537A1-D6FC-4f65-9D91-7224C49458BB}">
                  <c15:dlblFieldTable>
                    <c15:dlblFTEntry>
                      <c15:txfldGUID>{704F9597-2634-42C0-9E63-4C2BD32AA836}</c15:txfldGUID>
                      <c15:f>[3]plot!$AC$21</c15:f>
                      <c15:dlblFieldTableCache>
                        <c:ptCount val="1"/>
                      </c15:dlblFieldTableCache>
                    </c15:dlblFTEntry>
                  </c15:dlblFieldTable>
                  <c15:showDataLabelsRange val="0"/>
                </c:ext>
              </c:extLst>
            </c:dLbl>
            <c:dLbl>
              <c:idx val="13"/>
              <c:tx>
                <c:strRef>
                  <c:f>[3]plot!$AC$22</c:f>
                  <c:strCache>
                    <c:ptCount val="1"/>
                    <c:pt idx="0">
                      <c:v>4.8</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5-DA0F-4C54-BAFE-64AAAFE72721}"/>
                </c:ext>
                <c:ext xmlns:c15="http://schemas.microsoft.com/office/drawing/2012/chart" uri="{CE6537A1-D6FC-4f65-9D91-7224C49458BB}">
                  <c15:dlblFieldTable>
                    <c15:dlblFTEntry>
                      <c15:txfldGUID>{80EC3188-EDBD-4467-AC4D-B903987211D2}</c15:txfldGUID>
                      <c15:f>[3]plot!$AC$22</c15:f>
                      <c15:dlblFieldTableCache>
                        <c:ptCount val="1"/>
                        <c:pt idx="0">
                          <c:v>4.8</c:v>
                        </c:pt>
                      </c15:dlblFieldTableCache>
                    </c15:dlblFTEntry>
                  </c15:dlblFieldTable>
                  <c15:showDataLabelsRange val="0"/>
                </c:ext>
              </c:extLst>
            </c:dLbl>
            <c:dLbl>
              <c:idx val="14"/>
              <c:tx>
                <c:strRef>
                  <c:f>[3]plot!$AC$23</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6-DA0F-4C54-BAFE-64AAAFE72721}"/>
                </c:ext>
                <c:ext xmlns:c15="http://schemas.microsoft.com/office/drawing/2012/chart" uri="{CE6537A1-D6FC-4f65-9D91-7224C49458BB}">
                  <c15:dlblFieldTable>
                    <c15:dlblFTEntry>
                      <c15:txfldGUID>{03484D6C-D008-45E1-B05C-F706C5D43883}</c15:txfldGUID>
                      <c15:f>[3]plot!$AC$23</c15:f>
                      <c15:dlblFieldTableCache>
                        <c:ptCount val="1"/>
                      </c15:dlblFieldTableCache>
                    </c15:dlblFTEntry>
                  </c15:dlblFieldTable>
                  <c15:showDataLabelsRange val="0"/>
                </c:ext>
              </c:extLst>
            </c:dLbl>
            <c:dLbl>
              <c:idx val="15"/>
              <c:tx>
                <c:strRef>
                  <c:f>[3]plot!$AC$24</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7-DA0F-4C54-BAFE-64AAAFE72721}"/>
                </c:ext>
                <c:ext xmlns:c15="http://schemas.microsoft.com/office/drawing/2012/chart" uri="{CE6537A1-D6FC-4f65-9D91-7224C49458BB}">
                  <c15:dlblFieldTable>
                    <c15:dlblFTEntry>
                      <c15:txfldGUID>{93652317-2826-433A-801D-7FB97E5CE004}</c15:txfldGUID>
                      <c15:f>[3]plot!$AC$24</c15:f>
                      <c15:dlblFieldTableCache>
                        <c:ptCount val="1"/>
                      </c15:dlblFieldTableCache>
                    </c15:dlblFTEntry>
                  </c15:dlblFieldTable>
                  <c15:showDataLabelsRange val="0"/>
                </c:ext>
              </c:extLst>
            </c:dLbl>
            <c:dLbl>
              <c:idx val="16"/>
              <c:tx>
                <c:strRef>
                  <c:f>[3]plot!$AC$25</c:f>
                  <c:strCache>
                    <c:ptCount val="1"/>
                    <c:pt idx="0">
                      <c:v>4.8</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8-DA0F-4C54-BAFE-64AAAFE72721}"/>
                </c:ext>
                <c:ext xmlns:c15="http://schemas.microsoft.com/office/drawing/2012/chart" uri="{CE6537A1-D6FC-4f65-9D91-7224C49458BB}">
                  <c15:dlblFieldTable>
                    <c15:dlblFTEntry>
                      <c15:txfldGUID>{7AE699BB-3198-4942-9510-C431586E248C}</c15:txfldGUID>
                      <c15:f>[3]plot!$AC$25</c15:f>
                      <c15:dlblFieldTableCache>
                        <c:ptCount val="1"/>
                        <c:pt idx="0">
                          <c:v>4.8</c:v>
                        </c:pt>
                      </c15:dlblFieldTableCache>
                    </c15:dlblFTEntry>
                  </c15:dlblFieldTable>
                  <c15:showDataLabelsRange val="0"/>
                </c:ext>
              </c:extLst>
            </c:dLbl>
            <c:dLbl>
              <c:idx val="17"/>
              <c:tx>
                <c:strRef>
                  <c:f>[3]plot!$AC$26</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9-DA0F-4C54-BAFE-64AAAFE72721}"/>
                </c:ext>
                <c:ext xmlns:c15="http://schemas.microsoft.com/office/drawing/2012/chart" uri="{CE6537A1-D6FC-4f65-9D91-7224C49458BB}">
                  <c15:dlblFieldTable>
                    <c15:dlblFTEntry>
                      <c15:txfldGUID>{95C661FE-4354-428D-A36E-0E7D41E280B4}</c15:txfldGUID>
                      <c15:f>[3]plot!$AC$26</c15:f>
                      <c15:dlblFieldTableCache>
                        <c:ptCount val="1"/>
                      </c15:dlblFieldTableCache>
                    </c15:dlblFTEntry>
                  </c15:dlblFieldTable>
                  <c15:showDataLabelsRange val="0"/>
                </c:ext>
              </c:extLst>
            </c:dLbl>
            <c:dLbl>
              <c:idx val="18"/>
              <c:tx>
                <c:strRef>
                  <c:f>[3]plot!$AC$27</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A-DA0F-4C54-BAFE-64AAAFE72721}"/>
                </c:ext>
                <c:ext xmlns:c15="http://schemas.microsoft.com/office/drawing/2012/chart" uri="{CE6537A1-D6FC-4f65-9D91-7224C49458BB}">
                  <c15:dlblFieldTable>
                    <c15:dlblFTEntry>
                      <c15:txfldGUID>{90D36D19-0E8B-438D-A45E-206FF6753240}</c15:txfldGUID>
                      <c15:f>[3]plot!$AC$27</c15:f>
                      <c15:dlblFieldTableCache>
                        <c:ptCount val="1"/>
                      </c15:dlblFieldTableCache>
                    </c15:dlblFTEntry>
                  </c15:dlblFieldTable>
                  <c15:showDataLabelsRange val="0"/>
                </c:ext>
              </c:extLst>
            </c:dLbl>
            <c:dLbl>
              <c:idx val="19"/>
              <c:tx>
                <c:strRef>
                  <c:f>[3]plot!$AC$28</c:f>
                  <c:strCache>
                    <c:ptCount val="1"/>
                    <c:pt idx="0">
                      <c:v>4.8</c:v>
                    </c:pt>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B-DA0F-4C54-BAFE-64AAAFE72721}"/>
                </c:ext>
                <c:ext xmlns:c15="http://schemas.microsoft.com/office/drawing/2012/chart" uri="{CE6537A1-D6FC-4f65-9D91-7224C49458BB}">
                  <c15:dlblFieldTable>
                    <c15:dlblFTEntry>
                      <c15:txfldGUID>{5C7141FC-04F9-4ED3-AC4B-ACD8369F8BF3}</c15:txfldGUID>
                      <c15:f>[3]plot!$AC$28</c15:f>
                      <c15:dlblFieldTableCache>
                        <c:ptCount val="1"/>
                        <c:pt idx="0">
                          <c:v>4.8</c:v>
                        </c:pt>
                      </c15:dlblFieldTableCache>
                    </c15:dlblFTEntry>
                  </c15:dlblFieldTable>
                  <c15:showDataLabelsRange val="0"/>
                </c:ext>
              </c:extLst>
            </c:dLbl>
            <c:dLbl>
              <c:idx val="20"/>
              <c:tx>
                <c:strRef>
                  <c:f>[3]plot!$AC$29</c:f>
                  <c:strCache>
                    <c:ptCount val="1"/>
                  </c:strCache>
                </c:strRef>
              </c:tx>
              <c:spPr>
                <a:noFill/>
                <a:ln w="25400">
                  <a:noFill/>
                </a:ln>
              </c:spPr>
              <c:txPr>
                <a:bodyPr/>
                <a:lstStyle/>
                <a:p>
                  <a:pPr>
                    <a:defRPr sz="1200" b="0" i="0" u="none" strike="noStrike" baseline="0">
                      <a:solidFill>
                        <a:srgbClr val="969696"/>
                      </a:solidFill>
                      <a:latin typeface="Verdana"/>
                      <a:ea typeface="Verdana"/>
                      <a:cs typeface="Verdana"/>
                    </a:defRPr>
                  </a:pPr>
                  <a:endParaRPr lang="en-US"/>
                </a:p>
              </c:tx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C-DA0F-4C54-BAFE-64AAAFE72721}"/>
                </c:ext>
                <c:ext xmlns:c15="http://schemas.microsoft.com/office/drawing/2012/chart" uri="{CE6537A1-D6FC-4f65-9D91-7224C49458BB}">
                  <c15:dlblFieldTable>
                    <c15:dlblFTEntry>
                      <c15:txfldGUID>{74EF1802-2596-4315-8BA7-26DC6CDC32CE}</c15:txfldGUID>
                      <c15:f>[3]plot!$AC$29</c15:f>
                      <c15:dlblFieldTableCache>
                        <c:ptCount val="1"/>
                      </c15:dlblFieldTableCache>
                    </c15:dlblFTEntry>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xVal>
            <c:numRef>
              <c:f>[3]plot!$AD$9:$AD$29</c:f>
              <c:numCache>
                <c:formatCode>General</c:formatCode>
                <c:ptCount val="21"/>
                <c:pt idx="0">
                  <c:v>-0.56754264805429433</c:v>
                </c:pt>
                <c:pt idx="1">
                  <c:v>-0.61754264805429437</c:v>
                </c:pt>
                <c:pt idx="2">
                  <c:v>-0.56754264805429433</c:v>
                </c:pt>
                <c:pt idx="3">
                  <c:v>-0.3943375672974066</c:v>
                </c:pt>
                <c:pt idx="4">
                  <c:v>-0.44433756729740653</c:v>
                </c:pt>
                <c:pt idx="5">
                  <c:v>-0.3943375672974066</c:v>
                </c:pt>
                <c:pt idx="6">
                  <c:v>-0.22113248654051887</c:v>
                </c:pt>
                <c:pt idx="7">
                  <c:v>-0.27113248654051886</c:v>
                </c:pt>
                <c:pt idx="8">
                  <c:v>-0.22113248654051887</c:v>
                </c:pt>
                <c:pt idx="9">
                  <c:v>-4.7927405783631145E-2</c:v>
                </c:pt>
                <c:pt idx="10">
                  <c:v>-9.7927405783631127E-2</c:v>
                </c:pt>
                <c:pt idx="11">
                  <c:v>-4.7927405783631145E-2</c:v>
                </c:pt>
                <c:pt idx="12">
                  <c:v>0.12527767497325654</c:v>
                </c:pt>
                <c:pt idx="13">
                  <c:v>7.5277674973256548E-2</c:v>
                </c:pt>
                <c:pt idx="14">
                  <c:v>0.12527767497325654</c:v>
                </c:pt>
                <c:pt idx="15">
                  <c:v>0.12527767497325654</c:v>
                </c:pt>
                <c:pt idx="16">
                  <c:v>7.5277674973256548E-2</c:v>
                </c:pt>
                <c:pt idx="17">
                  <c:v>0.12527767497325654</c:v>
                </c:pt>
                <c:pt idx="18">
                  <c:v>0.12527767497325654</c:v>
                </c:pt>
                <c:pt idx="19">
                  <c:v>7.5277674973256548E-2</c:v>
                </c:pt>
                <c:pt idx="20">
                  <c:v>0.12527767497325654</c:v>
                </c:pt>
              </c:numCache>
            </c:numRef>
          </c:xVal>
          <c:yVal>
            <c:numRef>
              <c:f>[3]plot!$AE$9:$AE$29</c:f>
              <c:numCache>
                <c:formatCode>General</c:formatCode>
                <c:ptCount val="21"/>
                <c:pt idx="0">
                  <c:v>-0.55785238617166222</c:v>
                </c:pt>
                <c:pt idx="1">
                  <c:v>-0.60115365636088414</c:v>
                </c:pt>
                <c:pt idx="2">
                  <c:v>-0.55785238617166222</c:v>
                </c:pt>
                <c:pt idx="3">
                  <c:v>-0.60785238617166226</c:v>
                </c:pt>
                <c:pt idx="4">
                  <c:v>-0.65115365636088418</c:v>
                </c:pt>
                <c:pt idx="5">
                  <c:v>-0.60785238617166226</c:v>
                </c:pt>
                <c:pt idx="6">
                  <c:v>-0.6578523861716622</c:v>
                </c:pt>
                <c:pt idx="7">
                  <c:v>-0.70115365636088411</c:v>
                </c:pt>
                <c:pt idx="8">
                  <c:v>-0.6578523861716622</c:v>
                </c:pt>
                <c:pt idx="9">
                  <c:v>-0.70785238617166224</c:v>
                </c:pt>
                <c:pt idx="10">
                  <c:v>-0.75115365636088416</c:v>
                </c:pt>
                <c:pt idx="11">
                  <c:v>-0.70785238617166224</c:v>
                </c:pt>
                <c:pt idx="12">
                  <c:v>-0.75785238617166217</c:v>
                </c:pt>
                <c:pt idx="13">
                  <c:v>-0.80115365636088409</c:v>
                </c:pt>
                <c:pt idx="14">
                  <c:v>-0.75785238617166217</c:v>
                </c:pt>
                <c:pt idx="15">
                  <c:v>-0.75785238617166217</c:v>
                </c:pt>
                <c:pt idx="16">
                  <c:v>-0.80115365636088409</c:v>
                </c:pt>
                <c:pt idx="17">
                  <c:v>-0.75785238617166217</c:v>
                </c:pt>
                <c:pt idx="18">
                  <c:v>-0.75785238617166217</c:v>
                </c:pt>
                <c:pt idx="19">
                  <c:v>-0.80115365636088409</c:v>
                </c:pt>
                <c:pt idx="20">
                  <c:v>-0.75785238617166217</c:v>
                </c:pt>
              </c:numCache>
            </c:numRef>
          </c:yVal>
          <c:smooth val="0"/>
          <c:extLst xmlns:c16r2="http://schemas.microsoft.com/office/drawing/2015/06/chart">
            <c:ext xmlns:c16="http://schemas.microsoft.com/office/drawing/2014/chart" uri="{C3380CC4-5D6E-409C-BE32-E72D297353CC}">
              <c16:uniqueId val="{0000003D-DA0F-4C54-BAFE-64AAAFE72721}"/>
            </c:ext>
          </c:extLst>
        </c:ser>
        <c:ser>
          <c:idx val="10"/>
          <c:order val="9"/>
          <c:tx>
            <c:v>labz</c:v>
          </c:tx>
          <c:spPr>
            <a:ln w="3175">
              <a:solidFill>
                <a:srgbClr val="C0C0C0"/>
              </a:solidFill>
              <a:prstDash val="solid"/>
            </a:ln>
          </c:spPr>
          <c:marker>
            <c:symbol val="none"/>
          </c:marker>
          <c:dLbls>
            <c:dLbl>
              <c:idx val="0"/>
              <c:tx>
                <c:strRef>
                  <c:f>[3]plot!$AH$9</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E-DA0F-4C54-BAFE-64AAAFE72721}"/>
                </c:ext>
                <c:ext xmlns:c15="http://schemas.microsoft.com/office/drawing/2012/chart" uri="{CE6537A1-D6FC-4f65-9D91-7224C49458BB}">
                  <c15:dlblFieldTable>
                    <c15:dlblFTEntry>
                      <c15:txfldGUID>{AACB7115-4991-45A1-AF43-4CBBEBBEBEDE}</c15:txfldGUID>
                      <c15:f>[3]plot!$AH$9</c15:f>
                      <c15:dlblFieldTableCache>
                        <c:ptCount val="1"/>
                      </c15:dlblFieldTableCache>
                    </c15:dlblFTEntry>
                  </c15:dlblFieldTable>
                  <c15:showDataLabelsRange val="0"/>
                </c:ext>
              </c:extLst>
            </c:dLbl>
            <c:dLbl>
              <c:idx val="1"/>
              <c:tx>
                <c:strRef>
                  <c:f>[3]plot!$AH$10</c:f>
                  <c:strCache>
                    <c:ptCount val="1"/>
                    <c:pt idx="0">
                      <c:v>2.7</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F-DA0F-4C54-BAFE-64AAAFE72721}"/>
                </c:ext>
                <c:ext xmlns:c15="http://schemas.microsoft.com/office/drawing/2012/chart" uri="{CE6537A1-D6FC-4f65-9D91-7224C49458BB}">
                  <c15:dlblFieldTable>
                    <c15:dlblFTEntry>
                      <c15:txfldGUID>{F7DB1194-C861-4546-9281-A6596F739F1A}</c15:txfldGUID>
                      <c15:f>[3]plot!$AH$10</c15:f>
                      <c15:dlblFieldTableCache>
                        <c:ptCount val="1"/>
                        <c:pt idx="0">
                          <c:v>2.7</c:v>
                        </c:pt>
                      </c15:dlblFieldTableCache>
                    </c15:dlblFTEntry>
                  </c15:dlblFieldTable>
                  <c15:showDataLabelsRange val="0"/>
                </c:ext>
              </c:extLst>
            </c:dLbl>
            <c:dLbl>
              <c:idx val="2"/>
              <c:tx>
                <c:strRef>
                  <c:f>[3]plot!$AH$11</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0-DA0F-4C54-BAFE-64AAAFE72721}"/>
                </c:ext>
                <c:ext xmlns:c15="http://schemas.microsoft.com/office/drawing/2012/chart" uri="{CE6537A1-D6FC-4f65-9D91-7224C49458BB}">
                  <c15:dlblFieldTable>
                    <c15:dlblFTEntry>
                      <c15:txfldGUID>{591477C5-7724-4AED-A6AB-BBA765944F69}</c15:txfldGUID>
                      <c15:f>[3]plot!$AH$11</c15:f>
                      <c15:dlblFieldTableCache>
                        <c:ptCount val="1"/>
                      </c15:dlblFieldTableCache>
                    </c15:dlblFTEntry>
                  </c15:dlblFieldTable>
                  <c15:showDataLabelsRange val="0"/>
                </c:ext>
              </c:extLst>
            </c:dLbl>
            <c:dLbl>
              <c:idx val="3"/>
              <c:tx>
                <c:strRef>
                  <c:f>[3]plot!$AH$12</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1-DA0F-4C54-BAFE-64AAAFE72721}"/>
                </c:ext>
                <c:ext xmlns:c15="http://schemas.microsoft.com/office/drawing/2012/chart" uri="{CE6537A1-D6FC-4f65-9D91-7224C49458BB}">
                  <c15:dlblFieldTable>
                    <c15:dlblFTEntry>
                      <c15:txfldGUID>{AAE74A11-AAA2-4C97-86E1-74D60C376CFF}</c15:txfldGUID>
                      <c15:f>[3]plot!$AH$12</c15:f>
                      <c15:dlblFieldTableCache>
                        <c:ptCount val="1"/>
                      </c15:dlblFieldTableCache>
                    </c15:dlblFTEntry>
                  </c15:dlblFieldTable>
                  <c15:showDataLabelsRange val="0"/>
                </c:ext>
              </c:extLst>
            </c:dLbl>
            <c:dLbl>
              <c:idx val="4"/>
              <c:tx>
                <c:strRef>
                  <c:f>[3]plot!$AH$13</c:f>
                  <c:strCache>
                    <c:ptCount val="1"/>
                    <c:pt idx="0">
                      <c:v>3</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2-DA0F-4C54-BAFE-64AAAFE72721}"/>
                </c:ext>
                <c:ext xmlns:c15="http://schemas.microsoft.com/office/drawing/2012/chart" uri="{CE6537A1-D6FC-4f65-9D91-7224C49458BB}">
                  <c15:dlblFieldTable>
                    <c15:dlblFTEntry>
                      <c15:txfldGUID>{D5E1704A-B32C-4EB3-ABC8-7C26ACB8CC17}</c15:txfldGUID>
                      <c15:f>[3]plot!$AH$13</c15:f>
                      <c15:dlblFieldTableCache>
                        <c:ptCount val="1"/>
                        <c:pt idx="0">
                          <c:v>3</c:v>
                        </c:pt>
                      </c15:dlblFieldTableCache>
                    </c15:dlblFTEntry>
                  </c15:dlblFieldTable>
                  <c15:showDataLabelsRange val="0"/>
                </c:ext>
              </c:extLst>
            </c:dLbl>
            <c:dLbl>
              <c:idx val="5"/>
              <c:tx>
                <c:strRef>
                  <c:f>[3]plot!$AH$14</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3-DA0F-4C54-BAFE-64AAAFE72721}"/>
                </c:ext>
                <c:ext xmlns:c15="http://schemas.microsoft.com/office/drawing/2012/chart" uri="{CE6537A1-D6FC-4f65-9D91-7224C49458BB}">
                  <c15:dlblFieldTable>
                    <c15:dlblFTEntry>
                      <c15:txfldGUID>{2D32E847-1B7D-4BF4-85AC-BD767DFF4931}</c15:txfldGUID>
                      <c15:f>[3]plot!$AH$14</c15:f>
                      <c15:dlblFieldTableCache>
                        <c:ptCount val="1"/>
                      </c15:dlblFieldTableCache>
                    </c15:dlblFTEntry>
                  </c15:dlblFieldTable>
                  <c15:showDataLabelsRange val="0"/>
                </c:ext>
              </c:extLst>
            </c:dLbl>
            <c:dLbl>
              <c:idx val="6"/>
              <c:tx>
                <c:strRef>
                  <c:f>[3]plot!$AH$15</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4-DA0F-4C54-BAFE-64AAAFE72721}"/>
                </c:ext>
                <c:ext xmlns:c15="http://schemas.microsoft.com/office/drawing/2012/chart" uri="{CE6537A1-D6FC-4f65-9D91-7224C49458BB}">
                  <c15:dlblFieldTable>
                    <c15:dlblFTEntry>
                      <c15:txfldGUID>{3AFD843B-E8D9-47D6-9DDE-8AC1EF7E5C36}</c15:txfldGUID>
                      <c15:f>[3]plot!$AH$15</c15:f>
                      <c15:dlblFieldTableCache>
                        <c:ptCount val="1"/>
                      </c15:dlblFieldTableCache>
                    </c15:dlblFTEntry>
                  </c15:dlblFieldTable>
                  <c15:showDataLabelsRange val="0"/>
                </c:ext>
              </c:extLst>
            </c:dLbl>
            <c:dLbl>
              <c:idx val="7"/>
              <c:tx>
                <c:strRef>
                  <c:f>[3]plot!$AH$16</c:f>
                  <c:strCache>
                    <c:ptCount val="1"/>
                    <c:pt idx="0">
                      <c:v>3.3</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5-DA0F-4C54-BAFE-64AAAFE72721}"/>
                </c:ext>
                <c:ext xmlns:c15="http://schemas.microsoft.com/office/drawing/2012/chart" uri="{CE6537A1-D6FC-4f65-9D91-7224C49458BB}">
                  <c15:dlblFieldTable>
                    <c15:dlblFTEntry>
                      <c15:txfldGUID>{CE5EBB0B-6624-4700-90D2-32909889915B}</c15:txfldGUID>
                      <c15:f>[3]plot!$AH$16</c15:f>
                      <c15:dlblFieldTableCache>
                        <c:ptCount val="1"/>
                        <c:pt idx="0">
                          <c:v>3.3</c:v>
                        </c:pt>
                      </c15:dlblFieldTableCache>
                    </c15:dlblFTEntry>
                  </c15:dlblFieldTable>
                  <c15:showDataLabelsRange val="0"/>
                </c:ext>
              </c:extLst>
            </c:dLbl>
            <c:dLbl>
              <c:idx val="8"/>
              <c:tx>
                <c:strRef>
                  <c:f>[3]plot!$AH$17</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6-DA0F-4C54-BAFE-64AAAFE72721}"/>
                </c:ext>
                <c:ext xmlns:c15="http://schemas.microsoft.com/office/drawing/2012/chart" uri="{CE6537A1-D6FC-4f65-9D91-7224C49458BB}">
                  <c15:dlblFieldTable>
                    <c15:dlblFTEntry>
                      <c15:txfldGUID>{DA2D8ABD-298D-4A63-A322-AFF24D7A74DB}</c15:txfldGUID>
                      <c15:f>[3]plot!$AH$17</c15:f>
                      <c15:dlblFieldTableCache>
                        <c:ptCount val="1"/>
                      </c15:dlblFieldTableCache>
                    </c15:dlblFTEntry>
                  </c15:dlblFieldTable>
                  <c15:showDataLabelsRange val="0"/>
                </c:ext>
              </c:extLst>
            </c:dLbl>
            <c:dLbl>
              <c:idx val="9"/>
              <c:tx>
                <c:strRef>
                  <c:f>[3]plot!$AH$18</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7-DA0F-4C54-BAFE-64AAAFE72721}"/>
                </c:ext>
                <c:ext xmlns:c15="http://schemas.microsoft.com/office/drawing/2012/chart" uri="{CE6537A1-D6FC-4f65-9D91-7224C49458BB}">
                  <c15:dlblFieldTable>
                    <c15:dlblFTEntry>
                      <c15:txfldGUID>{2C6A6316-2EE2-4B25-888D-FD272F8593F8}</c15:txfldGUID>
                      <c15:f>[3]plot!$AH$18</c15:f>
                      <c15:dlblFieldTableCache>
                        <c:ptCount val="1"/>
                      </c15:dlblFieldTableCache>
                    </c15:dlblFTEntry>
                  </c15:dlblFieldTable>
                  <c15:showDataLabelsRange val="0"/>
                </c:ext>
              </c:extLst>
            </c:dLbl>
            <c:dLbl>
              <c:idx val="10"/>
              <c:tx>
                <c:strRef>
                  <c:f>[3]plot!$AH$19</c:f>
                  <c:strCache>
                    <c:ptCount val="1"/>
                    <c:pt idx="0">
                      <c:v>3.6</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8-DA0F-4C54-BAFE-64AAAFE72721}"/>
                </c:ext>
                <c:ext xmlns:c15="http://schemas.microsoft.com/office/drawing/2012/chart" uri="{CE6537A1-D6FC-4f65-9D91-7224C49458BB}">
                  <c15:dlblFieldTable>
                    <c15:dlblFTEntry>
                      <c15:txfldGUID>{6ECDE5D1-2E4F-40E0-B8E7-4E7E25FC2004}</c15:txfldGUID>
                      <c15:f>[3]plot!$AH$19</c15:f>
                      <c15:dlblFieldTableCache>
                        <c:ptCount val="1"/>
                        <c:pt idx="0">
                          <c:v>3.6</c:v>
                        </c:pt>
                      </c15:dlblFieldTableCache>
                    </c15:dlblFTEntry>
                  </c15:dlblFieldTable>
                  <c15:showDataLabelsRange val="0"/>
                </c:ext>
              </c:extLst>
            </c:dLbl>
            <c:dLbl>
              <c:idx val="11"/>
              <c:tx>
                <c:strRef>
                  <c:f>[3]plot!$AH$20</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9-DA0F-4C54-BAFE-64AAAFE72721}"/>
                </c:ext>
                <c:ext xmlns:c15="http://schemas.microsoft.com/office/drawing/2012/chart" uri="{CE6537A1-D6FC-4f65-9D91-7224C49458BB}">
                  <c15:dlblFieldTable>
                    <c15:dlblFTEntry>
                      <c15:txfldGUID>{CA02DDB2-DE2C-4962-A1B0-E80ADA339E7C}</c15:txfldGUID>
                      <c15:f>[3]plot!$AH$20</c15:f>
                      <c15:dlblFieldTableCache>
                        <c:ptCount val="1"/>
                      </c15:dlblFieldTableCache>
                    </c15:dlblFTEntry>
                  </c15:dlblFieldTable>
                  <c15:showDataLabelsRange val="0"/>
                </c:ext>
              </c:extLst>
            </c:dLbl>
            <c:dLbl>
              <c:idx val="12"/>
              <c:tx>
                <c:strRef>
                  <c:f>[3]plot!$AH$21</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A-DA0F-4C54-BAFE-64AAAFE72721}"/>
                </c:ext>
                <c:ext xmlns:c15="http://schemas.microsoft.com/office/drawing/2012/chart" uri="{CE6537A1-D6FC-4f65-9D91-7224C49458BB}">
                  <c15:dlblFieldTable>
                    <c15:dlblFTEntry>
                      <c15:txfldGUID>{76BF8211-7D3D-43C7-9DC0-D44C17D55036}</c15:txfldGUID>
                      <c15:f>[3]plot!$AH$21</c15:f>
                      <c15:dlblFieldTableCache>
                        <c:ptCount val="1"/>
                      </c15:dlblFieldTableCache>
                    </c15:dlblFTEntry>
                  </c15:dlblFieldTable>
                  <c15:showDataLabelsRange val="0"/>
                </c:ext>
              </c:extLst>
            </c:dLbl>
            <c:dLbl>
              <c:idx val="13"/>
              <c:tx>
                <c:strRef>
                  <c:f>[3]plot!$AH$22</c:f>
                  <c:strCache>
                    <c:ptCount val="1"/>
                    <c:pt idx="0">
                      <c:v>3.9</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B-DA0F-4C54-BAFE-64AAAFE72721}"/>
                </c:ext>
                <c:ext xmlns:c15="http://schemas.microsoft.com/office/drawing/2012/chart" uri="{CE6537A1-D6FC-4f65-9D91-7224C49458BB}">
                  <c15:dlblFieldTable>
                    <c15:dlblFTEntry>
                      <c15:txfldGUID>{3252C6BD-31CD-46CF-8E33-8E1E25A3CD7A}</c15:txfldGUID>
                      <c15:f>[3]plot!$AH$22</c15:f>
                      <c15:dlblFieldTableCache>
                        <c:ptCount val="1"/>
                        <c:pt idx="0">
                          <c:v>3.9</c:v>
                        </c:pt>
                      </c15:dlblFieldTableCache>
                    </c15:dlblFTEntry>
                  </c15:dlblFieldTable>
                  <c15:showDataLabelsRange val="0"/>
                </c:ext>
              </c:extLst>
            </c:dLbl>
            <c:dLbl>
              <c:idx val="14"/>
              <c:tx>
                <c:strRef>
                  <c:f>[3]plot!$AH$23</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C-DA0F-4C54-BAFE-64AAAFE72721}"/>
                </c:ext>
                <c:ext xmlns:c15="http://schemas.microsoft.com/office/drawing/2012/chart" uri="{CE6537A1-D6FC-4f65-9D91-7224C49458BB}">
                  <c15:dlblFieldTable>
                    <c15:dlblFTEntry>
                      <c15:txfldGUID>{7EF0BE40-3625-43FD-9BE7-5C835CF9FB6A}</c15:txfldGUID>
                      <c15:f>[3]plot!$AH$23</c15:f>
                      <c15:dlblFieldTableCache>
                        <c:ptCount val="1"/>
                      </c15:dlblFieldTableCache>
                    </c15:dlblFTEntry>
                  </c15:dlblFieldTable>
                  <c15:showDataLabelsRange val="0"/>
                </c:ext>
              </c:extLst>
            </c:dLbl>
            <c:dLbl>
              <c:idx val="15"/>
              <c:tx>
                <c:strRef>
                  <c:f>[3]plot!$AH$24</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D-DA0F-4C54-BAFE-64AAAFE72721}"/>
                </c:ext>
                <c:ext xmlns:c15="http://schemas.microsoft.com/office/drawing/2012/chart" uri="{CE6537A1-D6FC-4f65-9D91-7224C49458BB}">
                  <c15:dlblFieldTable>
                    <c15:dlblFTEntry>
                      <c15:txfldGUID>{085B87B6-9E0B-408B-8111-9B2A36E62C0C}</c15:txfldGUID>
                      <c15:f>[3]plot!$AH$24</c15:f>
                      <c15:dlblFieldTableCache>
                        <c:ptCount val="1"/>
                      </c15:dlblFieldTableCache>
                    </c15:dlblFTEntry>
                  </c15:dlblFieldTable>
                  <c15:showDataLabelsRange val="0"/>
                </c:ext>
              </c:extLst>
            </c:dLbl>
            <c:dLbl>
              <c:idx val="16"/>
              <c:tx>
                <c:strRef>
                  <c:f>[3]plot!$AH$25</c:f>
                  <c:strCache>
                    <c:ptCount val="1"/>
                    <c:pt idx="0">
                      <c:v>4.2</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E-DA0F-4C54-BAFE-64AAAFE72721}"/>
                </c:ext>
                <c:ext xmlns:c15="http://schemas.microsoft.com/office/drawing/2012/chart" uri="{CE6537A1-D6FC-4f65-9D91-7224C49458BB}">
                  <c15:dlblFieldTable>
                    <c15:dlblFTEntry>
                      <c15:txfldGUID>{9E098993-244C-46EE-974B-C5442A9417DD}</c15:txfldGUID>
                      <c15:f>[3]plot!$AH$25</c15:f>
                      <c15:dlblFieldTableCache>
                        <c:ptCount val="1"/>
                        <c:pt idx="0">
                          <c:v>4.2</c:v>
                        </c:pt>
                      </c15:dlblFieldTableCache>
                    </c15:dlblFTEntry>
                  </c15:dlblFieldTable>
                  <c15:showDataLabelsRange val="0"/>
                </c:ext>
              </c:extLst>
            </c:dLbl>
            <c:dLbl>
              <c:idx val="17"/>
              <c:tx>
                <c:strRef>
                  <c:f>[3]plot!$AH$26</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4F-DA0F-4C54-BAFE-64AAAFE72721}"/>
                </c:ext>
                <c:ext xmlns:c15="http://schemas.microsoft.com/office/drawing/2012/chart" uri="{CE6537A1-D6FC-4f65-9D91-7224C49458BB}">
                  <c15:dlblFieldTable>
                    <c15:dlblFTEntry>
                      <c15:txfldGUID>{35410E48-B91D-4569-ABD5-5F4A086372CD}</c15:txfldGUID>
                      <c15:f>[3]plot!$AH$26</c15:f>
                      <c15:dlblFieldTableCache>
                        <c:ptCount val="1"/>
                      </c15:dlblFieldTableCache>
                    </c15:dlblFTEntry>
                  </c15:dlblFieldTable>
                  <c15:showDataLabelsRange val="0"/>
                </c:ext>
              </c:extLst>
            </c:dLbl>
            <c:dLbl>
              <c:idx val="18"/>
              <c:tx>
                <c:strRef>
                  <c:f>[3]plot!$AH$27</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50-DA0F-4C54-BAFE-64AAAFE72721}"/>
                </c:ext>
                <c:ext xmlns:c15="http://schemas.microsoft.com/office/drawing/2012/chart" uri="{CE6537A1-D6FC-4f65-9D91-7224C49458BB}">
                  <c15:dlblFieldTable>
                    <c15:dlblFTEntry>
                      <c15:txfldGUID>{FADF032D-8864-4161-A490-DCCD53213AC2}</c15:txfldGUID>
                      <c15:f>[3]plot!$AH$27</c15:f>
                      <c15:dlblFieldTableCache>
                        <c:ptCount val="1"/>
                      </c15:dlblFieldTableCache>
                    </c15:dlblFTEntry>
                  </c15:dlblFieldTable>
                  <c15:showDataLabelsRange val="0"/>
                </c:ext>
              </c:extLst>
            </c:dLbl>
            <c:dLbl>
              <c:idx val="19"/>
              <c:tx>
                <c:strRef>
                  <c:f>[3]plot!$AH$28</c:f>
                  <c:strCache>
                    <c:ptCount val="1"/>
                    <c:pt idx="0">
                      <c:v>4.2</c:v>
                    </c:pt>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51-DA0F-4C54-BAFE-64AAAFE72721}"/>
                </c:ext>
                <c:ext xmlns:c15="http://schemas.microsoft.com/office/drawing/2012/chart" uri="{CE6537A1-D6FC-4f65-9D91-7224C49458BB}">
                  <c15:dlblFieldTable>
                    <c15:dlblFTEntry>
                      <c15:txfldGUID>{0C16E6BD-E004-49B0-ADE0-390DB4EA613F}</c15:txfldGUID>
                      <c15:f>[3]plot!$AH$28</c15:f>
                      <c15:dlblFieldTableCache>
                        <c:ptCount val="1"/>
                        <c:pt idx="0">
                          <c:v>4.2</c:v>
                        </c:pt>
                      </c15:dlblFieldTableCache>
                    </c15:dlblFTEntry>
                  </c15:dlblFieldTable>
                  <c15:showDataLabelsRange val="0"/>
                </c:ext>
              </c:extLst>
            </c:dLbl>
            <c:dLbl>
              <c:idx val="20"/>
              <c:tx>
                <c:strRef>
                  <c:f>[3]plot!$AH$29</c:f>
                  <c:strCache>
                    <c:ptCount val="1"/>
                  </c:strCache>
                </c:strRef>
              </c:tx>
              <c:spPr>
                <a:noFill/>
                <a:ln w="25400">
                  <a:noFill/>
                </a:ln>
              </c:spPr>
              <c:txPr>
                <a:bodyPr/>
                <a:lstStyle/>
                <a:p>
                  <a:pPr algn="l">
                    <a:defRPr sz="1200" b="0" i="0" u="none" strike="noStrike" baseline="0">
                      <a:solidFill>
                        <a:srgbClr val="969696"/>
                      </a:solidFill>
                      <a:latin typeface="Verdana"/>
                      <a:ea typeface="Verdana"/>
                      <a:cs typeface="Verdana"/>
                    </a:defRPr>
                  </a:pPr>
                  <a:endParaRPr lang="en-US"/>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52-DA0F-4C54-BAFE-64AAAFE72721}"/>
                </c:ext>
                <c:ext xmlns:c15="http://schemas.microsoft.com/office/drawing/2012/chart" uri="{CE6537A1-D6FC-4f65-9D91-7224C49458BB}">
                  <c15:dlblFieldTable>
                    <c15:dlblFTEntry>
                      <c15:txfldGUID>{8A448799-3C52-4DCD-84C9-F5FEF0E9F472}</c15:txfldGUID>
                      <c15:f>[3]plot!$AH$29</c15:f>
                      <c15:dlblFieldTableCache>
                        <c:ptCount val="1"/>
                      </c15:dlblFieldTableCache>
                    </c15:dlblFTEntry>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xVal>
            <c:numRef>
              <c:f>[3]plot!$AI$9:$AI$29</c:f>
              <c:numCache>
                <c:formatCode>General</c:formatCode>
                <c:ptCount val="21"/>
                <c:pt idx="0">
                  <c:v>0.6830127018922193</c:v>
                </c:pt>
                <c:pt idx="1">
                  <c:v>0.76961524227066314</c:v>
                </c:pt>
                <c:pt idx="2">
                  <c:v>0.6830127018922193</c:v>
                </c:pt>
                <c:pt idx="3">
                  <c:v>0.68301270189221941</c:v>
                </c:pt>
                <c:pt idx="4">
                  <c:v>0.76961524227066325</c:v>
                </c:pt>
                <c:pt idx="5">
                  <c:v>0.68301270189221941</c:v>
                </c:pt>
                <c:pt idx="6">
                  <c:v>0.68301270189221941</c:v>
                </c:pt>
                <c:pt idx="7">
                  <c:v>0.76961524227066325</c:v>
                </c:pt>
                <c:pt idx="8">
                  <c:v>0.68301270189221941</c:v>
                </c:pt>
                <c:pt idx="9">
                  <c:v>0.68301270189221941</c:v>
                </c:pt>
                <c:pt idx="10">
                  <c:v>0.76961524227066325</c:v>
                </c:pt>
                <c:pt idx="11">
                  <c:v>0.68301270189221941</c:v>
                </c:pt>
                <c:pt idx="12">
                  <c:v>0.68301270189221941</c:v>
                </c:pt>
                <c:pt idx="13">
                  <c:v>0.76961524227066325</c:v>
                </c:pt>
                <c:pt idx="14">
                  <c:v>0.68301270189221941</c:v>
                </c:pt>
                <c:pt idx="15">
                  <c:v>0.68301270189221941</c:v>
                </c:pt>
                <c:pt idx="16">
                  <c:v>0.76961524227066325</c:v>
                </c:pt>
                <c:pt idx="17">
                  <c:v>0.68301270189221941</c:v>
                </c:pt>
                <c:pt idx="18">
                  <c:v>0.68301270189221941</c:v>
                </c:pt>
                <c:pt idx="19">
                  <c:v>0.76961524227066325</c:v>
                </c:pt>
                <c:pt idx="20">
                  <c:v>0.68301270189221941</c:v>
                </c:pt>
              </c:numCache>
            </c:numRef>
          </c:xVal>
          <c:yVal>
            <c:numRef>
              <c:f>[3]plot!$AJ$9:$AJ$29</c:f>
              <c:numCache>
                <c:formatCode>General</c:formatCode>
                <c:ptCount val="21"/>
                <c:pt idx="0">
                  <c:v>-0.32418584287042118</c:v>
                </c:pt>
                <c:pt idx="1">
                  <c:v>-0.34918584287042115</c:v>
                </c:pt>
                <c:pt idx="2">
                  <c:v>-0.32418584287042118</c:v>
                </c:pt>
                <c:pt idx="3">
                  <c:v>-0.16830127018922211</c:v>
                </c:pt>
                <c:pt idx="4">
                  <c:v>-0.19330127018922211</c:v>
                </c:pt>
                <c:pt idx="5">
                  <c:v>-0.16830127018922211</c:v>
                </c:pt>
                <c:pt idx="6">
                  <c:v>-1.2416697508023183E-2</c:v>
                </c:pt>
                <c:pt idx="7">
                  <c:v>-3.7416697508023178E-2</c:v>
                </c:pt>
                <c:pt idx="8">
                  <c:v>-1.2416697508023183E-2</c:v>
                </c:pt>
                <c:pt idx="9">
                  <c:v>0.14346787517317577</c:v>
                </c:pt>
                <c:pt idx="10">
                  <c:v>0.11846787517317578</c:v>
                </c:pt>
                <c:pt idx="11">
                  <c:v>0.14346787517317577</c:v>
                </c:pt>
                <c:pt idx="12">
                  <c:v>0.29935244785437476</c:v>
                </c:pt>
                <c:pt idx="13">
                  <c:v>0.27435244785437479</c:v>
                </c:pt>
                <c:pt idx="14">
                  <c:v>0.29935244785437476</c:v>
                </c:pt>
                <c:pt idx="15">
                  <c:v>0.4552370205355738</c:v>
                </c:pt>
                <c:pt idx="16">
                  <c:v>0.43023702053557383</c:v>
                </c:pt>
                <c:pt idx="17">
                  <c:v>0.4552370205355738</c:v>
                </c:pt>
                <c:pt idx="18">
                  <c:v>0.4552370205355738</c:v>
                </c:pt>
                <c:pt idx="19">
                  <c:v>0.43023702053557383</c:v>
                </c:pt>
                <c:pt idx="20">
                  <c:v>0.4552370205355738</c:v>
                </c:pt>
              </c:numCache>
            </c:numRef>
          </c:yVal>
          <c:smooth val="0"/>
          <c:extLst xmlns:c16r2="http://schemas.microsoft.com/office/drawing/2015/06/chart">
            <c:ext xmlns:c16="http://schemas.microsoft.com/office/drawing/2014/chart" uri="{C3380CC4-5D6E-409C-BE32-E72D297353CC}">
              <c16:uniqueId val="{00000053-DA0F-4C54-BAFE-64AAAFE72721}"/>
            </c:ext>
          </c:extLst>
        </c:ser>
        <c:ser>
          <c:idx val="2"/>
          <c:order val="10"/>
          <c:tx>
            <c:v>data</c:v>
          </c:tx>
          <c:spPr>
            <a:ln w="28575">
              <a:noFill/>
            </a:ln>
          </c:spPr>
          <c:marker>
            <c:symbol val="circle"/>
            <c:size val="12"/>
            <c:spPr>
              <a:solidFill>
                <a:srgbClr val="0000D4"/>
              </a:solidFill>
              <a:ln>
                <a:solidFill>
                  <a:srgbClr val="000000"/>
                </a:solidFill>
                <a:prstDash val="solid"/>
              </a:ln>
            </c:spPr>
          </c:marker>
          <c:dLbls>
            <c:dLbl>
              <c:idx val="0"/>
              <c:tx>
                <c:strRef>
                  <c:f>[3]plot!$B$33</c:f>
                  <c:strCache>
                    <c:ptCount val="1"/>
                    <c:pt idx="0">
                      <c:v>KZA 1</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4-DA0F-4C54-BAFE-64AAAFE72721}"/>
                </c:ext>
                <c:ext xmlns:c15="http://schemas.microsoft.com/office/drawing/2012/chart" uri="{CE6537A1-D6FC-4f65-9D91-7224C49458BB}">
                  <c15:dlblFieldTable>
                    <c15:dlblFTEntry>
                      <c15:txfldGUID>{6D6EDB02-E4FC-4290-948C-C48EB32E150C}</c15:txfldGUID>
                      <c15:f>[3]plot!$B$33</c15:f>
                      <c15:dlblFieldTableCache>
                        <c:ptCount val="1"/>
                        <c:pt idx="0">
                          <c:v>KZA 1</c:v>
                        </c:pt>
                      </c15:dlblFieldTableCache>
                    </c15:dlblFTEntry>
                  </c15:dlblFieldTable>
                  <c15:showDataLabelsRange val="0"/>
                </c:ext>
              </c:extLst>
            </c:dLbl>
            <c:dLbl>
              <c:idx val="1"/>
              <c:tx>
                <c:strRef>
                  <c:f>[3]plot!$B$34</c:f>
                  <c:strCache>
                    <c:ptCount val="1"/>
                    <c:pt idx="0">
                      <c:v>KZA 2</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5-DA0F-4C54-BAFE-64AAAFE72721}"/>
                </c:ext>
                <c:ext xmlns:c15="http://schemas.microsoft.com/office/drawing/2012/chart" uri="{CE6537A1-D6FC-4f65-9D91-7224C49458BB}">
                  <c15:dlblFieldTable>
                    <c15:dlblFTEntry>
                      <c15:txfldGUID>{4FD5C5F9-8E95-4F89-BEB7-3F9210994657}</c15:txfldGUID>
                      <c15:f>[3]plot!$B$34</c15:f>
                      <c15:dlblFieldTableCache>
                        <c:ptCount val="1"/>
                        <c:pt idx="0">
                          <c:v>KZA 2</c:v>
                        </c:pt>
                      </c15:dlblFieldTableCache>
                    </c15:dlblFTEntry>
                  </c15:dlblFieldTable>
                  <c15:showDataLabelsRange val="0"/>
                </c:ext>
              </c:extLst>
            </c:dLbl>
            <c:dLbl>
              <c:idx val="2"/>
              <c:tx>
                <c:strRef>
                  <c:f>[3]plot!$B$35</c:f>
                  <c:strCache>
                    <c:ptCount val="1"/>
                    <c:pt idx="0">
                      <c:v>KZA 3</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6-DA0F-4C54-BAFE-64AAAFE72721}"/>
                </c:ext>
                <c:ext xmlns:c15="http://schemas.microsoft.com/office/drawing/2012/chart" uri="{CE6537A1-D6FC-4f65-9D91-7224C49458BB}">
                  <c15:dlblFieldTable>
                    <c15:dlblFTEntry>
                      <c15:txfldGUID>{3364DD3B-4986-4DE4-92C6-484089CE9210}</c15:txfldGUID>
                      <c15:f>[3]plot!$B$35</c15:f>
                      <c15:dlblFieldTableCache>
                        <c:ptCount val="1"/>
                        <c:pt idx="0">
                          <c:v>KZA 3</c:v>
                        </c:pt>
                      </c15:dlblFieldTableCache>
                    </c15:dlblFTEntry>
                  </c15:dlblFieldTable>
                  <c15:showDataLabelsRange val="0"/>
                </c:ext>
              </c:extLst>
            </c:dLbl>
            <c:dLbl>
              <c:idx val="3"/>
              <c:tx>
                <c:strRef>
                  <c:f>[3]plot!$B$36</c:f>
                  <c:strCache>
                    <c:ptCount val="1"/>
                    <c:pt idx="0">
                      <c:v>KZA 4</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7-DA0F-4C54-BAFE-64AAAFE72721}"/>
                </c:ext>
                <c:ext xmlns:c15="http://schemas.microsoft.com/office/drawing/2012/chart" uri="{CE6537A1-D6FC-4f65-9D91-7224C49458BB}">
                  <c15:dlblFieldTable>
                    <c15:dlblFTEntry>
                      <c15:txfldGUID>{A8F59B29-E57B-47ED-BDDA-78E93B0426C8}</c15:txfldGUID>
                      <c15:f>[3]plot!$B$36</c15:f>
                      <c15:dlblFieldTableCache>
                        <c:ptCount val="1"/>
                        <c:pt idx="0">
                          <c:v>KZA 4</c:v>
                        </c:pt>
                      </c15:dlblFieldTableCache>
                    </c15:dlblFTEntry>
                  </c15:dlblFieldTable>
                  <c15:showDataLabelsRange val="0"/>
                </c:ext>
              </c:extLst>
            </c:dLbl>
            <c:dLbl>
              <c:idx val="4"/>
              <c:tx>
                <c:strRef>
                  <c:f>[3]plot!$B$37</c:f>
                  <c:strCache>
                    <c:ptCount val="1"/>
                    <c:pt idx="0">
                      <c:v>KZA 5</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8-DA0F-4C54-BAFE-64AAAFE72721}"/>
                </c:ext>
                <c:ext xmlns:c15="http://schemas.microsoft.com/office/drawing/2012/chart" uri="{CE6537A1-D6FC-4f65-9D91-7224C49458BB}">
                  <c15:dlblFieldTable>
                    <c15:dlblFTEntry>
                      <c15:txfldGUID>{42C04DBD-BCB5-4690-8A73-5A11744B5226}</c15:txfldGUID>
                      <c15:f>[3]plot!$B$37</c15:f>
                      <c15:dlblFieldTableCache>
                        <c:ptCount val="1"/>
                        <c:pt idx="0">
                          <c:v>KZA 5</c:v>
                        </c:pt>
                      </c15:dlblFieldTableCache>
                    </c15:dlblFTEntry>
                  </c15:dlblFieldTable>
                  <c15:showDataLabelsRange val="0"/>
                </c:ext>
              </c:extLst>
            </c:dLbl>
            <c:dLbl>
              <c:idx val="5"/>
              <c:tx>
                <c:strRef>
                  <c:f>[3]plot!$B$38</c:f>
                  <c:strCache>
                    <c:ptCount val="1"/>
                    <c:pt idx="0">
                      <c:v>KZA 6</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9-DA0F-4C54-BAFE-64AAAFE72721}"/>
                </c:ext>
                <c:ext xmlns:c15="http://schemas.microsoft.com/office/drawing/2012/chart" uri="{CE6537A1-D6FC-4f65-9D91-7224C49458BB}">
                  <c15:dlblFieldTable>
                    <c15:dlblFTEntry>
                      <c15:txfldGUID>{82EEFF2D-B8F7-4084-B052-B9A3A6F9FA9E}</c15:txfldGUID>
                      <c15:f>[3]plot!$B$38</c15:f>
                      <c15:dlblFieldTableCache>
                        <c:ptCount val="1"/>
                        <c:pt idx="0">
                          <c:v>KZA 6</c:v>
                        </c:pt>
                      </c15:dlblFieldTableCache>
                    </c15:dlblFTEntry>
                  </c15:dlblFieldTable>
                  <c15:showDataLabelsRange val="0"/>
                </c:ext>
              </c:extLst>
            </c:dLbl>
            <c:dLbl>
              <c:idx val="6"/>
              <c:tx>
                <c:strRef>
                  <c:f>[3]plot!$B$39</c:f>
                  <c:strCache>
                    <c:ptCount val="1"/>
                    <c:pt idx="0">
                      <c:v>KZA 7</c:v>
                    </c:pt>
                  </c:strCache>
                </c:strRef>
              </c:tx>
              <c:spPr>
                <a:noFill/>
                <a:ln w="25400">
                  <a:noFill/>
                </a:ln>
              </c:spPr>
              <c:txPr>
                <a:bodyPr/>
                <a:lstStyle/>
                <a:p>
                  <a:pPr>
                    <a:defRPr sz="1400" b="0" i="0" u="none" strike="noStrike" baseline="0">
                      <a:solidFill>
                        <a:srgbClr val="808080"/>
                      </a:solidFill>
                      <a:latin typeface="Arial Narrow"/>
                      <a:ea typeface="Arial Narrow"/>
                      <a:cs typeface="Arial Narrow"/>
                    </a:defRPr>
                  </a:pPr>
                  <a:endParaRPr lang="en-U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A-DA0F-4C54-BAFE-64AAAFE72721}"/>
                </c:ext>
                <c:ext xmlns:c15="http://schemas.microsoft.com/office/drawing/2012/chart" uri="{CE6537A1-D6FC-4f65-9D91-7224C49458BB}">
                  <c15:dlblFieldTable>
                    <c15:dlblFTEntry>
                      <c15:txfldGUID>{89DDB080-2AE1-4087-94B9-131AB049B938}</c15:txfldGUID>
                      <c15:f>[3]plot!$B$39</c15:f>
                      <c15:dlblFieldTableCache>
                        <c:ptCount val="1"/>
                        <c:pt idx="0">
                          <c:v>KZA 7</c:v>
                        </c:pt>
                      </c15:dlblFieldTableCache>
                    </c15:dlblFTEntry>
                  </c15:dlblFieldTable>
                  <c15:showDataLabelsRange val="0"/>
                </c:ext>
              </c:extLst>
            </c:dLbl>
            <c:dLbl>
              <c:idx val="7"/>
              <c:tx>
                <c:strRef>
                  <c:f>[3]plot!$B$40</c:f>
                  <c:strCache>
                    <c:ptCount val="1"/>
                    <c:pt idx="0">
                      <c:v>KZA 8</c:v>
                    </c:pt>
                  </c:strCache>
                </c:strRef>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B-DA0F-4C54-BAFE-64AAAFE72721}"/>
                </c:ext>
                <c:ext xmlns:c15="http://schemas.microsoft.com/office/drawing/2012/chart" uri="{CE6537A1-D6FC-4f65-9D91-7224C49458BB}">
                  <c15:dlblFieldTable>
                    <c15:dlblFTEntry>
                      <c15:txfldGUID>{DE915F56-E04C-4BE8-896B-7FE211EDCB0D}</c15:txfldGUID>
                      <c15:f>[3]plot!$B$40</c15:f>
                      <c15:dlblFieldTableCache>
                        <c:ptCount val="1"/>
                        <c:pt idx="0">
                          <c:v>KZA 8</c:v>
                        </c:pt>
                      </c15:dlblFieldTableCache>
                    </c15:dlblFTEntry>
                  </c15:dlblFieldTable>
                  <c15:showDataLabelsRange val="0"/>
                </c:ext>
              </c:extLst>
            </c:dLbl>
            <c:dLbl>
              <c:idx val="8"/>
              <c:tx>
                <c:strRef>
                  <c:f>[3]plot!$B$41</c:f>
                  <c:strCache>
                    <c:ptCount val="1"/>
                    <c:pt idx="0">
                      <c:v>KZA 9</c:v>
                    </c:pt>
                  </c:strCache>
                </c:strRef>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C-DA0F-4C54-BAFE-64AAAFE72721}"/>
                </c:ext>
                <c:ext xmlns:c15="http://schemas.microsoft.com/office/drawing/2012/chart" uri="{CE6537A1-D6FC-4f65-9D91-7224C49458BB}">
                  <c15:dlblFieldTable>
                    <c15:dlblFTEntry>
                      <c15:txfldGUID>{AACBC928-F676-4B01-87A4-3EAE22BC71AF}</c15:txfldGUID>
                      <c15:f>[3]plot!$B$41</c15:f>
                      <c15:dlblFieldTableCache>
                        <c:ptCount val="1"/>
                        <c:pt idx="0">
                          <c:v>KZA 9</c:v>
                        </c:pt>
                      </c15:dlblFieldTableCache>
                    </c15:dlblFTEntry>
                  </c15:dlblFieldTable>
                  <c15:showDataLabelsRange val="0"/>
                </c:ext>
              </c:extLst>
            </c:dLbl>
            <c:dLbl>
              <c:idx val="9"/>
              <c:tx>
                <c:strRef>
                  <c:f>[3]plot!$B$42</c:f>
                  <c:strCache>
                    <c:ptCount val="1"/>
                    <c:pt idx="0">
                      <c:v>KZA 10</c:v>
                    </c:pt>
                  </c:strCache>
                </c:strRef>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D-DA0F-4C54-BAFE-64AAAFE72721}"/>
                </c:ext>
                <c:ext xmlns:c15="http://schemas.microsoft.com/office/drawing/2012/chart" uri="{CE6537A1-D6FC-4f65-9D91-7224C49458BB}">
                  <c15:dlblFieldTable>
                    <c15:dlblFTEntry>
                      <c15:txfldGUID>{F5750F7F-BCBE-4584-A9BC-D74C530FD176}</c15:txfldGUID>
                      <c15:f>[3]plot!$B$42</c15:f>
                      <c15:dlblFieldTableCache>
                        <c:ptCount val="1"/>
                        <c:pt idx="0">
                          <c:v>KZA 10</c:v>
                        </c:pt>
                      </c15:dlblFieldTableCache>
                    </c15:dlblFTEntry>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errBars>
            <c:errDir val="y"/>
            <c:errBarType val="minus"/>
            <c:errValType val="cust"/>
            <c:noEndCap val="1"/>
            <c:minus>
              <c:numRef>
                <c:f>[3]plot!$G$33:$G$42</c:f>
                <c:numCache>
                  <c:formatCode>General</c:formatCode>
                  <c:ptCount val="10"/>
                  <c:pt idx="0">
                    <c:v>0</c:v>
                  </c:pt>
                  <c:pt idx="1">
                    <c:v>0</c:v>
                  </c:pt>
                  <c:pt idx="2">
                    <c:v>0</c:v>
                  </c:pt>
                  <c:pt idx="3">
                    <c:v>0</c:v>
                  </c:pt>
                  <c:pt idx="4">
                    <c:v>0</c:v>
                  </c:pt>
                  <c:pt idx="5">
                    <c:v>0</c:v>
                  </c:pt>
                  <c:pt idx="6">
                    <c:v>0</c:v>
                  </c:pt>
                  <c:pt idx="7">
                    <c:v>0</c:v>
                  </c:pt>
                  <c:pt idx="8">
                    <c:v>0</c:v>
                  </c:pt>
                  <c:pt idx="9">
                    <c:v>0</c:v>
                  </c:pt>
                </c:numCache>
              </c:numRef>
            </c:minus>
            <c:spPr>
              <a:ln w="12700">
                <a:solidFill>
                  <a:srgbClr val="000000"/>
                </a:solidFill>
                <a:prstDash val="solid"/>
              </a:ln>
            </c:spPr>
          </c:errBars>
          <c:xVal>
            <c:numRef>
              <c:f>[3]plot!$K$33:$K$42</c:f>
              <c:numCache>
                <c:formatCode>General</c:formatCode>
                <c:ptCount val="10"/>
                <c:pt idx="0">
                  <c:v>-0.33878201174185091</c:v>
                </c:pt>
                <c:pt idx="1">
                  <c:v>-0.28322645618629533</c:v>
                </c:pt>
                <c:pt idx="2">
                  <c:v>-0.28322645618629533</c:v>
                </c:pt>
                <c:pt idx="3">
                  <c:v>-0.40523492411444156</c:v>
                </c:pt>
                <c:pt idx="4">
                  <c:v>0.40523492411444151</c:v>
                </c:pt>
                <c:pt idx="5">
                  <c:v>-0.2276709006307398</c:v>
                </c:pt>
                <c:pt idx="6">
                  <c:v>-0.11655978951962863</c:v>
                </c:pt>
                <c:pt idx="7">
                  <c:v>0.39433756729740643</c:v>
                </c:pt>
                <c:pt idx="8">
                  <c:v>6.1004233964073014E-2</c:v>
                </c:pt>
                <c:pt idx="9">
                  <c:v>-0.68301270189221941</c:v>
                </c:pt>
              </c:numCache>
            </c:numRef>
          </c:xVal>
          <c:yVal>
            <c:numRef>
              <c:f>[3]plot!$L$33:$L$42</c:f>
              <c:numCache>
                <c:formatCode>General</c:formatCode>
                <c:ptCount val="10"/>
                <c:pt idx="0">
                  <c:v>0.13308045928835768</c:v>
                </c:pt>
                <c:pt idx="1">
                  <c:v>0.35439806247771405</c:v>
                </c:pt>
                <c:pt idx="2">
                  <c:v>0.18119298172082643</c:v>
                </c:pt>
                <c:pt idx="3">
                  <c:v>-0.11075135991909713</c:v>
                </c:pt>
                <c:pt idx="4">
                  <c:v>-0.23565880159467817</c:v>
                </c:pt>
                <c:pt idx="5">
                  <c:v>5.6100423396407466E-2</c:v>
                </c:pt>
                <c:pt idx="6">
                  <c:v>0.32553054901823281</c:v>
                </c:pt>
                <c:pt idx="7">
                  <c:v>0.2614422246578868</c:v>
                </c:pt>
                <c:pt idx="8">
                  <c:v>-0.5468481522075892</c:v>
                </c:pt>
                <c:pt idx="9">
                  <c:v>-0.17810889132455321</c:v>
                </c:pt>
              </c:numCache>
            </c:numRef>
          </c:yVal>
          <c:smooth val="0"/>
          <c:extLst xmlns:c16r2="http://schemas.microsoft.com/office/drawing/2015/06/chart">
            <c:ext xmlns:c16="http://schemas.microsoft.com/office/drawing/2014/chart" uri="{C3380CC4-5D6E-409C-BE32-E72D297353CC}">
              <c16:uniqueId val="{0000005E-DA0F-4C54-BAFE-64AAAFE72721}"/>
            </c:ext>
          </c:extLst>
        </c:ser>
        <c:dLbls>
          <c:showLegendKey val="0"/>
          <c:showVal val="0"/>
          <c:showCatName val="0"/>
          <c:showSerName val="0"/>
          <c:showPercent val="0"/>
          <c:showBubbleSize val="0"/>
        </c:dLbls>
        <c:axId val="88399616"/>
        <c:axId val="87449568"/>
      </c:scatterChart>
      <c:valAx>
        <c:axId val="88399616"/>
        <c:scaling>
          <c:orientation val="minMax"/>
          <c:max val="1.1000000000000001"/>
          <c:min val="-1.1000000000000001"/>
        </c:scaling>
        <c:delete val="1"/>
        <c:axPos val="b"/>
        <c:numFmt formatCode="General" sourceLinked="1"/>
        <c:majorTickMark val="out"/>
        <c:minorTickMark val="none"/>
        <c:tickLblPos val="nextTo"/>
        <c:crossAx val="87449568"/>
        <c:crosses val="autoZero"/>
        <c:crossBetween val="midCat"/>
      </c:valAx>
      <c:valAx>
        <c:axId val="87449568"/>
        <c:scaling>
          <c:orientation val="minMax"/>
          <c:max val="1.1000000000000001"/>
          <c:min val="-1.1000000000000001"/>
        </c:scaling>
        <c:delete val="1"/>
        <c:axPos val="l"/>
        <c:numFmt formatCode="General" sourceLinked="1"/>
        <c:majorTickMark val="out"/>
        <c:minorTickMark val="none"/>
        <c:tickLblPos val="nextTo"/>
        <c:crossAx val="88399616"/>
        <c:crosses val="autoZero"/>
        <c:crossBetween val="midCat"/>
      </c:valAx>
      <c:spPr>
        <a:noFill/>
        <a:ln w="25400">
          <a:noFill/>
        </a:ln>
      </c:spPr>
    </c:plotArea>
    <c:plotVisOnly val="1"/>
    <c:dispBlanksAs val="gap"/>
    <c:showDLblsOverMax val="0"/>
  </c:chart>
  <c:spPr>
    <a:solidFill>
      <a:srgbClr val="FFFFFF"/>
    </a:solidFill>
    <a:ln w="3175">
      <a:solidFill>
        <a:srgbClr val="C0C0C0"/>
      </a:solidFill>
      <a:prstDash val="solid"/>
    </a:ln>
  </c:spPr>
  <c:txPr>
    <a:bodyPr/>
    <a:lstStyle/>
    <a:p>
      <a:pPr>
        <a:defRPr sz="800" b="0" i="0" u="none" strike="noStrike" baseline="0">
          <a:solidFill>
            <a:srgbClr val="000000"/>
          </a:solidFill>
          <a:latin typeface="Verdana"/>
          <a:ea typeface="Verdana"/>
          <a:cs typeface="Verdana"/>
        </a:defRPr>
      </a:pPr>
      <a:endParaRPr lang="en-US"/>
    </a:p>
  </c:txPr>
  <c:printSettings>
    <c:headerFooter/>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autoTitleDeleted val="1"/>
    <c:plotArea>
      <c:layout/>
      <c:scatterChart>
        <c:scatterStyle val="lineMarker"/>
        <c:varyColors val="0"/>
        <c:ser>
          <c:idx val="1"/>
          <c:order val="0"/>
          <c:tx>
            <c:strRef>
              <c:f>'Regret Table Petrotrin'!$B$3</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Petrotrin'!$C$3</c:f>
              <c:numCache>
                <c:formatCode>#,##0.00</c:formatCode>
                <c:ptCount val="1"/>
                <c:pt idx="0">
                  <c:v>0</c:v>
                </c:pt>
              </c:numCache>
            </c:numRef>
          </c:xVal>
          <c:yVal>
            <c:numRef>
              <c:f>'Regret Table Petrotrin'!$D$3</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0-00EF-42E5-9E95-9F0ABB562243}"/>
            </c:ext>
          </c:extLst>
        </c:ser>
        <c:ser>
          <c:idx val="2"/>
          <c:order val="1"/>
          <c:tx>
            <c:strRef>
              <c:f>'Regret Table Petrotrin'!$B$4</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Petrotrin'!$C$4</c:f>
              <c:numCache>
                <c:formatCode>#,##0.00</c:formatCode>
                <c:ptCount val="1"/>
                <c:pt idx="0">
                  <c:v>0</c:v>
                </c:pt>
              </c:numCache>
            </c:numRef>
          </c:xVal>
          <c:yVal>
            <c:numRef>
              <c:f>'Regret Table Petrotrin'!$D$4</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1-00EF-42E5-9E95-9F0ABB562243}"/>
            </c:ext>
          </c:extLst>
        </c:ser>
        <c:ser>
          <c:idx val="3"/>
          <c:order val="2"/>
          <c:tx>
            <c:strRef>
              <c:f>'Regret Table Petrotrin'!$B$5</c:f>
              <c:strCache>
                <c:ptCount val="1"/>
                <c:pt idx="0">
                  <c:v>#REF!</c:v>
                </c:pt>
              </c:strCache>
            </c:strRef>
          </c:tx>
          <c:dLbls>
            <c:dLbl>
              <c:idx val="0"/>
              <c:dLblPos val="b"/>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2-00EF-42E5-9E95-9F0ABB562243}"/>
                </c:ext>
                <c:ext xmlns:c15="http://schemas.microsoft.com/office/drawing/2012/chart" uri="{CE6537A1-D6FC-4f65-9D91-7224C49458BB}"/>
              </c:extLst>
            </c:dLbl>
            <c:spPr>
              <a:noFill/>
              <a:ln>
                <a:noFill/>
              </a:ln>
              <a:effectLst/>
            </c:spPr>
            <c:dLblPos val="b"/>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Petrotrin'!$C$5</c:f>
              <c:numCache>
                <c:formatCode>#,##0.00</c:formatCode>
                <c:ptCount val="1"/>
                <c:pt idx="0">
                  <c:v>0</c:v>
                </c:pt>
              </c:numCache>
            </c:numRef>
          </c:xVal>
          <c:yVal>
            <c:numRef>
              <c:f>'Regret Table Petrotrin'!$D$5</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3-00EF-42E5-9E95-9F0ABB562243}"/>
            </c:ext>
          </c:extLst>
        </c:ser>
        <c:ser>
          <c:idx val="4"/>
          <c:order val="3"/>
          <c:tx>
            <c:strRef>
              <c:f>'Regret Table Petrotrin'!$B$6</c:f>
              <c:strCache>
                <c:ptCount val="1"/>
                <c:pt idx="0">
                  <c:v>#REF!</c:v>
                </c:pt>
              </c:strCache>
            </c:strRef>
          </c:tx>
          <c:dLbls>
            <c:dLbl>
              <c:idx val="0"/>
              <c:dLblPos val="b"/>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4-00EF-42E5-9E95-9F0ABB562243}"/>
                </c:ext>
                <c:ext xmlns:c15="http://schemas.microsoft.com/office/drawing/2012/chart" uri="{CE6537A1-D6FC-4f65-9D91-7224C49458BB}"/>
              </c:extLst>
            </c:dLbl>
            <c:spPr>
              <a:noFill/>
              <a:ln>
                <a:noFill/>
              </a:ln>
              <a:effectLst/>
            </c:spPr>
            <c:dLblPos val="b"/>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Petrotrin'!$C$6</c:f>
              <c:numCache>
                <c:formatCode>#,##0.00</c:formatCode>
                <c:ptCount val="1"/>
                <c:pt idx="0">
                  <c:v>0</c:v>
                </c:pt>
              </c:numCache>
            </c:numRef>
          </c:xVal>
          <c:yVal>
            <c:numRef>
              <c:f>'Regret Table Petrotrin'!$D$6</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5-00EF-42E5-9E95-9F0ABB562243}"/>
            </c:ext>
          </c:extLst>
        </c:ser>
        <c:ser>
          <c:idx val="5"/>
          <c:order val="4"/>
          <c:tx>
            <c:strRef>
              <c:f>'Regret Table Petrotrin'!$B$7</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Petrotrin'!$C$7</c:f>
              <c:numCache>
                <c:formatCode>#,##0.00</c:formatCode>
                <c:ptCount val="1"/>
                <c:pt idx="0">
                  <c:v>0</c:v>
                </c:pt>
              </c:numCache>
            </c:numRef>
          </c:xVal>
          <c:yVal>
            <c:numRef>
              <c:f>'Regret Table Petrotrin'!$D$7</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6-00EF-42E5-9E95-9F0ABB562243}"/>
            </c:ext>
          </c:extLst>
        </c:ser>
        <c:ser>
          <c:idx val="7"/>
          <c:order val="5"/>
          <c:tx>
            <c:strRef>
              <c:f>'Regret Table Petrotrin'!$B$8</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Petrotrin'!$C$8</c:f>
              <c:numCache>
                <c:formatCode>#,##0.00</c:formatCode>
                <c:ptCount val="1"/>
                <c:pt idx="0">
                  <c:v>0</c:v>
                </c:pt>
              </c:numCache>
            </c:numRef>
          </c:xVal>
          <c:yVal>
            <c:numRef>
              <c:f>'Regret Table Petrotrin'!$D$8</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7-00EF-42E5-9E95-9F0ABB562243}"/>
            </c:ext>
          </c:extLst>
        </c:ser>
        <c:ser>
          <c:idx val="8"/>
          <c:order val="6"/>
          <c:tx>
            <c:strRef>
              <c:f>'Regret Table Petrotrin'!$B$9</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Petrotrin'!$C$9</c:f>
              <c:numCache>
                <c:formatCode>#,##0.00</c:formatCode>
                <c:ptCount val="1"/>
                <c:pt idx="0">
                  <c:v>0</c:v>
                </c:pt>
              </c:numCache>
            </c:numRef>
          </c:xVal>
          <c:yVal>
            <c:numRef>
              <c:f>'Regret Table Petrotrin'!$D$9</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8-00EF-42E5-9E95-9F0ABB562243}"/>
            </c:ext>
          </c:extLst>
        </c:ser>
        <c:ser>
          <c:idx val="0"/>
          <c:order val="7"/>
          <c:tx>
            <c:strRef>
              <c:f>'Regret Table Petrotrin'!$B$10</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Petrotrin'!$C$10</c:f>
              <c:numCache>
                <c:formatCode>#,##0.00</c:formatCode>
                <c:ptCount val="1"/>
                <c:pt idx="0">
                  <c:v>0</c:v>
                </c:pt>
              </c:numCache>
            </c:numRef>
          </c:xVal>
          <c:yVal>
            <c:numRef>
              <c:f>'Regret Table Petrotrin'!$D$10</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9-00EF-42E5-9E95-9F0ABB562243}"/>
            </c:ext>
          </c:extLst>
        </c:ser>
        <c:ser>
          <c:idx val="6"/>
          <c:order val="8"/>
          <c:tx>
            <c:strRef>
              <c:f>'Regret Table Petrotrin'!$B$11</c:f>
              <c:strCache>
                <c:ptCount val="1"/>
                <c:pt idx="0">
                  <c:v>#REF!</c:v>
                </c:pt>
              </c:strCache>
            </c:strRef>
          </c:tx>
          <c:dLbls>
            <c:dLbl>
              <c:idx val="0"/>
              <c:layout>
                <c:manualLayout>
                  <c:x val="3.02940888122499E-3"/>
                  <c:y val="-4.4702470447026299E-2"/>
                </c:manualLayout>
              </c:layout>
              <c:dLblPos val="b"/>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A-00EF-42E5-9E95-9F0ABB562243}"/>
                </c:ext>
                <c:ext xmlns:c15="http://schemas.microsoft.com/office/drawing/2012/chart" uri="{CE6537A1-D6FC-4f65-9D91-7224C49458BB}"/>
              </c:extLst>
            </c:dLbl>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Petrotrin'!$C$11</c:f>
              <c:numCache>
                <c:formatCode>#,##0.00</c:formatCode>
                <c:ptCount val="1"/>
                <c:pt idx="0">
                  <c:v>0</c:v>
                </c:pt>
              </c:numCache>
            </c:numRef>
          </c:xVal>
          <c:yVal>
            <c:numRef>
              <c:f>'Regret Table Petrotrin'!$D$11</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B-00EF-42E5-9E95-9F0ABB562243}"/>
            </c:ext>
          </c:extLst>
        </c:ser>
        <c:ser>
          <c:idx val="9"/>
          <c:order val="9"/>
          <c:tx>
            <c:strRef>
              <c:f>'Regret Table Petrotrin'!$B$12</c:f>
              <c:strCache>
                <c:ptCount val="1"/>
                <c:pt idx="0">
                  <c:v>#REF!</c:v>
                </c:pt>
              </c:strCache>
            </c:strRef>
          </c:tx>
          <c:dLbls>
            <c:spPr>
              <a:noFill/>
              <a:ln>
                <a:noFill/>
              </a:ln>
              <a:effectLst/>
            </c:sp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'Regret Table Petrotrin'!$C$12</c:f>
              <c:numCache>
                <c:formatCode>#,##0.00</c:formatCode>
                <c:ptCount val="1"/>
                <c:pt idx="0">
                  <c:v>0</c:v>
                </c:pt>
              </c:numCache>
            </c:numRef>
          </c:xVal>
          <c:yVal>
            <c:numRef>
              <c:f>'Regret Table Petrotrin'!$D$12</c:f>
              <c:numCache>
                <c:formatCode>#,##0.00</c:formatCode>
                <c:ptCount val="1"/>
                <c:pt idx="0">
                  <c:v>0</c:v>
                </c:pt>
              </c:numCache>
            </c:numRef>
          </c:yVal>
          <c:smooth val="0"/>
          <c:extLst xmlns:c16r2="http://schemas.microsoft.com/office/drawing/2015/06/chart">
            <c:ext xmlns:c16="http://schemas.microsoft.com/office/drawing/2014/chart" uri="{C3380CC4-5D6E-409C-BE32-E72D297353CC}">
              <c16:uniqueId val="{0000000C-00EF-42E5-9E95-9F0ABB562243}"/>
            </c:ext>
          </c:extLst>
        </c:ser>
        <c:ser>
          <c:idx val="11"/>
          <c:order val="10"/>
          <c:spPr>
            <a:ln w="28575">
              <a:solidFill>
                <a:schemeClr val="bg1">
                  <a:lumMod val="65000"/>
                </a:schemeClr>
              </a:solidFill>
            </a:ln>
          </c:spPr>
          <c:marker>
            <c:symbol val="none"/>
          </c:marker>
          <c:dLbls>
            <c:delete val="1"/>
          </c:dLbls>
          <c:xVal>
            <c:numRef>
              <c:f>'Regret Table Petrotrin'!$B$36:$B$37</c:f>
              <c:numCache>
                <c:formatCode>General</c:formatCode>
                <c:ptCount val="2"/>
                <c:pt idx="0">
                  <c:v>0</c:v>
                </c:pt>
                <c:pt idx="1">
                  <c:v>100000000</c:v>
                </c:pt>
              </c:numCache>
            </c:numRef>
          </c:xVal>
          <c:yVal>
            <c:numRef>
              <c:f>'Regret Table Petrotrin'!$C$36:$C$37</c:f>
              <c:numCache>
                <c:formatCode>#,##0</c:formatCode>
                <c:ptCount val="2"/>
                <c:pt idx="0">
                  <c:v>0</c:v>
                </c:pt>
                <c:pt idx="1">
                  <c:v>0</c:v>
                </c:pt>
              </c:numCache>
            </c:numRef>
          </c:yVal>
          <c:smooth val="0"/>
          <c:extLst xmlns:c16r2="http://schemas.microsoft.com/office/drawing/2015/06/chart">
            <c:ext xmlns:c16="http://schemas.microsoft.com/office/drawing/2014/chart" uri="{C3380CC4-5D6E-409C-BE32-E72D297353CC}">
              <c16:uniqueId val="{0000000D-00EF-42E5-9E95-9F0ABB562243}"/>
            </c:ext>
          </c:extLst>
        </c:ser>
        <c:dLbls>
          <c:showLegendKey val="0"/>
          <c:showVal val="1"/>
          <c:showCatName val="0"/>
          <c:showSerName val="0"/>
          <c:showPercent val="0"/>
          <c:showBubbleSize val="0"/>
        </c:dLbls>
        <c:axId val="477107936"/>
        <c:axId val="477102496"/>
      </c:scatterChart>
      <c:valAx>
        <c:axId val="477107936"/>
        <c:scaling>
          <c:logBase val="10"/>
          <c:orientation val="minMax"/>
          <c:max val="100000000"/>
        </c:scaling>
        <c:delete val="0"/>
        <c:axPos val="b"/>
        <c:title>
          <c:tx>
            <c:rich>
              <a:bodyPr/>
              <a:lstStyle/>
              <a:p>
                <a:pPr>
                  <a:defRPr lang="es-ES"/>
                </a:pPr>
                <a:r>
                  <a:rPr lang="en-US"/>
                  <a:t>Total Costs (Discounted)</a:t>
                </a:r>
              </a:p>
            </c:rich>
          </c:tx>
          <c:layout>
            <c:manualLayout>
              <c:xMode val="edge"/>
              <c:yMode val="edge"/>
              <c:x val="0.85306834195363201"/>
              <c:y val="0.962027824180827"/>
            </c:manualLayout>
          </c:layout>
          <c:overlay val="0"/>
        </c:title>
        <c:numFmt formatCode="#,##0" sourceLinked="0"/>
        <c:majorTickMark val="out"/>
        <c:minorTickMark val="none"/>
        <c:tickLblPos val="nextTo"/>
        <c:txPr>
          <a:bodyPr/>
          <a:lstStyle/>
          <a:p>
            <a:pPr>
              <a:defRPr lang="es-ES"/>
            </a:pPr>
            <a:endParaRPr lang="en-US"/>
          </a:p>
        </c:txPr>
        <c:crossAx val="477102496"/>
        <c:crosses val="autoZero"/>
        <c:crossBetween val="midCat"/>
      </c:valAx>
      <c:valAx>
        <c:axId val="477102496"/>
        <c:scaling>
          <c:logBase val="10"/>
          <c:orientation val="minMax"/>
          <c:max val="100000000"/>
        </c:scaling>
        <c:delete val="0"/>
        <c:axPos val="l"/>
        <c:title>
          <c:tx>
            <c:rich>
              <a:bodyPr rot="0" vert="horz"/>
              <a:lstStyle/>
              <a:p>
                <a:pPr>
                  <a:defRPr lang="es-ES"/>
                </a:pPr>
                <a:r>
                  <a:rPr lang="en-US"/>
                  <a:t>Total Benefits</a:t>
                </a:r>
              </a:p>
              <a:p>
                <a:pPr>
                  <a:defRPr lang="es-ES"/>
                </a:pPr>
                <a:r>
                  <a:rPr lang="en-US"/>
                  <a:t>(Discounted)</a:t>
                </a:r>
              </a:p>
            </c:rich>
          </c:tx>
          <c:layout>
            <c:manualLayout>
              <c:xMode val="edge"/>
              <c:yMode val="edge"/>
              <c:x val="1.1165391092E-2"/>
              <c:y val="1.7355950312505201E-2"/>
            </c:manualLayout>
          </c:layout>
          <c:overlay val="0"/>
        </c:title>
        <c:numFmt formatCode="#,##0" sourceLinked="0"/>
        <c:majorTickMark val="none"/>
        <c:minorTickMark val="none"/>
        <c:tickLblPos val="nextTo"/>
        <c:txPr>
          <a:bodyPr/>
          <a:lstStyle/>
          <a:p>
            <a:pPr>
              <a:defRPr lang="es-ES"/>
            </a:pPr>
            <a:endParaRPr lang="en-US"/>
          </a:p>
        </c:txPr>
        <c:crossAx val="477107936"/>
        <c:crosses val="autoZero"/>
        <c:crossBetween val="midCat"/>
      </c:valAx>
      <c:spPr>
        <a:ln>
          <a:solidFill>
            <a:schemeClr val="tx1">
              <a:lumMod val="50000"/>
              <a:lumOff val="50000"/>
            </a:schemeClr>
          </a:solidFill>
          <a:prstDash val="sysDash"/>
        </a:ln>
      </c:spPr>
    </c:plotArea>
    <c:plotVisOnly val="1"/>
    <c:dispBlanksAs val="gap"/>
    <c:showDLblsOverMax val="0"/>
  </c:chart>
  <c:spPr>
    <a:ln>
      <a:noFill/>
    </a:ln>
  </c:spPr>
  <c:txPr>
    <a:bodyPr/>
    <a:lstStyle/>
    <a:p>
      <a:pPr>
        <a:defRPr>
          <a:latin typeface="Century Gothic" pitchFamily="34" charset="0"/>
        </a:defRPr>
      </a:pPr>
      <a:endParaRPr lang="en-US"/>
    </a:p>
  </c:txPr>
  <c:printSettings>
    <c:headerFooter/>
    <c:pageMargins b="0.75000000000000899" l="0.70000000000000095" r="0.70000000000000095" t="0.75000000000000899"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82176</xdr:colOff>
      <xdr:row>14</xdr:row>
      <xdr:rowOff>67234</xdr:rowOff>
    </xdr:from>
    <xdr:to>
      <xdr:col>1</xdr:col>
      <xdr:colOff>1402976</xdr:colOff>
      <xdr:row>14</xdr:row>
      <xdr:rowOff>482600</xdr:rowOff>
    </xdr:to>
    <xdr:pic>
      <xdr:nvPicPr>
        <xdr:cNvPr id="5" name="Picture 4"/>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5588" y="4482352"/>
          <a:ext cx="1320800" cy="4153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586346</xdr:colOff>
      <xdr:row>0</xdr:row>
      <xdr:rowOff>155862</xdr:rowOff>
    </xdr:from>
    <xdr:to>
      <xdr:col>16</xdr:col>
      <xdr:colOff>32164</xdr:colOff>
      <xdr:row>43</xdr:row>
      <xdr:rowOff>2472</xdr:rowOff>
    </xdr:to>
    <xdr:grpSp>
      <xdr:nvGrpSpPr>
        <xdr:cNvPr id="6" name="5 Grupo">
          <a:extLst>
            <a:ext uri="{FF2B5EF4-FFF2-40B4-BE49-F238E27FC236}">
              <a16:creationId xmlns:a16="http://schemas.microsoft.com/office/drawing/2014/main" xmlns="" id="{00000000-0008-0000-1200-000006000000}"/>
            </a:ext>
          </a:extLst>
        </xdr:cNvPr>
        <xdr:cNvGrpSpPr/>
      </xdr:nvGrpSpPr>
      <xdr:grpSpPr>
        <a:xfrm>
          <a:off x="5376060" y="155862"/>
          <a:ext cx="12563104" cy="7670717"/>
          <a:chOff x="10614810" y="-1857994"/>
          <a:chExt cx="12576711" cy="7707828"/>
        </a:xfrm>
      </xdr:grpSpPr>
      <xdr:graphicFrame macro="">
        <xdr:nvGraphicFramePr>
          <xdr:cNvPr id="2" name="1 Gráfico">
            <a:extLst>
              <a:ext uri="{FF2B5EF4-FFF2-40B4-BE49-F238E27FC236}">
                <a16:creationId xmlns:a16="http://schemas.microsoft.com/office/drawing/2014/main" xmlns="" id="{00000000-0008-0000-1200-000002000000}"/>
              </a:ext>
            </a:extLst>
          </xdr:cNvPr>
          <xdr:cNvGraphicFramePr/>
        </xdr:nvGraphicFramePr>
        <xdr:xfrm>
          <a:off x="10614810" y="-1857994"/>
          <a:ext cx="12576711" cy="77078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1 CuadroTexto">
            <a:extLst>
              <a:ext uri="{FF2B5EF4-FFF2-40B4-BE49-F238E27FC236}">
                <a16:creationId xmlns:a16="http://schemas.microsoft.com/office/drawing/2014/main" xmlns="" id="{00000000-0008-0000-1200-000003000000}"/>
              </a:ext>
            </a:extLst>
          </xdr:cNvPr>
          <xdr:cNvSpPr txBox="1"/>
        </xdr:nvSpPr>
        <xdr:spPr>
          <a:xfrm>
            <a:off x="21213226" y="-980421"/>
            <a:ext cx="1755322" cy="955222"/>
          </a:xfrm>
          <a:prstGeom prst="rect">
            <a:avLst/>
          </a:prstGeom>
          <a:no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600" b="1">
                <a:solidFill>
                  <a:schemeClr val="bg1">
                    <a:lumMod val="50000"/>
                  </a:schemeClr>
                </a:solidFill>
                <a:latin typeface="Century Gothic" pitchFamily="34" charset="0"/>
              </a:rPr>
              <a:t>Low </a:t>
            </a:r>
            <a:r>
              <a:rPr lang="en-US" sz="1600" b="1" baseline="0">
                <a:solidFill>
                  <a:schemeClr val="bg1">
                    <a:lumMod val="50000"/>
                  </a:schemeClr>
                </a:solidFill>
                <a:latin typeface="Century Gothic" pitchFamily="34" charset="0"/>
              </a:rPr>
              <a:t>Regret</a:t>
            </a:r>
            <a:endParaRPr lang="en-US" sz="1600" b="1">
              <a:solidFill>
                <a:schemeClr val="bg1">
                  <a:lumMod val="50000"/>
                </a:schemeClr>
              </a:solidFill>
              <a:latin typeface="Century Gothic" pitchFamily="34" charset="0"/>
            </a:endParaRPr>
          </a:p>
        </xdr:txBody>
      </xdr:sp>
      <xdr:sp macro="" textlink="">
        <xdr:nvSpPr>
          <xdr:cNvPr id="4" name="1 CuadroTexto">
            <a:extLst>
              <a:ext uri="{FF2B5EF4-FFF2-40B4-BE49-F238E27FC236}">
                <a16:creationId xmlns:a16="http://schemas.microsoft.com/office/drawing/2014/main" xmlns="" id="{00000000-0008-0000-1200-000004000000}"/>
              </a:ext>
            </a:extLst>
          </xdr:cNvPr>
          <xdr:cNvSpPr txBox="1"/>
        </xdr:nvSpPr>
        <xdr:spPr>
          <a:xfrm>
            <a:off x="19402780" y="1581827"/>
            <a:ext cx="2343150" cy="955221"/>
          </a:xfrm>
          <a:prstGeom prst="rect">
            <a:avLst/>
          </a:prstGeom>
          <a:noFill/>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600" b="1">
                <a:solidFill>
                  <a:schemeClr val="bg1">
                    <a:lumMod val="50000"/>
                  </a:schemeClr>
                </a:solidFill>
                <a:latin typeface="Century Gothic" pitchFamily="34" charset="0"/>
              </a:rPr>
              <a:t>Potential High </a:t>
            </a:r>
            <a:r>
              <a:rPr lang="en-US" sz="1600" b="1" baseline="0">
                <a:solidFill>
                  <a:schemeClr val="bg1">
                    <a:lumMod val="50000"/>
                  </a:schemeClr>
                </a:solidFill>
                <a:latin typeface="Century Gothic" pitchFamily="34" charset="0"/>
              </a:rPr>
              <a:t>Regret</a:t>
            </a:r>
            <a:endParaRPr lang="en-US" sz="1600" b="1">
              <a:solidFill>
                <a:schemeClr val="bg1">
                  <a:lumMod val="50000"/>
                </a:schemeClr>
              </a:solidFill>
              <a:latin typeface="Century Gothic" pitchFamily="34" charset="0"/>
            </a:endParaRPr>
          </a:p>
        </xdr:txBody>
      </xdr:sp>
    </xdr:grpSp>
    <xdr:clientData/>
  </xdr:twoCellAnchor>
</xdr:wsDr>
</file>

<file path=xl/drawings/drawing11.xml><?xml version="1.0" encoding="utf-8"?>
<c:userShapes xmlns:c="http://schemas.openxmlformats.org/drawingml/2006/chart">
  <cdr:relSizeAnchor xmlns:cdr="http://schemas.openxmlformats.org/drawingml/2006/chartDrawing">
    <cdr:from>
      <cdr:x>0.18863</cdr:x>
      <cdr:y>0.08586</cdr:y>
    </cdr:from>
    <cdr:to>
      <cdr:x>0.44603</cdr:x>
      <cdr:y>0.20701</cdr:y>
    </cdr:to>
    <cdr:sp macro="" textlink="">
      <cdr:nvSpPr>
        <cdr:cNvPr id="2" name="1 CuadroTexto"/>
        <cdr:cNvSpPr txBox="1"/>
      </cdr:nvSpPr>
      <cdr:spPr>
        <a:xfrm xmlns:a="http://schemas.openxmlformats.org/drawingml/2006/main">
          <a:off x="2372394" y="658592"/>
          <a:ext cx="3237246" cy="929307"/>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600" b="1">
              <a:solidFill>
                <a:sysClr val="window" lastClr="FFFFFF">
                  <a:lumMod val="50000"/>
                </a:sysClr>
              </a:solidFill>
              <a:latin typeface="Century Gothic" pitchFamily="34" charset="0"/>
            </a:rPr>
            <a:t>High Impact and "No</a:t>
          </a:r>
          <a:r>
            <a:rPr lang="en-US" sz="1600" b="1" baseline="0">
              <a:solidFill>
                <a:sysClr val="window" lastClr="FFFFFF">
                  <a:lumMod val="50000"/>
                </a:sysClr>
              </a:solidFill>
              <a:latin typeface="Century Gothic" pitchFamily="34" charset="0"/>
            </a:rPr>
            <a:t> Regret"</a:t>
          </a:r>
          <a:endParaRPr lang="en-US" sz="1600" b="1">
            <a:solidFill>
              <a:sysClr val="window" lastClr="FFFFFF">
                <a:lumMod val="50000"/>
              </a:sysClr>
            </a:solidFill>
            <a:latin typeface="Century Gothic" pitchFamily="34" charset="0"/>
          </a:endParaRPr>
        </a:p>
      </cdr:txBody>
    </cdr:sp>
  </cdr:relSizeAnchor>
  <cdr:relSizeAnchor xmlns:cdr="http://schemas.openxmlformats.org/drawingml/2006/chartDrawing">
    <cdr:from>
      <cdr:x>0.18958</cdr:x>
      <cdr:y>0.44529</cdr:y>
    </cdr:from>
    <cdr:to>
      <cdr:x>0.44698</cdr:x>
      <cdr:y>0.56643</cdr:y>
    </cdr:to>
    <cdr:sp macro="" textlink="">
      <cdr:nvSpPr>
        <cdr:cNvPr id="3" name="1 CuadroTexto"/>
        <cdr:cNvSpPr txBox="1"/>
      </cdr:nvSpPr>
      <cdr:spPr>
        <a:xfrm xmlns:a="http://schemas.openxmlformats.org/drawingml/2006/main">
          <a:off x="2373802" y="3371053"/>
          <a:ext cx="3222917" cy="917093"/>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solidFill>
                <a:sysClr val="window" lastClr="FFFFFF">
                  <a:lumMod val="50000"/>
                </a:sysClr>
              </a:solidFill>
              <a:latin typeface="Century Gothic" pitchFamily="34" charset="0"/>
            </a:rPr>
            <a:t>Low Impact and "No</a:t>
          </a:r>
          <a:r>
            <a:rPr lang="en-US" sz="1600" b="1" baseline="0">
              <a:solidFill>
                <a:sysClr val="window" lastClr="FFFFFF">
                  <a:lumMod val="50000"/>
                </a:sysClr>
              </a:solidFill>
              <a:latin typeface="Century Gothic" pitchFamily="34" charset="0"/>
            </a:rPr>
            <a:t> Regret"</a:t>
          </a:r>
          <a:endParaRPr lang="en-US" sz="1600" b="1">
            <a:solidFill>
              <a:sysClr val="window" lastClr="FFFFFF">
                <a:lumMod val="50000"/>
              </a:sysClr>
            </a:solidFill>
            <a:latin typeface="Century Gothic" pitchFamily="34" charset="0"/>
          </a:endParaRPr>
        </a:p>
      </cdr:txBody>
    </cdr:sp>
  </cdr:relSizeAnchor>
  <cdr:relSizeAnchor xmlns:cdr="http://schemas.openxmlformats.org/drawingml/2006/chartDrawing">
    <cdr:from>
      <cdr:x>0.15137</cdr:x>
      <cdr:y>0.01693</cdr:y>
    </cdr:from>
    <cdr:to>
      <cdr:x>0.96066</cdr:x>
      <cdr:y>0.90921</cdr:y>
    </cdr:to>
    <cdr:sp macro="" textlink="">
      <cdr:nvSpPr>
        <cdr:cNvPr id="7" name="6 Conector recto"/>
        <cdr:cNvSpPr/>
      </cdr:nvSpPr>
      <cdr:spPr>
        <a:xfrm xmlns:a="http://schemas.openxmlformats.org/drawingml/2006/main" flipV="1">
          <a:off x="1903763" y="129887"/>
          <a:ext cx="10178142" cy="6844392"/>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0.05616</cdr:x>
      <cdr:y>0.15087</cdr:y>
    </cdr:from>
    <cdr:to>
      <cdr:x>0.15267</cdr:x>
      <cdr:y>0.2695</cdr:y>
    </cdr:to>
    <cdr:sp macro="" textlink="">
      <cdr:nvSpPr>
        <cdr:cNvPr id="6" name="5 CuadroTexto"/>
        <cdr:cNvSpPr txBox="1"/>
      </cdr:nvSpPr>
      <cdr:spPr>
        <a:xfrm xmlns:a="http://schemas.openxmlformats.org/drawingml/2006/main">
          <a:off x="706319" y="1157308"/>
          <a:ext cx="1213779" cy="909977"/>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pPr algn="r"/>
          <a:r>
            <a:rPr lang="en-US" sz="1100">
              <a:solidFill>
                <a:schemeClr val="tx1">
                  <a:lumMod val="50000"/>
                  <a:lumOff val="50000"/>
                </a:schemeClr>
              </a:solidFill>
            </a:rPr>
            <a:t>Average Total</a:t>
          </a:r>
          <a:r>
            <a:rPr lang="en-US" sz="1100" baseline="0">
              <a:solidFill>
                <a:schemeClr val="tx1">
                  <a:lumMod val="50000"/>
                  <a:lumOff val="50000"/>
                </a:schemeClr>
              </a:solidFill>
            </a:rPr>
            <a:t> Benefit</a:t>
          </a:r>
        </a:p>
      </cdr:txBody>
    </cdr:sp>
  </cdr:relSizeAnchor>
</c:userShapes>
</file>

<file path=xl/drawings/drawing2.xml><?xml version="1.0" encoding="utf-8"?>
<xdr:wsDr xmlns:xdr="http://schemas.openxmlformats.org/drawingml/2006/spreadsheetDrawing" xmlns:a="http://schemas.openxmlformats.org/drawingml/2006/main">
  <xdr:twoCellAnchor>
    <xdr:from>
      <xdr:col>2</xdr:col>
      <xdr:colOff>701675</xdr:colOff>
      <xdr:row>14</xdr:row>
      <xdr:rowOff>73025</xdr:rowOff>
    </xdr:from>
    <xdr:to>
      <xdr:col>2</xdr:col>
      <xdr:colOff>5273675</xdr:colOff>
      <xdr:row>29</xdr:row>
      <xdr:rowOff>41275</xdr:rowOff>
    </xdr:to>
    <xdr:graphicFrame macro="">
      <xdr:nvGraphicFramePr>
        <xdr:cNvPr id="2" name="Gráfico 1">
          <a:extLst>
            <a:ext uri="{FF2B5EF4-FFF2-40B4-BE49-F238E27FC236}">
              <a16:creationId xmlns:a16="http://schemas.microsoft.com/office/drawing/2014/main" xmlns="" id="{8B81BBAB-C159-425C-A499-D0AC54E0D9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76200</xdr:colOff>
      <xdr:row>1</xdr:row>
      <xdr:rowOff>95250</xdr:rowOff>
    </xdr:from>
    <xdr:to>
      <xdr:col>12</xdr:col>
      <xdr:colOff>1021482</xdr:colOff>
      <xdr:row>3</xdr:row>
      <xdr:rowOff>78965</xdr:rowOff>
    </xdr:to>
    <xdr:pic>
      <xdr:nvPicPr>
        <xdr:cNvPr id="2" name="1 Imagen" descr="logo_ideas_rgb_72.png">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cstate="print"/>
        <a:stretch>
          <a:fillRect/>
        </a:stretch>
      </xdr:blipFill>
      <xdr:spPr>
        <a:xfrm>
          <a:off x="16103600" y="254000"/>
          <a:ext cx="945282" cy="3012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76200</xdr:colOff>
      <xdr:row>1</xdr:row>
      <xdr:rowOff>95250</xdr:rowOff>
    </xdr:from>
    <xdr:to>
      <xdr:col>12</xdr:col>
      <xdr:colOff>1021482</xdr:colOff>
      <xdr:row>3</xdr:row>
      <xdr:rowOff>78965</xdr:rowOff>
    </xdr:to>
    <xdr:pic>
      <xdr:nvPicPr>
        <xdr:cNvPr id="2" name="1 Imagen" descr="logo_ideas_rgb_72.png">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cstate="print"/>
        <a:stretch>
          <a:fillRect/>
        </a:stretch>
      </xdr:blipFill>
      <xdr:spPr>
        <a:xfrm>
          <a:off x="15227300" y="254000"/>
          <a:ext cx="945282" cy="3012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609600</xdr:colOff>
      <xdr:row>1</xdr:row>
      <xdr:rowOff>152400</xdr:rowOff>
    </xdr:from>
    <xdr:to>
      <xdr:col>16</xdr:col>
      <xdr:colOff>419100</xdr:colOff>
      <xdr:row>63</xdr:row>
      <xdr:rowOff>43543</xdr:rowOff>
    </xdr:to>
    <xdr:graphicFrame macro="">
      <xdr:nvGraphicFramePr>
        <xdr:cNvPr id="4" name="Diagramm 23">
          <a:extLst>
            <a:ext uri="{FF2B5EF4-FFF2-40B4-BE49-F238E27FC236}">
              <a16:creationId xmlns:a16="http://schemas.microsoft.com/office/drawing/2014/main" xmlns=""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0.00483</cdr:x>
      <cdr:y>0.00463</cdr:y>
    </cdr:from>
    <cdr:to>
      <cdr:x>0.0338</cdr:x>
      <cdr:y>0.99537</cdr:y>
    </cdr:to>
    <cdr:sp macro="" textlink="">
      <cdr:nvSpPr>
        <cdr:cNvPr id="2049" name="Rectangle 1"/>
        <cdr:cNvSpPr>
          <a:spLocks xmlns:a="http://schemas.openxmlformats.org/drawingml/2006/main" noChangeArrowheads="1"/>
        </cdr:cNvSpPr>
      </cdr:nvSpPr>
      <cdr:spPr bwMode="auto">
        <a:xfrm xmlns:a="http://schemas.openxmlformats.org/drawingml/2006/main">
          <a:off x="50800" y="50800"/>
          <a:ext cx="304610" cy="108712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0.9662</cdr:x>
      <cdr:y>0.00463</cdr:y>
    </cdr:from>
    <cdr:to>
      <cdr:x>0.99517</cdr:x>
      <cdr:y>0.99537</cdr:y>
    </cdr:to>
    <cdr:sp macro="" textlink="">
      <cdr:nvSpPr>
        <cdr:cNvPr id="2050" name="Rectangle 2"/>
        <cdr:cNvSpPr>
          <a:spLocks xmlns:a="http://schemas.openxmlformats.org/drawingml/2006/main" noChangeArrowheads="1"/>
        </cdr:cNvSpPr>
      </cdr:nvSpPr>
      <cdr:spPr bwMode="auto">
        <a:xfrm xmlns:a="http://schemas.openxmlformats.org/drawingml/2006/main">
          <a:off x="10147902" y="51829"/>
          <a:ext cx="304269" cy="1109048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0.01845</cdr:x>
      <cdr:y>0.00463</cdr:y>
    </cdr:from>
    <cdr:to>
      <cdr:x>0.99517</cdr:x>
      <cdr:y>0.03831</cdr:y>
    </cdr:to>
    <cdr:sp macro="" textlink="">
      <cdr:nvSpPr>
        <cdr:cNvPr id="2052" name="Rectangle 4"/>
        <cdr:cNvSpPr>
          <a:spLocks xmlns:a="http://schemas.openxmlformats.org/drawingml/2006/main" noChangeArrowheads="1"/>
        </cdr:cNvSpPr>
      </cdr:nvSpPr>
      <cdr:spPr bwMode="auto">
        <a:xfrm xmlns:a="http://schemas.openxmlformats.org/drawingml/2006/main" rot="-5400000">
          <a:off x="5144586" y="-4899793"/>
          <a:ext cx="369621" cy="102708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0.01449</cdr:x>
      <cdr:y>0.96193</cdr:y>
    </cdr:from>
    <cdr:to>
      <cdr:x>0.99393</cdr:x>
      <cdr:y>0.99537</cdr:y>
    </cdr:to>
    <cdr:sp macro="" textlink="">
      <cdr:nvSpPr>
        <cdr:cNvPr id="2053" name="Rectangle 5"/>
        <cdr:cNvSpPr>
          <a:spLocks xmlns:a="http://schemas.openxmlformats.org/drawingml/2006/main" noChangeArrowheads="1"/>
        </cdr:cNvSpPr>
      </cdr:nvSpPr>
      <cdr:spPr bwMode="auto">
        <a:xfrm xmlns:a="http://schemas.openxmlformats.org/drawingml/2006/main" rot="-5400000">
          <a:off x="5118608" y="5588826"/>
          <a:ext cx="366903" cy="1029944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12</xdr:col>
      <xdr:colOff>561415</xdr:colOff>
      <xdr:row>0</xdr:row>
      <xdr:rowOff>156882</xdr:rowOff>
    </xdr:from>
    <xdr:to>
      <xdr:col>13</xdr:col>
      <xdr:colOff>524501</xdr:colOff>
      <xdr:row>2</xdr:row>
      <xdr:rowOff>143959</xdr:rowOff>
    </xdr:to>
    <xdr:pic>
      <xdr:nvPicPr>
        <xdr:cNvPr id="2" name="1 Imagen" descr="logo_ideas_rgb_72.png">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cstate="print"/>
        <a:stretch>
          <a:fillRect/>
        </a:stretch>
      </xdr:blipFill>
      <xdr:spPr>
        <a:xfrm>
          <a:off x="12899091" y="156882"/>
          <a:ext cx="949204" cy="32325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695325</xdr:colOff>
      <xdr:row>1</xdr:row>
      <xdr:rowOff>19050</xdr:rowOff>
    </xdr:from>
    <xdr:to>
      <xdr:col>9</xdr:col>
      <xdr:colOff>1640607</xdr:colOff>
      <xdr:row>3</xdr:row>
      <xdr:rowOff>2765</xdr:rowOff>
    </xdr:to>
    <xdr:pic>
      <xdr:nvPicPr>
        <xdr:cNvPr id="2" name="1 Imagen" descr="logo_ideas_rgb_72.png">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cstate="print"/>
        <a:stretch>
          <a:fillRect/>
        </a:stretch>
      </xdr:blipFill>
      <xdr:spPr>
        <a:xfrm>
          <a:off x="10582275" y="190500"/>
          <a:ext cx="945282" cy="32661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561415</xdr:colOff>
      <xdr:row>0</xdr:row>
      <xdr:rowOff>156882</xdr:rowOff>
    </xdr:from>
    <xdr:to>
      <xdr:col>13</xdr:col>
      <xdr:colOff>524501</xdr:colOff>
      <xdr:row>2</xdr:row>
      <xdr:rowOff>143959</xdr:rowOff>
    </xdr:to>
    <xdr:pic>
      <xdr:nvPicPr>
        <xdr:cNvPr id="2" name="1 Imagen" descr="logo_ideas_rgb_72.png">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cstate="print"/>
        <a:stretch>
          <a:fillRect/>
        </a:stretch>
      </xdr:blipFill>
      <xdr:spPr>
        <a:xfrm>
          <a:off x="12905815" y="156882"/>
          <a:ext cx="953686" cy="3299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yectos\B155_BID\B155_18_ECA%20BAHAMAS\DocAux\ECA_T&amp;T\remna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GS/AppData/Local/Microsoft/Windows/INetCache/Content.Outlook/VYLHQ42S/CBA_2018092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PROJELER/FACTOR_WB/Analyses/A6_Potential%20circular%20economy%20projects/Scatterplot3D_v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ltiCriteria TTA Sector"/>
      <sheetName val="MultiCriteria TTA Invest"/>
      <sheetName val="MultiCriteria TTA Type"/>
      <sheetName val="MultiCriteria Analysis PF"/>
      <sheetName val="MultiCriteria Analysis TTA"/>
      <sheetName val="Regret Table PF"/>
      <sheetName val="Regret Table TTA LOG"/>
      <sheetName val="Regret Table TTA"/>
      <sheetName val="TTA 11-Calculations (2)"/>
      <sheetName val="TTA 6-Calculations LAST"/>
      <sheetName val="TTA 4-Calculations LAST"/>
      <sheetName val="PF 1-Calculations LAST"/>
      <sheetName val="PF 5-Calculations LAST"/>
      <sheetName val="MEDIDAS ACB"/>
      <sheetName val="PF 5 and PF 1 CBA (2)"/>
      <sheetName val="PF 1-Calculations"/>
      <sheetName val="PF 5-Calculations"/>
      <sheetName val="TTA 4 and 6 - CBA"/>
      <sheetName val="PF 5 and PF 1 CBA"/>
      <sheetName val="Auxiliary"/>
      <sheetName val="TTA 4-Calculations"/>
      <sheetName val="TTA 6-Calculations"/>
      <sheetName val="TTA 4 and 6 - CBA Full "/>
      <sheetName val="Hoja1"/>
      <sheetName val="Overview"/>
      <sheetName val="remnants"/>
    </sheetNames>
    <definedNames>
      <definedName name="rngPlant" refersTo="#REF!" sheetId="13"/>
    </definedNames>
    <sheetDataSet>
      <sheetData sheetId="0">
        <row r="34">
          <cell r="E34">
            <v>13000</v>
          </cell>
        </row>
      </sheetData>
      <sheetData sheetId="1">
        <row r="54">
          <cell r="E54">
            <v>103368.63800000001</v>
          </cell>
        </row>
      </sheetData>
      <sheetData sheetId="2">
        <row r="51">
          <cell r="E51">
            <v>100000</v>
          </cell>
        </row>
      </sheetData>
      <sheetData sheetId="3">
        <row r="44">
          <cell r="E44">
            <v>101949.19650000001</v>
          </cell>
        </row>
      </sheetData>
      <sheetData sheetId="4"/>
      <sheetData sheetId="5"/>
      <sheetData sheetId="6">
        <row r="13">
          <cell r="K13">
            <v>62.5</v>
          </cell>
        </row>
      </sheetData>
      <sheetData sheetId="7"/>
      <sheetData sheetId="8"/>
      <sheetData sheetId="9"/>
      <sheetData sheetId="10">
        <row r="13">
          <cell r="K13">
            <v>62.5</v>
          </cell>
        </row>
      </sheetData>
      <sheetData sheetId="11"/>
      <sheetData sheetId="12"/>
      <sheetData sheetId="13"/>
      <sheetData sheetId="14"/>
      <sheetData sheetId="15"/>
      <sheetData sheetId="16"/>
      <sheetData sheetId="17"/>
      <sheetData sheetId="18"/>
      <sheetData sheetId="19">
        <row r="13">
          <cell r="K13">
            <v>62.5</v>
          </cell>
        </row>
      </sheetData>
      <sheetData sheetId="20"/>
      <sheetData sheetId="21"/>
      <sheetData sheetId="22"/>
      <sheetData sheetId="23"/>
      <sheetData sheetId="24"/>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Auxiliary"/>
      <sheetName val="Prioritisation"/>
      <sheetName val="Prioritisation summary"/>
      <sheetName val="TTA 1-Calculations "/>
      <sheetName val="TTA 2-Calculations  "/>
      <sheetName val="TTA 3-Calculations "/>
      <sheetName val="TTA 4-Calculations  "/>
      <sheetName val="TTA 5 -Calculations "/>
      <sheetName val="TTA 6-Caluculations "/>
      <sheetName val="TTA 7-Caculations "/>
      <sheetName val="TTA 8-Calculations  "/>
      <sheetName val="TTA 9-Caculations "/>
      <sheetName val="PF 1, 2 and 3 CBA"/>
      <sheetName val="PF 6-Calculations"/>
      <sheetName val="PAP 1, 2 and 3 CBA"/>
      <sheetName val="TTA 10-Calculations "/>
      <sheetName val="TTA 11-Calculations"/>
      <sheetName val="Overview"/>
      <sheetName val="Overview by sector"/>
      <sheetName val="Graphic Analysis"/>
      <sheetName val="GDP Analysis (Bahamas)"/>
      <sheetName val="GDP Analysis by Sector"/>
      <sheetName val="GDP Analysis by Sector (San Sal"/>
      <sheetName val="Sensitivity test"/>
      <sheetName val="Regret Table TTA"/>
      <sheetName val="MulCrit IH Total "/>
      <sheetName val="Mult Crit Factor "/>
      <sheetName val="Mult Crit Total "/>
      <sheetName val="Mult Crits Total  Ponderado "/>
      <sheetName val="Mult Crits Total  Ponderado (2)"/>
      <sheetName val="Mult Crits Total  Pond- Comunid"/>
      <sheetName val="Regret Table Petrotr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ot"/>
    </sheetNames>
    <sheetDataSet>
      <sheetData sheetId="0">
        <row r="9">
          <cell r="Y9">
            <v>0.57190159078110814</v>
          </cell>
          <cell r="Z9">
            <v>-0.43773139581104742</v>
          </cell>
          <cell r="AD9">
            <v>-0.56754264805429433</v>
          </cell>
          <cell r="AE9">
            <v>-0.55785238617166222</v>
          </cell>
          <cell r="AI9">
            <v>0.6830127018922193</v>
          </cell>
          <cell r="AJ9">
            <v>-0.32418584287042118</v>
          </cell>
        </row>
        <row r="10">
          <cell r="N10">
            <v>-0.68301270189221952</v>
          </cell>
          <cell r="O10">
            <v>-0.52451905283832889</v>
          </cell>
          <cell r="X10">
            <v>2.5</v>
          </cell>
          <cell r="Y10">
            <v>0.65850413115955198</v>
          </cell>
          <cell r="Z10">
            <v>-0.46273139581104739</v>
          </cell>
          <cell r="AC10">
            <v>2.4</v>
          </cell>
          <cell r="AD10">
            <v>-0.61754264805429437</v>
          </cell>
          <cell r="AE10">
            <v>-0.60115365636088414</v>
          </cell>
          <cell r="AH10">
            <v>2.6999999999999997</v>
          </cell>
          <cell r="AI10">
            <v>0.76961524227066314</v>
          </cell>
          <cell r="AJ10">
            <v>-0.34918584287042115</v>
          </cell>
        </row>
        <row r="11">
          <cell r="N11">
            <v>-0.1830127018922193</v>
          </cell>
          <cell r="O11">
            <v>-9.150635094610976E-2</v>
          </cell>
          <cell r="Y11">
            <v>0.57190159078110814</v>
          </cell>
          <cell r="Z11">
            <v>-0.43773139581104742</v>
          </cell>
          <cell r="AD11">
            <v>-0.56754264805429433</v>
          </cell>
          <cell r="AE11">
            <v>-0.55785238617166222</v>
          </cell>
          <cell r="AI11">
            <v>0.6830127018922193</v>
          </cell>
          <cell r="AJ11">
            <v>-0.32418584287042118</v>
          </cell>
        </row>
        <row r="12">
          <cell r="N12">
            <v>-0.18301270189221919</v>
          </cell>
          <cell r="O12">
            <v>0.774519052838329</v>
          </cell>
          <cell r="Y12">
            <v>0.46079047966999703</v>
          </cell>
          <cell r="Z12">
            <v>-0.53395644067598502</v>
          </cell>
          <cell r="AD12">
            <v>-0.3943375672974066</v>
          </cell>
          <cell r="AE12">
            <v>-0.60785238617166226</v>
          </cell>
          <cell r="AI12">
            <v>0.68301270189221941</v>
          </cell>
          <cell r="AJ12">
            <v>-0.16830127018922211</v>
          </cell>
        </row>
        <row r="13">
          <cell r="N13">
            <v>-0.6830127018922193</v>
          </cell>
          <cell r="O13">
            <v>0.34150635094610982</v>
          </cell>
          <cell r="X13">
            <v>3</v>
          </cell>
          <cell r="Y13">
            <v>0.54739302004844081</v>
          </cell>
          <cell r="Z13">
            <v>-0.55895644067598493</v>
          </cell>
          <cell r="AC13">
            <v>3</v>
          </cell>
          <cell r="AD13">
            <v>-0.44433756729740653</v>
          </cell>
          <cell r="AE13">
            <v>-0.65115365636088418</v>
          </cell>
          <cell r="AH13">
            <v>2.9999999999999996</v>
          </cell>
          <cell r="AI13">
            <v>0.76961524227066325</v>
          </cell>
          <cell r="AJ13">
            <v>-0.19330127018922211</v>
          </cell>
        </row>
        <row r="14">
          <cell r="N14">
            <v>-0.68301270189221952</v>
          </cell>
          <cell r="O14">
            <v>-0.52451905283832889</v>
          </cell>
          <cell r="Y14">
            <v>0.46079047966999703</v>
          </cell>
          <cell r="Z14">
            <v>-0.53395644067598502</v>
          </cell>
          <cell r="AD14">
            <v>-0.3943375672974066</v>
          </cell>
          <cell r="AE14">
            <v>-0.60785238617166226</v>
          </cell>
          <cell r="AI14">
            <v>0.68301270189221941</v>
          </cell>
          <cell r="AJ14">
            <v>-0.16830127018922211</v>
          </cell>
        </row>
        <row r="15">
          <cell r="N15">
            <v>0.18301270189221919</v>
          </cell>
          <cell r="O15">
            <v>-0.774519052838329</v>
          </cell>
          <cell r="Y15">
            <v>0.34967936855888593</v>
          </cell>
          <cell r="Z15">
            <v>-0.63018148554092257</v>
          </cell>
          <cell r="AD15">
            <v>-0.22113248654051887</v>
          </cell>
          <cell r="AE15">
            <v>-0.6578523861716622</v>
          </cell>
          <cell r="AI15">
            <v>0.68301270189221941</v>
          </cell>
          <cell r="AJ15">
            <v>-1.2416697508023183E-2</v>
          </cell>
        </row>
        <row r="16">
          <cell r="N16">
            <v>0.6830127018922193</v>
          </cell>
          <cell r="O16">
            <v>-0.34150635094610982</v>
          </cell>
          <cell r="X16">
            <v>3.5</v>
          </cell>
          <cell r="Y16">
            <v>0.43628190893732977</v>
          </cell>
          <cell r="Z16">
            <v>-0.65518148554092259</v>
          </cell>
          <cell r="AC16">
            <v>3.5999999999999996</v>
          </cell>
          <cell r="AD16">
            <v>-0.27113248654051886</v>
          </cell>
          <cell r="AE16">
            <v>-0.70115365636088411</v>
          </cell>
          <cell r="AH16">
            <v>3.3</v>
          </cell>
          <cell r="AI16">
            <v>0.76961524227066325</v>
          </cell>
          <cell r="AJ16">
            <v>-3.7416697508023178E-2</v>
          </cell>
        </row>
        <row r="17">
          <cell r="N17">
            <v>0.68301270189221952</v>
          </cell>
          <cell r="O17">
            <v>0.52451905283832889</v>
          </cell>
          <cell r="Y17">
            <v>0.34967936855888593</v>
          </cell>
          <cell r="Z17">
            <v>-0.63018148554092257</v>
          </cell>
          <cell r="AD17">
            <v>-0.22113248654051887</v>
          </cell>
          <cell r="AE17">
            <v>-0.6578523861716622</v>
          </cell>
          <cell r="AI17">
            <v>0.68301270189221941</v>
          </cell>
          <cell r="AJ17">
            <v>-1.2416697508023183E-2</v>
          </cell>
        </row>
        <row r="18">
          <cell r="N18">
            <v>-0.18301270189221919</v>
          </cell>
          <cell r="O18">
            <v>0.774519052838329</v>
          </cell>
          <cell r="Y18">
            <v>0.23856825744777477</v>
          </cell>
          <cell r="Z18">
            <v>-0.72640653040586012</v>
          </cell>
          <cell r="AD18">
            <v>-4.7927405783631145E-2</v>
          </cell>
          <cell r="AE18">
            <v>-0.70785238617166224</v>
          </cell>
          <cell r="AI18">
            <v>0.68301270189221941</v>
          </cell>
          <cell r="AJ18">
            <v>0.14346787517317577</v>
          </cell>
        </row>
        <row r="19">
          <cell r="N19">
            <v>-0.1830127018922193</v>
          </cell>
          <cell r="O19">
            <v>-9.150635094610976E-2</v>
          </cell>
          <cell r="X19">
            <v>4</v>
          </cell>
          <cell r="Y19">
            <v>0.3251707978262186</v>
          </cell>
          <cell r="Z19">
            <v>-0.75140653040586014</v>
          </cell>
          <cell r="AC19">
            <v>4.1999999999999993</v>
          </cell>
          <cell r="AD19">
            <v>-9.7927405783631127E-2</v>
          </cell>
          <cell r="AE19">
            <v>-0.75115365636088416</v>
          </cell>
          <cell r="AH19">
            <v>3.5999999999999996</v>
          </cell>
          <cell r="AI19">
            <v>0.76961524227066325</v>
          </cell>
          <cell r="AJ19">
            <v>0.11846787517317578</v>
          </cell>
        </row>
        <row r="20">
          <cell r="N20">
            <v>0.6830127018922193</v>
          </cell>
          <cell r="O20">
            <v>-0.34150635094610982</v>
          </cell>
          <cell r="Y20">
            <v>0.23856825744777477</v>
          </cell>
          <cell r="Z20">
            <v>-0.72640653040586012</v>
          </cell>
          <cell r="AD20">
            <v>-4.7927405783631145E-2</v>
          </cell>
          <cell r="AE20">
            <v>-0.70785238617166224</v>
          </cell>
          <cell r="AI20">
            <v>0.68301270189221941</v>
          </cell>
          <cell r="AJ20">
            <v>0.14346787517317577</v>
          </cell>
        </row>
        <row r="21">
          <cell r="Y21">
            <v>0.23856825744777477</v>
          </cell>
          <cell r="Z21">
            <v>-0.72640653040586012</v>
          </cell>
          <cell r="AD21">
            <v>0.12527767497325654</v>
          </cell>
          <cell r="AE21">
            <v>-0.75785238617166217</v>
          </cell>
          <cell r="AI21">
            <v>0.68301270189221941</v>
          </cell>
          <cell r="AJ21">
            <v>0.29935244785437476</v>
          </cell>
        </row>
        <row r="22">
          <cell r="X22">
            <v>4</v>
          </cell>
          <cell r="Y22">
            <v>0.3251707978262186</v>
          </cell>
          <cell r="Z22">
            <v>-0.75140653040586014</v>
          </cell>
          <cell r="AC22">
            <v>4.8</v>
          </cell>
          <cell r="AD22">
            <v>7.5277674973256548E-2</v>
          </cell>
          <cell r="AE22">
            <v>-0.80115365636088409</v>
          </cell>
          <cell r="AH22">
            <v>3.8999999999999995</v>
          </cell>
          <cell r="AI22">
            <v>0.76961524227066325</v>
          </cell>
          <cell r="AJ22">
            <v>0.27435244785437479</v>
          </cell>
        </row>
        <row r="23">
          <cell r="Y23">
            <v>0.23856825744777477</v>
          </cell>
          <cell r="Z23">
            <v>-0.72640653040586012</v>
          </cell>
          <cell r="AD23">
            <v>0.12527767497325654</v>
          </cell>
          <cell r="AE23">
            <v>-0.75785238617166217</v>
          </cell>
          <cell r="AI23">
            <v>0.68301270189221941</v>
          </cell>
          <cell r="AJ23">
            <v>0.29935244785437476</v>
          </cell>
        </row>
        <row r="24">
          <cell r="M24">
            <v>-0.1830127018922193</v>
          </cell>
          <cell r="N24">
            <v>-9.150635094610976E-2</v>
          </cell>
          <cell r="O24">
            <v>-0.1830127018922193</v>
          </cell>
          <cell r="P24">
            <v>-9.150635094610976E-2</v>
          </cell>
          <cell r="Q24">
            <v>-0.1830127018922193</v>
          </cell>
          <cell r="R24">
            <v>-9.150635094610976E-2</v>
          </cell>
          <cell r="Y24">
            <v>0.23856825744777477</v>
          </cell>
          <cell r="Z24">
            <v>-0.72640653040586012</v>
          </cell>
          <cell r="AD24">
            <v>0.12527767497325654</v>
          </cell>
          <cell r="AE24">
            <v>-0.75785238617166217</v>
          </cell>
          <cell r="AI24">
            <v>0.68301270189221941</v>
          </cell>
          <cell r="AJ24">
            <v>0.4552370205355738</v>
          </cell>
        </row>
        <row r="25">
          <cell r="M25">
            <v>0.6830127018922193</v>
          </cell>
          <cell r="N25">
            <v>-0.34150635094610982</v>
          </cell>
          <cell r="O25">
            <v>-0.68301270189221952</v>
          </cell>
          <cell r="P25">
            <v>-0.52451905283832889</v>
          </cell>
          <cell r="Q25">
            <v>-0.68301270189221952</v>
          </cell>
          <cell r="R25">
            <v>-0.52451905283832889</v>
          </cell>
          <cell r="X25">
            <v>4</v>
          </cell>
          <cell r="Y25">
            <v>0.3251707978262186</v>
          </cell>
          <cell r="Z25">
            <v>-0.75140653040586014</v>
          </cell>
          <cell r="AC25">
            <v>4.8</v>
          </cell>
          <cell r="AD25">
            <v>7.5277674973256548E-2</v>
          </cell>
          <cell r="AE25">
            <v>-0.80115365636088409</v>
          </cell>
          <cell r="AH25">
            <v>4.1999999999999993</v>
          </cell>
          <cell r="AI25">
            <v>0.76961524227066325</v>
          </cell>
          <cell r="AJ25">
            <v>0.43023702053557383</v>
          </cell>
        </row>
        <row r="26">
          <cell r="M26">
            <v>0.68301270189221952</v>
          </cell>
          <cell r="N26">
            <v>0.52451905283832889</v>
          </cell>
          <cell r="O26">
            <v>-0.6830127018922193</v>
          </cell>
          <cell r="P26">
            <v>0.34150635094610982</v>
          </cell>
          <cell r="Q26">
            <v>0.18301270189221919</v>
          </cell>
          <cell r="R26">
            <v>-0.774519052838329</v>
          </cell>
          <cell r="Y26">
            <v>0.23856825744777477</v>
          </cell>
          <cell r="Z26">
            <v>-0.72640653040586012</v>
          </cell>
          <cell r="AD26">
            <v>0.12527767497325654</v>
          </cell>
          <cell r="AE26">
            <v>-0.75785238617166217</v>
          </cell>
          <cell r="AI26">
            <v>0.68301270189221941</v>
          </cell>
          <cell r="AJ26">
            <v>0.4552370205355738</v>
          </cell>
        </row>
        <row r="27">
          <cell r="M27">
            <v>-0.18301270189221919</v>
          </cell>
          <cell r="N27">
            <v>0.774519052838329</v>
          </cell>
          <cell r="O27">
            <v>-0.18301270189221919</v>
          </cell>
          <cell r="P27">
            <v>0.774519052838329</v>
          </cell>
          <cell r="Q27">
            <v>0.6830127018922193</v>
          </cell>
          <cell r="R27">
            <v>-0.34150635094610982</v>
          </cell>
          <cell r="Y27">
            <v>0.23856825744777477</v>
          </cell>
          <cell r="Z27">
            <v>-0.72640653040586012</v>
          </cell>
          <cell r="AD27">
            <v>0.12527767497325654</v>
          </cell>
          <cell r="AE27">
            <v>-0.75785238617166217</v>
          </cell>
          <cell r="AI27">
            <v>0.68301270189221941</v>
          </cell>
          <cell r="AJ27">
            <v>0.4552370205355738</v>
          </cell>
        </row>
        <row r="28">
          <cell r="M28">
            <v>-0.1830127018922193</v>
          </cell>
          <cell r="N28">
            <v>-9.150635094610976E-2</v>
          </cell>
          <cell r="O28">
            <v>-0.1830127018922193</v>
          </cell>
          <cell r="P28">
            <v>-9.150635094610976E-2</v>
          </cell>
          <cell r="Q28">
            <v>-0.1830127018922193</v>
          </cell>
          <cell r="R28">
            <v>-9.150635094610976E-2</v>
          </cell>
          <cell r="X28">
            <v>4</v>
          </cell>
          <cell r="Y28">
            <v>0.3251707978262186</v>
          </cell>
          <cell r="Z28">
            <v>-0.75140653040586014</v>
          </cell>
          <cell r="AC28">
            <v>4.8</v>
          </cell>
          <cell r="AD28">
            <v>7.5277674973256548E-2</v>
          </cell>
          <cell r="AE28">
            <v>-0.80115365636088409</v>
          </cell>
          <cell r="AH28">
            <v>4.1999999999999993</v>
          </cell>
          <cell r="AI28">
            <v>0.76961524227066325</v>
          </cell>
          <cell r="AJ28">
            <v>0.43023702053557383</v>
          </cell>
        </row>
        <row r="29">
          <cell r="Y29">
            <v>0.23856825744777477</v>
          </cell>
          <cell r="Z29">
            <v>-0.72640653040586012</v>
          </cell>
          <cell r="AD29">
            <v>0.12527767497325654</v>
          </cell>
          <cell r="AE29">
            <v>-0.75785238617166217</v>
          </cell>
          <cell r="AI29">
            <v>0.68301270189221941</v>
          </cell>
          <cell r="AJ29">
            <v>0.4552370205355738</v>
          </cell>
        </row>
        <row r="32">
          <cell r="C32" t="str">
            <v>Material 
Reductions</v>
          </cell>
          <cell r="D32" t="str">
            <v>Social</v>
          </cell>
          <cell r="E32" t="str">
            <v>Competitiveness</v>
          </cell>
        </row>
        <row r="33">
          <cell r="B33" t="str">
            <v>KZA 1</v>
          </cell>
          <cell r="G33">
            <v>0</v>
          </cell>
          <cell r="K33">
            <v>-0.33878201174185091</v>
          </cell>
          <cell r="L33">
            <v>0.13308045928835768</v>
          </cell>
          <cell r="M33">
            <v>0.10566243270259364</v>
          </cell>
          <cell r="N33">
            <v>0.51798063874810796</v>
          </cell>
          <cell r="O33">
            <v>-0.62745714633666383</v>
          </cell>
          <cell r="P33">
            <v>0.21641379262169103</v>
          </cell>
          <cell r="Q33">
            <v>-0.33878201174185102</v>
          </cell>
          <cell r="R33">
            <v>-0.55973986373919338</v>
          </cell>
        </row>
        <row r="34">
          <cell r="B34" t="str">
            <v>KZA 2</v>
          </cell>
          <cell r="G34">
            <v>0</v>
          </cell>
          <cell r="K34">
            <v>-0.28322645618629533</v>
          </cell>
          <cell r="L34">
            <v>0.35439806247771405</v>
          </cell>
          <cell r="M34">
            <v>0.10566243270259365</v>
          </cell>
          <cell r="N34">
            <v>0.69118571950499552</v>
          </cell>
          <cell r="O34">
            <v>-0.57190159078110814</v>
          </cell>
          <cell r="P34">
            <v>0.43773139581104742</v>
          </cell>
          <cell r="Q34">
            <v>-0.28322645618629544</v>
          </cell>
          <cell r="R34">
            <v>-0.51162734130672471</v>
          </cell>
        </row>
        <row r="35">
          <cell r="B35" t="str">
            <v>KZA 3</v>
          </cell>
          <cell r="G35">
            <v>0</v>
          </cell>
          <cell r="K35">
            <v>-0.28322645618629533</v>
          </cell>
          <cell r="L35">
            <v>0.18119298172082643</v>
          </cell>
          <cell r="M35">
            <v>0.10566243270259364</v>
          </cell>
          <cell r="N35">
            <v>0.51798063874810796</v>
          </cell>
          <cell r="O35">
            <v>-0.57190159078110825</v>
          </cell>
          <cell r="P35">
            <v>0.2645263150541598</v>
          </cell>
          <cell r="Q35">
            <v>-0.28322645618629544</v>
          </cell>
          <cell r="R35">
            <v>-0.51162734130672471</v>
          </cell>
        </row>
        <row r="36">
          <cell r="B36" t="str">
            <v>KZA 4</v>
          </cell>
          <cell r="G36">
            <v>0</v>
          </cell>
          <cell r="K36">
            <v>-0.40523492411444156</v>
          </cell>
          <cell r="L36">
            <v>-0.11075135991909713</v>
          </cell>
          <cell r="M36">
            <v>-0.18301270189221927</v>
          </cell>
          <cell r="N36">
            <v>8.1698729810778026E-2</v>
          </cell>
          <cell r="O36">
            <v>-0.40523492411444156</v>
          </cell>
          <cell r="P36">
            <v>-0.11075135991909713</v>
          </cell>
          <cell r="Q36">
            <v>-0.40523492411444156</v>
          </cell>
          <cell r="R36">
            <v>-0.28395644067598491</v>
          </cell>
        </row>
        <row r="37">
          <cell r="B37" t="str">
            <v>KZA 5</v>
          </cell>
          <cell r="G37">
            <v>0</v>
          </cell>
          <cell r="K37">
            <v>0.40523492411444151</v>
          </cell>
          <cell r="L37">
            <v>-0.23565880159467817</v>
          </cell>
          <cell r="M37">
            <v>0.68301270189221941</v>
          </cell>
          <cell r="N37">
            <v>4.9038105676657978E-3</v>
          </cell>
          <cell r="O37">
            <v>-0.46079047966999709</v>
          </cell>
          <cell r="P37">
            <v>1.4341198405321914E-2</v>
          </cell>
          <cell r="Q37">
            <v>0.40523492411444145</v>
          </cell>
          <cell r="R37">
            <v>-0.5820689631084538</v>
          </cell>
        </row>
        <row r="38">
          <cell r="B38" t="str">
            <v>KZA 6</v>
          </cell>
          <cell r="G38">
            <v>0</v>
          </cell>
          <cell r="K38">
            <v>-0.2276709006307398</v>
          </cell>
          <cell r="L38">
            <v>5.6100423396407466E-2</v>
          </cell>
          <cell r="M38">
            <v>0.10566243270259361</v>
          </cell>
          <cell r="N38">
            <v>0.34477555799122017</v>
          </cell>
          <cell r="O38">
            <v>-0.51634603522555267</v>
          </cell>
          <cell r="P38">
            <v>0.13943375672974082</v>
          </cell>
          <cell r="Q38">
            <v>-0.22767090063073986</v>
          </cell>
          <cell r="R38">
            <v>-0.46351481887425583</v>
          </cell>
        </row>
        <row r="39">
          <cell r="B39" t="str">
            <v>KZA 7</v>
          </cell>
          <cell r="G39">
            <v>0</v>
          </cell>
          <cell r="K39">
            <v>-0.11655978951962863</v>
          </cell>
          <cell r="L39">
            <v>0.32553054901823281</v>
          </cell>
          <cell r="M39">
            <v>0.10566243270259364</v>
          </cell>
          <cell r="N39">
            <v>0.51798063874810796</v>
          </cell>
          <cell r="O39">
            <v>-0.40523492411444145</v>
          </cell>
          <cell r="P39">
            <v>0.40886388235156618</v>
          </cell>
          <cell r="Q39">
            <v>-0.11655978951962873</v>
          </cell>
          <cell r="R39">
            <v>-0.36728977400931828</v>
          </cell>
        </row>
        <row r="40">
          <cell r="B40" t="str">
            <v>KZA 8</v>
          </cell>
          <cell r="G40">
            <v>0</v>
          </cell>
          <cell r="K40">
            <v>0.39433756729740643</v>
          </cell>
          <cell r="L40">
            <v>0.2614422246578868</v>
          </cell>
          <cell r="M40">
            <v>0.39433756729740643</v>
          </cell>
          <cell r="N40">
            <v>0.2614422246578868</v>
          </cell>
          <cell r="O40">
            <v>-0.18301270189221924</v>
          </cell>
          <cell r="P40">
            <v>0.42810889132455354</v>
          </cell>
          <cell r="Q40">
            <v>0.39433756729740638</v>
          </cell>
          <cell r="R40">
            <v>-0.25817301761277645</v>
          </cell>
        </row>
        <row r="41">
          <cell r="B41" t="str">
            <v>KZA 9</v>
          </cell>
          <cell r="G41">
            <v>0</v>
          </cell>
          <cell r="K41">
            <v>6.1004233964073014E-2</v>
          </cell>
          <cell r="L41">
            <v>-0.5468481522075892</v>
          </cell>
          <cell r="M41">
            <v>0.39433756729740638</v>
          </cell>
          <cell r="N41">
            <v>-0.25817301761277645</v>
          </cell>
          <cell r="O41">
            <v>-0.51634603522555278</v>
          </cell>
          <cell r="P41">
            <v>-0.38018148554092246</v>
          </cell>
          <cell r="Q41">
            <v>6.1004233964073014E-2</v>
          </cell>
          <cell r="R41">
            <v>-0.5468481522075892</v>
          </cell>
        </row>
        <row r="42">
          <cell r="B42" t="str">
            <v>KZA 10</v>
          </cell>
          <cell r="G42">
            <v>0</v>
          </cell>
          <cell r="K42">
            <v>-0.68301270189221941</v>
          </cell>
          <cell r="L42">
            <v>-0.17810889132455321</v>
          </cell>
          <cell r="M42">
            <v>-0.18301270189221924</v>
          </cell>
          <cell r="N42">
            <v>0.25490381056766587</v>
          </cell>
          <cell r="O42">
            <v>-0.68301270189221941</v>
          </cell>
          <cell r="P42">
            <v>-0.17810889132455321</v>
          </cell>
          <cell r="Q42">
            <v>-0.68301270189221952</v>
          </cell>
          <cell r="R42">
            <v>-0.52451905283832889</v>
          </cell>
        </row>
      </sheetData>
    </sheetDataSet>
  </externalBook>
</externalLink>
</file>

<file path=xl/persons/person.xml><?xml version="1.0" encoding="utf-8"?>
<personList xmlns="http://schemas.microsoft.com/office/spreadsheetml/2018/threadedcomments" xmlns:x="http://schemas.openxmlformats.org/spreadsheetml/2006/main">
  <person displayName="Germán García" id="{87BE4BDB-E3C2-4D0F-B82A-E39BEAC9812D}" userId="S::ggarcia@iamfactor.com::0ed77a4a-9418-49d8-a5f6-911edf4d043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hyperlink" Target="https://www.theglobaleconomy.com/Kazakhstan/inflation_annual/"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1:H17"/>
  <sheetViews>
    <sheetView showGridLines="0" topLeftCell="A4" zoomScale="70" zoomScaleNormal="70" workbookViewId="0">
      <selection activeCell="E7" sqref="E7"/>
    </sheetView>
  </sheetViews>
  <sheetFormatPr defaultColWidth="10.81640625" defaultRowHeight="14.5" x14ac:dyDescent="0.35"/>
  <cols>
    <col min="1" max="1" width="5.7265625" style="207" customWidth="1"/>
    <col min="2" max="2" width="52" style="207" customWidth="1"/>
    <col min="3" max="3" width="39.453125" style="207" customWidth="1"/>
    <col min="4" max="4" width="32.90625" style="207" customWidth="1"/>
    <col min="5" max="5" width="15.7265625" style="207" customWidth="1"/>
    <col min="6" max="6" width="4.26953125" style="207" customWidth="1"/>
    <col min="7" max="16384" width="10.81640625" style="207"/>
  </cols>
  <sheetData>
    <row r="1" spans="2:8" x14ac:dyDescent="0.35">
      <c r="D1" s="208"/>
      <c r="E1" s="208"/>
      <c r="F1" s="208"/>
      <c r="G1" s="208"/>
    </row>
    <row r="2" spans="2:8" ht="13.5" customHeight="1" x14ac:dyDescent="0.35">
      <c r="B2" s="278" t="s">
        <v>190</v>
      </c>
      <c r="C2" s="279"/>
      <c r="D2" s="280"/>
      <c r="E2" s="209"/>
      <c r="F2" s="209"/>
      <c r="G2" s="209"/>
      <c r="H2" s="209"/>
    </row>
    <row r="3" spans="2:8" ht="13.5" customHeight="1" x14ac:dyDescent="0.35">
      <c r="B3" s="281"/>
      <c r="C3" s="282"/>
      <c r="D3" s="283"/>
      <c r="E3" s="209"/>
      <c r="F3" s="209"/>
      <c r="G3" s="209"/>
      <c r="H3" s="209"/>
    </row>
    <row r="4" spans="2:8" ht="13.5" customHeight="1" x14ac:dyDescent="0.35">
      <c r="B4" s="281"/>
      <c r="C4" s="282"/>
      <c r="D4" s="283"/>
      <c r="E4" s="209"/>
      <c r="F4" s="209"/>
      <c r="G4" s="209"/>
      <c r="H4" s="209"/>
    </row>
    <row r="5" spans="2:8" ht="14.15" customHeight="1" x14ac:dyDescent="0.35">
      <c r="B5" s="268"/>
      <c r="C5" s="210"/>
      <c r="D5" s="269"/>
      <c r="E5" s="210"/>
    </row>
    <row r="6" spans="2:8" ht="88" customHeight="1" x14ac:dyDescent="0.35">
      <c r="B6" s="284" t="s">
        <v>292</v>
      </c>
      <c r="C6" s="285"/>
      <c r="D6" s="286"/>
      <c r="E6" s="210"/>
    </row>
    <row r="7" spans="2:8" x14ac:dyDescent="0.35">
      <c r="B7" s="270" t="s">
        <v>283</v>
      </c>
      <c r="C7" s="235"/>
      <c r="D7" s="239"/>
    </row>
    <row r="8" spans="2:8" ht="15" thickBot="1" x14ac:dyDescent="0.4">
      <c r="B8" s="236" t="s">
        <v>12</v>
      </c>
      <c r="C8" s="237" t="s">
        <v>13</v>
      </c>
      <c r="D8" s="239"/>
    </row>
    <row r="9" spans="2:8" x14ac:dyDescent="0.35">
      <c r="B9" s="238" t="s">
        <v>281</v>
      </c>
      <c r="C9" s="239" t="s">
        <v>182</v>
      </c>
      <c r="D9" s="239"/>
    </row>
    <row r="10" spans="2:8" x14ac:dyDescent="0.35">
      <c r="B10" s="238" t="s">
        <v>177</v>
      </c>
      <c r="C10" s="239"/>
      <c r="D10" s="239"/>
    </row>
    <row r="11" spans="2:8" x14ac:dyDescent="0.35">
      <c r="B11" s="238" t="s">
        <v>178</v>
      </c>
      <c r="C11" s="239"/>
      <c r="D11" s="239"/>
    </row>
    <row r="12" spans="2:8" x14ac:dyDescent="0.35">
      <c r="B12" s="240" t="s">
        <v>282</v>
      </c>
      <c r="C12" s="241"/>
      <c r="D12" s="239"/>
    </row>
    <row r="13" spans="2:8" ht="12" customHeight="1" x14ac:dyDescent="0.35">
      <c r="B13" s="268"/>
      <c r="C13" s="271"/>
      <c r="D13" s="239"/>
    </row>
    <row r="14" spans="2:8" ht="62.5" customHeight="1" x14ac:dyDescent="0.35">
      <c r="B14" s="272" t="s">
        <v>293</v>
      </c>
      <c r="C14" s="273"/>
      <c r="D14" s="274"/>
    </row>
    <row r="15" spans="2:8" ht="45" customHeight="1" x14ac:dyDescent="0.35">
      <c r="B15" s="268"/>
      <c r="C15" s="210"/>
      <c r="D15" s="269"/>
    </row>
    <row r="16" spans="2:8" ht="129.5" customHeight="1" x14ac:dyDescent="0.35">
      <c r="B16" s="275" t="s">
        <v>294</v>
      </c>
      <c r="C16" s="276"/>
      <c r="D16" s="277"/>
    </row>
    <row r="17" spans="2:2" x14ac:dyDescent="0.35">
      <c r="B17" s="211"/>
    </row>
  </sheetData>
  <mergeCells count="4">
    <mergeCell ref="B14:D14"/>
    <mergeCell ref="B16:D16"/>
    <mergeCell ref="B2:D4"/>
    <mergeCell ref="B6:D6"/>
  </mergeCells>
  <pageMargins left="0.7" right="0.7" top="0.75" bottom="0.75" header="0.3" footer="0.3"/>
  <pageSetup paperSize="9" scale="4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tabColor rgb="FFFF0000"/>
  </sheetPr>
  <dimension ref="A2:BC153"/>
  <sheetViews>
    <sheetView showGridLines="0" topLeftCell="A118" zoomScale="85" zoomScaleNormal="85" zoomScalePageLayoutView="85" workbookViewId="0">
      <selection activeCell="K154" sqref="K154"/>
    </sheetView>
  </sheetViews>
  <sheetFormatPr defaultColWidth="10.81640625" defaultRowHeight="12.5" x14ac:dyDescent="0.35"/>
  <cols>
    <col min="1" max="1" width="3.1796875" style="1" customWidth="1"/>
    <col min="2" max="2" width="12.26953125" style="35" bestFit="1" customWidth="1"/>
    <col min="3" max="3" width="28" style="35" customWidth="1"/>
    <col min="4" max="4" width="26.26953125" style="1" customWidth="1"/>
    <col min="5" max="5" width="14.1796875" style="1" customWidth="1"/>
    <col min="6" max="6" width="12.81640625" style="1" bestFit="1" customWidth="1"/>
    <col min="7" max="7" width="14.26953125" style="1" customWidth="1"/>
    <col min="8" max="8" width="13.81640625" style="1" customWidth="1"/>
    <col min="9" max="9" width="13.81640625" style="35" customWidth="1"/>
    <col min="10" max="10" width="15.26953125" style="35" customWidth="1"/>
    <col min="11" max="11" width="16.1796875" style="1" customWidth="1"/>
    <col min="12" max="12" width="15" style="1" customWidth="1"/>
    <col min="13" max="13" width="14.81640625" style="1" customWidth="1"/>
    <col min="14" max="14" width="15" style="1" customWidth="1"/>
    <col min="15" max="15" width="14.81640625" style="1" customWidth="1"/>
    <col min="16" max="16" width="15.1796875" style="1" customWidth="1"/>
    <col min="17" max="17" width="14.81640625" style="1" customWidth="1"/>
    <col min="18" max="18" width="15.26953125" style="1" customWidth="1"/>
    <col min="19" max="19" width="14.453125" style="1" bestFit="1" customWidth="1"/>
    <col min="20" max="20" width="15.453125" style="1" customWidth="1"/>
    <col min="21" max="21" width="14.453125" style="1" customWidth="1"/>
    <col min="22" max="22" width="14.81640625" style="1" bestFit="1" customWidth="1"/>
    <col min="23" max="16384" width="10.81640625" style="1"/>
  </cols>
  <sheetData>
    <row r="2" spans="2:15" ht="13.5" customHeight="1" x14ac:dyDescent="0.35">
      <c r="B2" s="408" t="s">
        <v>145</v>
      </c>
      <c r="C2" s="408"/>
      <c r="D2" s="409" t="s">
        <v>144</v>
      </c>
      <c r="E2" s="409"/>
      <c r="F2" s="409"/>
      <c r="G2" s="409"/>
      <c r="H2" s="409"/>
      <c r="I2" s="409"/>
      <c r="J2" s="409"/>
      <c r="K2" s="409"/>
      <c r="L2" s="409"/>
      <c r="M2" s="409"/>
      <c r="N2" s="409"/>
      <c r="O2" s="409"/>
    </row>
    <row r="3" spans="2:15" ht="13.5" customHeight="1" x14ac:dyDescent="0.35">
      <c r="B3" s="408"/>
      <c r="C3" s="408"/>
      <c r="D3" s="409"/>
      <c r="E3" s="409"/>
      <c r="F3" s="409"/>
      <c r="G3" s="409"/>
      <c r="H3" s="409"/>
      <c r="I3" s="409"/>
      <c r="J3" s="409"/>
      <c r="K3" s="409"/>
      <c r="L3" s="409"/>
      <c r="M3" s="409"/>
      <c r="N3" s="409"/>
      <c r="O3" s="409"/>
    </row>
    <row r="5" spans="2:15" x14ac:dyDescent="0.35">
      <c r="B5" s="402" t="s">
        <v>125</v>
      </c>
      <c r="C5" s="402"/>
      <c r="D5" s="402"/>
      <c r="E5" s="402"/>
      <c r="F5" s="402"/>
      <c r="G5" s="402"/>
      <c r="H5" s="402"/>
      <c r="I5" s="402"/>
      <c r="J5" s="402"/>
      <c r="K5" s="402"/>
      <c r="L5" s="402"/>
      <c r="M5" s="402"/>
      <c r="N5" s="402"/>
      <c r="O5" s="402"/>
    </row>
    <row r="6" spans="2:15" x14ac:dyDescent="0.35">
      <c r="B6" s="402"/>
      <c r="C6" s="402"/>
      <c r="D6" s="402"/>
      <c r="E6" s="402"/>
      <c r="F6" s="402"/>
      <c r="G6" s="402"/>
      <c r="H6" s="402"/>
      <c r="I6" s="402"/>
      <c r="J6" s="402"/>
      <c r="K6" s="402"/>
      <c r="L6" s="402"/>
      <c r="M6" s="402"/>
      <c r="N6" s="402"/>
      <c r="O6" s="402"/>
    </row>
    <row r="8" spans="2:15" ht="29.25" customHeight="1" x14ac:dyDescent="0.35">
      <c r="B8" s="368" t="s">
        <v>26</v>
      </c>
      <c r="C8" s="350"/>
      <c r="D8" s="394">
        <v>1482.57</v>
      </c>
      <c r="E8" s="397"/>
      <c r="F8" s="392" t="s">
        <v>70</v>
      </c>
      <c r="G8" s="393"/>
      <c r="H8" s="2"/>
      <c r="I8" s="349" t="s">
        <v>29</v>
      </c>
      <c r="J8" s="349"/>
      <c r="K8" s="394">
        <v>433475.87</v>
      </c>
      <c r="L8" s="397"/>
      <c r="M8" s="392" t="s">
        <v>70</v>
      </c>
      <c r="N8" s="393"/>
      <c r="O8" s="2"/>
    </row>
    <row r="9" spans="2:15" ht="13.5" x14ac:dyDescent="0.35">
      <c r="G9" s="2"/>
      <c r="H9" s="2"/>
      <c r="N9" s="2"/>
      <c r="O9" s="2"/>
    </row>
    <row r="10" spans="2:15" ht="16.5" customHeight="1" x14ac:dyDescent="0.35">
      <c r="B10" s="349" t="s">
        <v>23</v>
      </c>
      <c r="C10" s="349"/>
      <c r="D10" s="394">
        <v>62782.02</v>
      </c>
      <c r="E10" s="395"/>
      <c r="F10" s="392" t="s">
        <v>70</v>
      </c>
      <c r="G10" s="393"/>
      <c r="H10" s="2"/>
      <c r="I10" s="349" t="s">
        <v>30</v>
      </c>
      <c r="J10" s="349"/>
      <c r="K10" s="394">
        <v>794705.77</v>
      </c>
      <c r="L10" s="395"/>
      <c r="M10" s="392" t="s">
        <v>70</v>
      </c>
      <c r="N10" s="393"/>
      <c r="O10" s="2"/>
    </row>
    <row r="11" spans="2:15" ht="13.5" x14ac:dyDescent="0.35">
      <c r="G11" s="2"/>
      <c r="H11" s="2"/>
      <c r="N11" s="2"/>
      <c r="O11" s="2"/>
    </row>
    <row r="12" spans="2:15" ht="16.5" customHeight="1" x14ac:dyDescent="0.35">
      <c r="B12" s="349" t="s">
        <v>24</v>
      </c>
      <c r="C12" s="349"/>
      <c r="D12" s="394">
        <v>75338.429999999993</v>
      </c>
      <c r="E12" s="397"/>
      <c r="F12" s="392" t="s">
        <v>70</v>
      </c>
      <c r="G12" s="393"/>
      <c r="H12" s="2"/>
      <c r="I12" s="349" t="s">
        <v>31</v>
      </c>
      <c r="J12" s="349"/>
      <c r="K12" s="394">
        <v>2036.07</v>
      </c>
      <c r="L12" s="397"/>
      <c r="M12" s="392" t="s">
        <v>70</v>
      </c>
      <c r="N12" s="393"/>
      <c r="O12" s="2"/>
    </row>
    <row r="13" spans="2:15" ht="13.5" x14ac:dyDescent="0.35">
      <c r="G13" s="2"/>
      <c r="H13" s="2"/>
      <c r="N13" s="2"/>
      <c r="O13" s="2"/>
    </row>
    <row r="14" spans="2:15" ht="16.5" customHeight="1" x14ac:dyDescent="0.35">
      <c r="B14" s="349" t="s">
        <v>25</v>
      </c>
      <c r="C14" s="349"/>
      <c r="D14" s="394">
        <v>1842272.48</v>
      </c>
      <c r="E14" s="397"/>
      <c r="F14" s="392" t="s">
        <v>70</v>
      </c>
      <c r="G14" s="393"/>
      <c r="H14" s="2"/>
      <c r="I14" s="349" t="s">
        <v>32</v>
      </c>
      <c r="J14" s="349"/>
      <c r="K14" s="394">
        <v>697.8</v>
      </c>
      <c r="L14" s="397"/>
      <c r="M14" s="392" t="s">
        <v>70</v>
      </c>
      <c r="N14" s="393"/>
      <c r="O14" s="2"/>
    </row>
    <row r="15" spans="2:15" ht="13.5" x14ac:dyDescent="0.35">
      <c r="G15" s="2"/>
      <c r="H15" s="2"/>
      <c r="N15" s="2"/>
      <c r="O15" s="2"/>
    </row>
    <row r="16" spans="2:15" ht="16.5" customHeight="1" x14ac:dyDescent="0.35">
      <c r="B16" s="349" t="s">
        <v>41</v>
      </c>
      <c r="C16" s="349"/>
      <c r="D16" s="394">
        <f>1.286+0.366</f>
        <v>1.6520000000000001</v>
      </c>
      <c r="E16" s="397"/>
      <c r="F16" s="392" t="s">
        <v>44</v>
      </c>
      <c r="G16" s="393"/>
      <c r="H16" s="2"/>
      <c r="I16" s="423"/>
      <c r="J16" s="423"/>
      <c r="K16" s="426"/>
      <c r="L16" s="426"/>
      <c r="M16" s="414"/>
      <c r="N16" s="415"/>
      <c r="O16" s="2"/>
    </row>
    <row r="17" spans="2:22" s="34" customFormat="1" x14ac:dyDescent="0.35">
      <c r="B17" s="73"/>
      <c r="C17" s="73"/>
      <c r="D17" s="72"/>
      <c r="E17" s="72"/>
      <c r="F17" s="72"/>
      <c r="G17" s="72"/>
      <c r="H17" s="72"/>
      <c r="I17" s="73"/>
      <c r="J17" s="73"/>
      <c r="K17" s="72"/>
      <c r="L17" s="72"/>
      <c r="M17" s="72"/>
      <c r="N17" s="72"/>
      <c r="O17" s="72"/>
      <c r="P17" s="72"/>
      <c r="Q17" s="72"/>
      <c r="R17" s="72"/>
      <c r="S17" s="72"/>
      <c r="T17" s="72"/>
      <c r="U17" s="72"/>
    </row>
    <row r="18" spans="2:22" x14ac:dyDescent="0.35">
      <c r="B18" s="422"/>
      <c r="C18" s="422"/>
      <c r="E18" s="50"/>
      <c r="F18" s="50"/>
      <c r="G18" s="50"/>
      <c r="H18" s="50"/>
      <c r="I18" s="52"/>
      <c r="J18" s="52"/>
      <c r="K18" s="50"/>
      <c r="L18" s="50"/>
      <c r="M18" s="50"/>
      <c r="N18" s="50"/>
      <c r="O18" s="50"/>
      <c r="P18" s="50"/>
      <c r="Q18" s="50"/>
      <c r="R18" s="50"/>
      <c r="S18" s="50"/>
      <c r="T18" s="50"/>
      <c r="U18" s="50"/>
    </row>
    <row r="19" spans="2:22" ht="14.5" x14ac:dyDescent="0.35">
      <c r="B19" s="402" t="s">
        <v>141</v>
      </c>
      <c r="C19" s="402"/>
      <c r="D19" s="402"/>
      <c r="E19" s="402"/>
      <c r="F19" s="402"/>
      <c r="G19" s="402"/>
      <c r="H19" s="402"/>
      <c r="I19" s="402"/>
      <c r="J19" s="402"/>
      <c r="K19" s="402"/>
      <c r="L19" s="402"/>
      <c r="M19" s="402"/>
      <c r="N19" s="402"/>
      <c r="O19" s="402"/>
      <c r="P19"/>
      <c r="Q19"/>
      <c r="R19"/>
      <c r="S19"/>
      <c r="T19"/>
      <c r="U19"/>
      <c r="V19"/>
    </row>
    <row r="20" spans="2:22" ht="14.5" x14ac:dyDescent="0.35">
      <c r="B20" s="402"/>
      <c r="C20" s="402"/>
      <c r="D20" s="402"/>
      <c r="E20" s="402"/>
      <c r="F20" s="402"/>
      <c r="G20" s="402"/>
      <c r="H20" s="402"/>
      <c r="I20" s="402"/>
      <c r="J20" s="402"/>
      <c r="K20" s="402"/>
      <c r="L20" s="402"/>
      <c r="M20" s="402"/>
      <c r="N20" s="402"/>
      <c r="O20" s="402"/>
      <c r="P20"/>
      <c r="Q20"/>
      <c r="R20"/>
      <c r="S20"/>
      <c r="T20"/>
      <c r="U20"/>
      <c r="V20"/>
    </row>
    <row r="21" spans="2:22" ht="14.5" x14ac:dyDescent="0.35">
      <c r="P21"/>
      <c r="Q21"/>
      <c r="R21"/>
      <c r="S21"/>
      <c r="T21"/>
      <c r="U21"/>
      <c r="V21"/>
    </row>
    <row r="22" spans="2:22" ht="16.5" customHeight="1" x14ac:dyDescent="0.35">
      <c r="B22" s="370" t="s">
        <v>42</v>
      </c>
      <c r="C22" s="396"/>
      <c r="D22" s="394">
        <v>61.36</v>
      </c>
      <c r="E22" s="397"/>
      <c r="F22" s="392" t="s">
        <v>71</v>
      </c>
      <c r="G22" s="393"/>
      <c r="H22" s="2"/>
      <c r="I22" s="353" t="s">
        <v>111</v>
      </c>
      <c r="J22" s="396"/>
      <c r="K22" s="394">
        <f>(0.36+0.53)/2</f>
        <v>0.44500000000000001</v>
      </c>
      <c r="L22" s="397"/>
      <c r="M22" s="392" t="s">
        <v>78</v>
      </c>
      <c r="N22" s="393"/>
      <c r="O22" s="2"/>
      <c r="P22"/>
      <c r="Q22"/>
      <c r="R22"/>
      <c r="S22"/>
      <c r="T22"/>
      <c r="U22"/>
      <c r="V22"/>
    </row>
    <row r="23" spans="2:22" ht="13.5" x14ac:dyDescent="0.35">
      <c r="B23" s="1"/>
      <c r="C23" s="1"/>
      <c r="G23" s="2"/>
      <c r="H23" s="2"/>
      <c r="I23" s="1"/>
      <c r="J23" s="1"/>
      <c r="N23" s="2"/>
      <c r="O23" s="2"/>
    </row>
    <row r="24" spans="2:22" ht="16.5" customHeight="1" x14ac:dyDescent="0.35">
      <c r="B24" s="353" t="s">
        <v>43</v>
      </c>
      <c r="C24" s="353"/>
      <c r="D24" s="394">
        <v>1.99</v>
      </c>
      <c r="E24" s="395"/>
      <c r="F24" s="392" t="s">
        <v>71</v>
      </c>
      <c r="G24" s="393"/>
      <c r="H24" s="2"/>
      <c r="I24" s="353" t="s">
        <v>76</v>
      </c>
      <c r="J24" s="396"/>
      <c r="K24" s="394">
        <v>0.8</v>
      </c>
      <c r="L24" s="397"/>
      <c r="M24" s="392" t="s">
        <v>77</v>
      </c>
      <c r="N24" s="393"/>
      <c r="O24" s="2"/>
    </row>
    <row r="25" spans="2:22" ht="13.5" x14ac:dyDescent="0.35">
      <c r="B25" s="1"/>
      <c r="C25" s="1"/>
      <c r="G25" s="2"/>
      <c r="H25" s="2"/>
      <c r="I25" s="1"/>
      <c r="J25" s="1"/>
      <c r="N25" s="2"/>
      <c r="O25" s="2"/>
    </row>
    <row r="26" spans="2:22" ht="16.5" customHeight="1" x14ac:dyDescent="0.35">
      <c r="B26" s="353" t="s">
        <v>35</v>
      </c>
      <c r="C26" s="353"/>
      <c r="D26" s="394">
        <v>1875</v>
      </c>
      <c r="E26" s="397"/>
      <c r="F26" s="392" t="s">
        <v>71</v>
      </c>
      <c r="G26" s="393"/>
      <c r="H26" s="2"/>
      <c r="I26" s="353" t="s">
        <v>34</v>
      </c>
      <c r="J26" s="353"/>
      <c r="K26" s="394">
        <v>625</v>
      </c>
      <c r="L26" s="397"/>
      <c r="M26" s="392" t="s">
        <v>71</v>
      </c>
      <c r="N26" s="393"/>
      <c r="O26" s="2"/>
    </row>
    <row r="27" spans="2:22" ht="13.5" x14ac:dyDescent="0.35">
      <c r="B27" s="1"/>
      <c r="C27" s="1"/>
      <c r="G27" s="2"/>
      <c r="H27" s="2"/>
      <c r="I27" s="1"/>
      <c r="J27" s="1"/>
      <c r="N27" s="2"/>
      <c r="O27" s="2"/>
    </row>
    <row r="28" spans="2:22" ht="16.5" customHeight="1" x14ac:dyDescent="0.35">
      <c r="B28" s="353" t="s">
        <v>110</v>
      </c>
      <c r="C28" s="396"/>
      <c r="D28" s="394">
        <f>K26*3</f>
        <v>1875</v>
      </c>
      <c r="E28" s="397"/>
      <c r="F28" s="392"/>
      <c r="G28" s="425"/>
      <c r="H28" s="2"/>
      <c r="I28" s="424"/>
      <c r="J28" s="424"/>
      <c r="K28" s="426"/>
      <c r="L28" s="426"/>
      <c r="M28" s="414"/>
      <c r="N28" s="415"/>
      <c r="O28" s="2"/>
    </row>
    <row r="31" spans="2:22" x14ac:dyDescent="0.35">
      <c r="B31" s="402" t="s">
        <v>124</v>
      </c>
      <c r="C31" s="402"/>
      <c r="D31" s="402"/>
      <c r="E31" s="402"/>
      <c r="F31" s="402"/>
      <c r="G31" s="402"/>
      <c r="H31" s="402"/>
      <c r="I31" s="402"/>
      <c r="J31" s="402"/>
      <c r="K31" s="402"/>
      <c r="L31" s="402"/>
      <c r="M31" s="402"/>
      <c r="N31" s="402"/>
      <c r="O31" s="402"/>
    </row>
    <row r="32" spans="2:22" x14ac:dyDescent="0.35">
      <c r="B32" s="402"/>
      <c r="C32" s="402"/>
      <c r="D32" s="402"/>
      <c r="E32" s="402"/>
      <c r="F32" s="402"/>
      <c r="G32" s="402"/>
      <c r="H32" s="402"/>
      <c r="I32" s="402"/>
      <c r="J32" s="402"/>
      <c r="K32" s="402"/>
      <c r="L32" s="402"/>
      <c r="M32" s="402"/>
      <c r="N32" s="402"/>
      <c r="O32" s="402"/>
    </row>
    <row r="34" spans="2:15" ht="27" customHeight="1" x14ac:dyDescent="0.35">
      <c r="B34" s="368" t="s">
        <v>50</v>
      </c>
      <c r="C34" s="350"/>
      <c r="D34" s="342">
        <v>8</v>
      </c>
      <c r="E34" s="343"/>
      <c r="F34" s="400" t="s">
        <v>72</v>
      </c>
      <c r="G34" s="401"/>
      <c r="H34" s="2"/>
      <c r="I34" s="349" t="s">
        <v>64</v>
      </c>
      <c r="J34" s="349"/>
      <c r="K34" s="394">
        <v>19.170000000000002</v>
      </c>
      <c r="L34" s="395"/>
      <c r="M34" s="400" t="s">
        <v>72</v>
      </c>
      <c r="N34" s="401"/>
      <c r="O34" s="2"/>
    </row>
    <row r="35" spans="2:15" ht="13.5" x14ac:dyDescent="0.35">
      <c r="G35" s="2"/>
      <c r="H35" s="2"/>
      <c r="N35" s="2"/>
      <c r="O35" s="2"/>
    </row>
    <row r="36" spans="2:15" ht="27" customHeight="1" x14ac:dyDescent="0.35">
      <c r="B36" s="349" t="s">
        <v>51</v>
      </c>
      <c r="C36" s="349"/>
      <c r="D36" s="342">
        <v>10</v>
      </c>
      <c r="E36" s="343"/>
      <c r="F36" s="400" t="s">
        <v>72</v>
      </c>
      <c r="G36" s="401"/>
      <c r="H36" s="2"/>
      <c r="I36" s="349" t="s">
        <v>59</v>
      </c>
      <c r="J36" s="349"/>
      <c r="K36" s="394">
        <v>0.15</v>
      </c>
      <c r="L36" s="397"/>
      <c r="M36" s="400" t="s">
        <v>72</v>
      </c>
      <c r="N36" s="401"/>
      <c r="O36" s="2"/>
    </row>
    <row r="37" spans="2:15" ht="13.5" x14ac:dyDescent="0.35">
      <c r="G37" s="2"/>
      <c r="H37" s="2"/>
      <c r="N37" s="2"/>
      <c r="O37" s="2"/>
    </row>
    <row r="38" spans="2:15" ht="31.5" customHeight="1" x14ac:dyDescent="0.35">
      <c r="B38" s="349" t="s">
        <v>130</v>
      </c>
      <c r="C38" s="350"/>
      <c r="D38" s="342">
        <v>3000</v>
      </c>
      <c r="E38" s="343"/>
      <c r="F38" s="400" t="s">
        <v>72</v>
      </c>
      <c r="G38" s="401"/>
      <c r="H38" s="2"/>
      <c r="I38" s="423"/>
      <c r="J38" s="423"/>
      <c r="K38" s="426"/>
      <c r="L38" s="426"/>
      <c r="M38" s="427"/>
      <c r="N38" s="428"/>
      <c r="O38" s="2"/>
    </row>
    <row r="39" spans="2:15" ht="13.5" x14ac:dyDescent="0.35">
      <c r="G39" s="2"/>
      <c r="H39" s="2"/>
      <c r="I39" s="117"/>
      <c r="J39" s="117"/>
      <c r="K39" s="33"/>
      <c r="L39" s="33"/>
      <c r="M39" s="33"/>
      <c r="N39" s="46"/>
      <c r="O39" s="2"/>
    </row>
    <row r="40" spans="2:15" ht="31.5" customHeight="1" x14ac:dyDescent="0.35">
      <c r="B40" s="349" t="s">
        <v>164</v>
      </c>
      <c r="C40" s="349"/>
      <c r="D40" s="394">
        <f>0.09+0.065+0.074+0.048+0.077+0.077+0.046+0.196+0.282+0.272+0.077+0.305+0.182+0.202+0.181+0.176</f>
        <v>2.35</v>
      </c>
      <c r="E40" s="397"/>
      <c r="F40" s="400" t="s">
        <v>158</v>
      </c>
      <c r="G40" s="401"/>
      <c r="I40" s="349" t="s">
        <v>156</v>
      </c>
      <c r="J40" s="349"/>
      <c r="K40" s="394">
        <v>15</v>
      </c>
      <c r="L40" s="397"/>
      <c r="M40" s="400" t="s">
        <v>155</v>
      </c>
      <c r="N40" s="401"/>
      <c r="O40" s="2"/>
    </row>
    <row r="41" spans="2:15" ht="13.5" x14ac:dyDescent="0.35">
      <c r="O41" s="2"/>
    </row>
    <row r="42" spans="2:15" ht="27.75" customHeight="1" x14ac:dyDescent="0.35">
      <c r="B42" s="349" t="s">
        <v>160</v>
      </c>
      <c r="C42" s="349"/>
      <c r="D42" s="418">
        <v>0.15</v>
      </c>
      <c r="E42" s="419"/>
      <c r="F42" s="420" t="s">
        <v>72</v>
      </c>
      <c r="G42" s="421"/>
      <c r="I42" s="349" t="s">
        <v>161</v>
      </c>
      <c r="J42" s="350"/>
      <c r="K42" s="416">
        <v>3000</v>
      </c>
      <c r="L42" s="417"/>
      <c r="M42" s="420" t="s">
        <v>72</v>
      </c>
      <c r="N42" s="421"/>
      <c r="O42" s="2"/>
    </row>
    <row r="44" spans="2:15" x14ac:dyDescent="0.35">
      <c r="B44" s="402" t="s">
        <v>109</v>
      </c>
      <c r="C44" s="402"/>
      <c r="D44" s="402"/>
      <c r="E44" s="402"/>
      <c r="F44" s="402"/>
      <c r="G44" s="402"/>
      <c r="H44" s="402"/>
      <c r="I44" s="402"/>
      <c r="J44" s="402"/>
      <c r="K44" s="402"/>
      <c r="L44" s="402"/>
      <c r="M44" s="402"/>
      <c r="N44" s="402"/>
      <c r="O44" s="402"/>
    </row>
    <row r="45" spans="2:15" x14ac:dyDescent="0.35">
      <c r="B45" s="402"/>
      <c r="C45" s="402"/>
      <c r="D45" s="402"/>
      <c r="E45" s="402"/>
      <c r="F45" s="402"/>
      <c r="G45" s="402"/>
      <c r="H45" s="402"/>
      <c r="I45" s="402"/>
      <c r="J45" s="402"/>
      <c r="K45" s="402"/>
      <c r="L45" s="402"/>
      <c r="M45" s="402"/>
      <c r="N45" s="402"/>
      <c r="O45" s="402"/>
    </row>
    <row r="47" spans="2:15" ht="42.75" customHeight="1" x14ac:dyDescent="0.35">
      <c r="B47" s="349" t="s">
        <v>115</v>
      </c>
      <c r="C47" s="350"/>
      <c r="D47" s="410">
        <v>4448</v>
      </c>
      <c r="E47" s="411"/>
      <c r="F47" s="400" t="s">
        <v>103</v>
      </c>
      <c r="G47" s="401"/>
      <c r="I47" s="349" t="s">
        <v>107</v>
      </c>
      <c r="J47" s="350"/>
      <c r="K47" s="412">
        <v>1.2447640010008001E-2</v>
      </c>
      <c r="L47" s="413"/>
      <c r="M47" s="400" t="s">
        <v>102</v>
      </c>
      <c r="N47" s="401"/>
    </row>
    <row r="49" spans="2:21" ht="43.5" customHeight="1" x14ac:dyDescent="0.35">
      <c r="B49" s="349" t="s">
        <v>129</v>
      </c>
      <c r="C49" s="350"/>
      <c r="D49" s="412">
        <v>0.1</v>
      </c>
      <c r="E49" s="413"/>
      <c r="F49" s="400" t="s">
        <v>113</v>
      </c>
      <c r="G49" s="401"/>
      <c r="I49" s="349" t="s">
        <v>116</v>
      </c>
      <c r="J49" s="350"/>
      <c r="K49" s="406">
        <f>K51/24</f>
        <v>7.236250000000001</v>
      </c>
      <c r="L49" s="407"/>
      <c r="M49" s="400" t="s">
        <v>114</v>
      </c>
      <c r="N49" s="401"/>
    </row>
    <row r="50" spans="2:21" ht="15.5" x14ac:dyDescent="0.35">
      <c r="D50" s="42"/>
    </row>
    <row r="51" spans="2:21" ht="51.75" customHeight="1" x14ac:dyDescent="0.35">
      <c r="B51" s="349" t="s">
        <v>127</v>
      </c>
      <c r="C51" s="350"/>
      <c r="D51" s="351">
        <v>0.75</v>
      </c>
      <c r="E51" s="352"/>
      <c r="F51" s="400" t="s">
        <v>113</v>
      </c>
      <c r="G51" s="401"/>
      <c r="I51" s="349" t="s">
        <v>117</v>
      </c>
      <c r="J51" s="350"/>
      <c r="K51" s="406">
        <f>(173.13+174.21)/2</f>
        <v>173.67000000000002</v>
      </c>
      <c r="L51" s="407"/>
      <c r="M51" s="400" t="s">
        <v>106</v>
      </c>
      <c r="N51" s="401"/>
    </row>
    <row r="52" spans="2:21" ht="15.5" x14ac:dyDescent="0.35">
      <c r="D52" s="42"/>
      <c r="E52" s="42"/>
    </row>
    <row r="53" spans="2:21" ht="33.75" customHeight="1" x14ac:dyDescent="0.35">
      <c r="B53" s="349" t="s">
        <v>138</v>
      </c>
      <c r="C53" s="350"/>
      <c r="D53" s="351">
        <v>0.1</v>
      </c>
      <c r="E53" s="352"/>
      <c r="F53" s="400" t="s">
        <v>113</v>
      </c>
      <c r="G53" s="401"/>
      <c r="I53" s="349" t="s">
        <v>128</v>
      </c>
      <c r="J53" s="350"/>
      <c r="K53" s="351">
        <v>0.15</v>
      </c>
      <c r="L53" s="352"/>
      <c r="M53" s="400" t="s">
        <v>113</v>
      </c>
      <c r="N53" s="401"/>
    </row>
    <row r="54" spans="2:21" x14ac:dyDescent="0.35">
      <c r="B54" s="1"/>
      <c r="C54" s="1"/>
    </row>
    <row r="55" spans="2:21" ht="15.5" x14ac:dyDescent="0.35">
      <c r="D55" s="42"/>
      <c r="E55" s="42"/>
    </row>
    <row r="56" spans="2:21" x14ac:dyDescent="0.35">
      <c r="B56" s="402" t="s">
        <v>123</v>
      </c>
      <c r="C56" s="402"/>
      <c r="D56" s="402"/>
      <c r="E56" s="402"/>
      <c r="F56" s="402"/>
      <c r="G56" s="402"/>
      <c r="H56" s="402"/>
      <c r="I56" s="402"/>
      <c r="J56" s="402"/>
      <c r="K56" s="402"/>
      <c r="L56" s="402"/>
      <c r="M56" s="402"/>
      <c r="N56" s="402"/>
      <c r="O56" s="402"/>
      <c r="P56" s="402"/>
      <c r="Q56" s="402"/>
      <c r="R56" s="402"/>
      <c r="S56" s="402"/>
      <c r="T56" s="402"/>
      <c r="U56" s="402"/>
    </row>
    <row r="57" spans="2:21" x14ac:dyDescent="0.35">
      <c r="B57" s="402"/>
      <c r="C57" s="402"/>
      <c r="D57" s="402"/>
      <c r="E57" s="402"/>
      <c r="F57" s="402"/>
      <c r="G57" s="402"/>
      <c r="H57" s="402"/>
      <c r="I57" s="402"/>
      <c r="J57" s="402"/>
      <c r="K57" s="402"/>
      <c r="L57" s="402"/>
      <c r="M57" s="402"/>
      <c r="N57" s="402"/>
      <c r="O57" s="402"/>
      <c r="P57" s="402"/>
      <c r="Q57" s="402"/>
      <c r="R57" s="402"/>
      <c r="S57" s="402"/>
      <c r="T57" s="402"/>
      <c r="U57" s="402"/>
    </row>
    <row r="59" spans="2:21" x14ac:dyDescent="0.35">
      <c r="B59" s="349" t="s">
        <v>4</v>
      </c>
      <c r="C59" s="349"/>
      <c r="D59" s="54" t="s">
        <v>5</v>
      </c>
      <c r="E59" s="54">
        <v>2014</v>
      </c>
      <c r="F59" s="54">
        <v>2015</v>
      </c>
      <c r="G59" s="54">
        <v>2016</v>
      </c>
      <c r="H59" s="54">
        <v>2017</v>
      </c>
      <c r="I59" s="58">
        <v>2018</v>
      </c>
      <c r="J59" s="58">
        <v>2019</v>
      </c>
      <c r="K59" s="54">
        <v>2020</v>
      </c>
      <c r="L59" s="54">
        <v>2021</v>
      </c>
      <c r="M59" s="54">
        <v>2022</v>
      </c>
      <c r="N59" s="54">
        <v>2023</v>
      </c>
      <c r="O59" s="54">
        <v>2024</v>
      </c>
      <c r="P59" s="54">
        <v>2025</v>
      </c>
      <c r="Q59" s="54">
        <v>2026</v>
      </c>
      <c r="R59" s="54">
        <v>2027</v>
      </c>
      <c r="S59" s="54">
        <v>2028</v>
      </c>
      <c r="T59" s="54">
        <v>2029</v>
      </c>
      <c r="U59" s="54">
        <v>2030</v>
      </c>
    </row>
    <row r="60" spans="2:21" x14ac:dyDescent="0.35">
      <c r="B60" s="360" t="s">
        <v>16</v>
      </c>
      <c r="C60" s="360"/>
      <c r="D60" s="50" t="s">
        <v>33</v>
      </c>
      <c r="E60" s="50"/>
      <c r="F60" s="50">
        <f t="shared" ref="F60:P61" si="0">0.1*$D$16</f>
        <v>0.16520000000000001</v>
      </c>
      <c r="G60" s="50">
        <f t="shared" si="0"/>
        <v>0.16520000000000001</v>
      </c>
      <c r="H60" s="50">
        <f t="shared" si="0"/>
        <v>0.16520000000000001</v>
      </c>
      <c r="I60" s="52">
        <f t="shared" si="0"/>
        <v>0.16520000000000001</v>
      </c>
      <c r="J60" s="52">
        <f t="shared" si="0"/>
        <v>0.16520000000000001</v>
      </c>
      <c r="K60" s="50">
        <f t="shared" si="0"/>
        <v>0.16520000000000001</v>
      </c>
      <c r="L60" s="50">
        <f t="shared" si="0"/>
        <v>0.16520000000000001</v>
      </c>
      <c r="M60" s="50">
        <f t="shared" si="0"/>
        <v>0.16520000000000001</v>
      </c>
      <c r="N60" s="50">
        <f t="shared" si="0"/>
        <v>0.16520000000000001</v>
      </c>
      <c r="O60" s="50">
        <f t="shared" si="0"/>
        <v>0.16520000000000001</v>
      </c>
      <c r="P60" s="50">
        <f t="shared" si="0"/>
        <v>0.16520000000000001</v>
      </c>
      <c r="Q60" s="50"/>
      <c r="R60" s="50"/>
      <c r="S60" s="50"/>
      <c r="T60" s="50"/>
      <c r="U60" s="50"/>
    </row>
    <row r="61" spans="2:21" x14ac:dyDescent="0.35">
      <c r="B61" s="361" t="s">
        <v>17</v>
      </c>
      <c r="C61" s="361"/>
      <c r="D61" s="56" t="s">
        <v>33</v>
      </c>
      <c r="E61" s="56"/>
      <c r="F61" s="56">
        <f t="shared" si="0"/>
        <v>0.16520000000000001</v>
      </c>
      <c r="G61" s="56">
        <f t="shared" si="0"/>
        <v>0.16520000000000001</v>
      </c>
      <c r="H61" s="56">
        <f t="shared" si="0"/>
        <v>0.16520000000000001</v>
      </c>
      <c r="I61" s="59">
        <f t="shared" si="0"/>
        <v>0.16520000000000001</v>
      </c>
      <c r="J61" s="59">
        <f t="shared" si="0"/>
        <v>0.16520000000000001</v>
      </c>
      <c r="K61" s="56">
        <f t="shared" si="0"/>
        <v>0.16520000000000001</v>
      </c>
      <c r="L61" s="56">
        <f t="shared" si="0"/>
        <v>0.16520000000000001</v>
      </c>
      <c r="M61" s="56">
        <f t="shared" si="0"/>
        <v>0.16520000000000001</v>
      </c>
      <c r="N61" s="56">
        <f t="shared" si="0"/>
        <v>0.16520000000000001</v>
      </c>
      <c r="O61" s="56">
        <f t="shared" si="0"/>
        <v>0.16520000000000001</v>
      </c>
      <c r="P61" s="56">
        <f t="shared" si="0"/>
        <v>0.16520000000000001</v>
      </c>
      <c r="Q61" s="56"/>
      <c r="R61" s="56"/>
      <c r="S61" s="56"/>
      <c r="T61" s="56"/>
      <c r="U61" s="56"/>
    </row>
    <row r="62" spans="2:21" x14ac:dyDescent="0.35">
      <c r="B62" s="360" t="s">
        <v>18</v>
      </c>
      <c r="C62" s="360"/>
      <c r="D62" s="50" t="s">
        <v>33</v>
      </c>
      <c r="E62" s="50"/>
      <c r="F62" s="50"/>
      <c r="G62" s="50">
        <f t="shared" ref="G62:Q62" si="1">0.1*$D$16</f>
        <v>0.16520000000000001</v>
      </c>
      <c r="H62" s="50">
        <f t="shared" si="1"/>
        <v>0.16520000000000001</v>
      </c>
      <c r="I62" s="52">
        <f t="shared" si="1"/>
        <v>0.16520000000000001</v>
      </c>
      <c r="J62" s="52">
        <f t="shared" si="1"/>
        <v>0.16520000000000001</v>
      </c>
      <c r="K62" s="50">
        <f t="shared" si="1"/>
        <v>0.16520000000000001</v>
      </c>
      <c r="L62" s="50">
        <f t="shared" si="1"/>
        <v>0.16520000000000001</v>
      </c>
      <c r="M62" s="50">
        <f t="shared" si="1"/>
        <v>0.16520000000000001</v>
      </c>
      <c r="N62" s="50">
        <f t="shared" si="1"/>
        <v>0.16520000000000001</v>
      </c>
      <c r="O62" s="50">
        <f t="shared" si="1"/>
        <v>0.16520000000000001</v>
      </c>
      <c r="P62" s="50">
        <f t="shared" si="1"/>
        <v>0.16520000000000001</v>
      </c>
      <c r="Q62" s="50">
        <f t="shared" si="1"/>
        <v>0.16520000000000001</v>
      </c>
      <c r="R62" s="50"/>
      <c r="S62" s="50"/>
      <c r="T62" s="50"/>
      <c r="U62" s="50"/>
    </row>
    <row r="63" spans="2:21" x14ac:dyDescent="0.35">
      <c r="B63" s="361" t="s">
        <v>27</v>
      </c>
      <c r="C63" s="361"/>
      <c r="D63" s="56" t="s">
        <v>33</v>
      </c>
      <c r="E63" s="56"/>
      <c r="F63" s="56"/>
      <c r="G63" s="56"/>
      <c r="H63" s="56">
        <f t="shared" ref="H63:R63" si="2">0.1*$D$16</f>
        <v>0.16520000000000001</v>
      </c>
      <c r="I63" s="59">
        <f t="shared" si="2"/>
        <v>0.16520000000000001</v>
      </c>
      <c r="J63" s="59">
        <f t="shared" si="2"/>
        <v>0.16520000000000001</v>
      </c>
      <c r="K63" s="56">
        <f t="shared" si="2"/>
        <v>0.16520000000000001</v>
      </c>
      <c r="L63" s="56">
        <f t="shared" si="2"/>
        <v>0.16520000000000001</v>
      </c>
      <c r="M63" s="56">
        <f t="shared" si="2"/>
        <v>0.16520000000000001</v>
      </c>
      <c r="N63" s="56">
        <f t="shared" si="2"/>
        <v>0.16520000000000001</v>
      </c>
      <c r="O63" s="56">
        <f t="shared" si="2"/>
        <v>0.16520000000000001</v>
      </c>
      <c r="P63" s="56">
        <f t="shared" si="2"/>
        <v>0.16520000000000001</v>
      </c>
      <c r="Q63" s="56">
        <f t="shared" si="2"/>
        <v>0.16520000000000001</v>
      </c>
      <c r="R63" s="56">
        <f t="shared" si="2"/>
        <v>0.16520000000000001</v>
      </c>
      <c r="S63" s="56"/>
      <c r="T63" s="56"/>
      <c r="U63" s="56"/>
    </row>
    <row r="64" spans="2:21" x14ac:dyDescent="0.35">
      <c r="B64" s="360" t="s">
        <v>28</v>
      </c>
      <c r="C64" s="360"/>
      <c r="D64" s="50" t="s">
        <v>33</v>
      </c>
      <c r="E64" s="50"/>
      <c r="F64" s="50"/>
      <c r="G64" s="50"/>
      <c r="H64" s="50"/>
      <c r="I64" s="52">
        <f t="shared" ref="I64:S64" si="3">0.1*$D$16</f>
        <v>0.16520000000000001</v>
      </c>
      <c r="J64" s="52">
        <f t="shared" si="3"/>
        <v>0.16520000000000001</v>
      </c>
      <c r="K64" s="50">
        <f t="shared" si="3"/>
        <v>0.16520000000000001</v>
      </c>
      <c r="L64" s="50">
        <f t="shared" si="3"/>
        <v>0.16520000000000001</v>
      </c>
      <c r="M64" s="50">
        <f t="shared" si="3"/>
        <v>0.16520000000000001</v>
      </c>
      <c r="N64" s="50">
        <f t="shared" si="3"/>
        <v>0.16520000000000001</v>
      </c>
      <c r="O64" s="50">
        <f t="shared" si="3"/>
        <v>0.16520000000000001</v>
      </c>
      <c r="P64" s="50">
        <f t="shared" si="3"/>
        <v>0.16520000000000001</v>
      </c>
      <c r="Q64" s="50">
        <f t="shared" si="3"/>
        <v>0.16520000000000001</v>
      </c>
      <c r="R64" s="50">
        <f t="shared" si="3"/>
        <v>0.16520000000000001</v>
      </c>
      <c r="S64" s="50">
        <f t="shared" si="3"/>
        <v>0.16520000000000001</v>
      </c>
      <c r="T64" s="50"/>
      <c r="U64" s="50"/>
    </row>
    <row r="65" spans="2:21" x14ac:dyDescent="0.35">
      <c r="B65" s="361" t="s">
        <v>20</v>
      </c>
      <c r="C65" s="361"/>
      <c r="D65" s="56" t="s">
        <v>33</v>
      </c>
      <c r="E65" s="56"/>
      <c r="F65" s="56"/>
      <c r="G65" s="56"/>
      <c r="H65" s="56"/>
      <c r="I65" s="59"/>
      <c r="J65" s="59">
        <f t="shared" ref="J65:T65" si="4">0.1*$D$16</f>
        <v>0.16520000000000001</v>
      </c>
      <c r="K65" s="56">
        <f t="shared" si="4"/>
        <v>0.16520000000000001</v>
      </c>
      <c r="L65" s="56">
        <f t="shared" si="4"/>
        <v>0.16520000000000001</v>
      </c>
      <c r="M65" s="56">
        <f t="shared" si="4"/>
        <v>0.16520000000000001</v>
      </c>
      <c r="N65" s="56">
        <f t="shared" si="4"/>
        <v>0.16520000000000001</v>
      </c>
      <c r="O65" s="56">
        <f t="shared" si="4"/>
        <v>0.16520000000000001</v>
      </c>
      <c r="P65" s="56">
        <f t="shared" si="4"/>
        <v>0.16520000000000001</v>
      </c>
      <c r="Q65" s="56">
        <f t="shared" si="4"/>
        <v>0.16520000000000001</v>
      </c>
      <c r="R65" s="56">
        <f t="shared" si="4"/>
        <v>0.16520000000000001</v>
      </c>
      <c r="S65" s="56">
        <f t="shared" si="4"/>
        <v>0.16520000000000001</v>
      </c>
      <c r="T65" s="56">
        <f t="shared" si="4"/>
        <v>0.16520000000000001</v>
      </c>
      <c r="U65" s="56"/>
    </row>
    <row r="66" spans="2:21" x14ac:dyDescent="0.35">
      <c r="B66" s="360" t="s">
        <v>21</v>
      </c>
      <c r="C66" s="360"/>
      <c r="D66" s="50" t="s">
        <v>33</v>
      </c>
      <c r="E66" s="50"/>
      <c r="F66" s="50"/>
      <c r="G66" s="50"/>
      <c r="H66" s="50"/>
      <c r="I66" s="52"/>
      <c r="J66" s="52"/>
      <c r="K66" s="50"/>
      <c r="L66" s="50"/>
      <c r="M66" s="50"/>
      <c r="N66" s="50"/>
      <c r="O66" s="50"/>
      <c r="P66" s="50"/>
      <c r="Q66" s="50">
        <f t="shared" ref="Q66:U67" si="5">0.2*$D$16</f>
        <v>0.33040000000000003</v>
      </c>
      <c r="R66" s="50">
        <f t="shared" si="5"/>
        <v>0.33040000000000003</v>
      </c>
      <c r="S66" s="50">
        <f t="shared" si="5"/>
        <v>0.33040000000000003</v>
      </c>
      <c r="T66" s="50">
        <f t="shared" si="5"/>
        <v>0.33040000000000003</v>
      </c>
      <c r="U66" s="50">
        <f t="shared" si="5"/>
        <v>0.33040000000000003</v>
      </c>
    </row>
    <row r="67" spans="2:21" x14ac:dyDescent="0.35">
      <c r="B67" s="361" t="s">
        <v>22</v>
      </c>
      <c r="C67" s="361"/>
      <c r="D67" s="56" t="s">
        <v>33</v>
      </c>
      <c r="E67" s="56"/>
      <c r="F67" s="56"/>
      <c r="G67" s="56"/>
      <c r="H67" s="56"/>
      <c r="I67" s="59"/>
      <c r="J67" s="59"/>
      <c r="K67" s="56"/>
      <c r="L67" s="56"/>
      <c r="M67" s="56"/>
      <c r="N67" s="56"/>
      <c r="O67" s="56"/>
      <c r="P67" s="56"/>
      <c r="Q67" s="56">
        <f t="shared" si="5"/>
        <v>0.33040000000000003</v>
      </c>
      <c r="R67" s="56">
        <f t="shared" si="5"/>
        <v>0.33040000000000003</v>
      </c>
      <c r="S67" s="56">
        <f t="shared" si="5"/>
        <v>0.33040000000000003</v>
      </c>
      <c r="T67" s="56">
        <f t="shared" si="5"/>
        <v>0.33040000000000003</v>
      </c>
      <c r="U67" s="56">
        <f t="shared" si="5"/>
        <v>0.33040000000000003</v>
      </c>
    </row>
    <row r="70" spans="2:21" x14ac:dyDescent="0.35">
      <c r="B70" s="402" t="s">
        <v>133</v>
      </c>
      <c r="C70" s="402"/>
      <c r="D70" s="402"/>
      <c r="E70" s="402"/>
      <c r="F70" s="402"/>
      <c r="G70" s="402"/>
      <c r="H70" s="402"/>
      <c r="I70" s="402"/>
      <c r="J70" s="402"/>
      <c r="K70" s="402"/>
      <c r="L70" s="402"/>
      <c r="M70" s="402"/>
      <c r="N70" s="402"/>
      <c r="O70" s="402"/>
      <c r="P70" s="402"/>
      <c r="Q70" s="402"/>
      <c r="R70" s="402"/>
      <c r="S70" s="402"/>
      <c r="T70" s="402"/>
      <c r="U70" s="402"/>
    </row>
    <row r="71" spans="2:21" x14ac:dyDescent="0.35">
      <c r="B71" s="402"/>
      <c r="C71" s="402"/>
      <c r="D71" s="402"/>
      <c r="E71" s="402"/>
      <c r="F71" s="402"/>
      <c r="G71" s="402"/>
      <c r="H71" s="402"/>
      <c r="I71" s="402"/>
      <c r="J71" s="402"/>
      <c r="K71" s="402"/>
      <c r="L71" s="402"/>
      <c r="M71" s="402"/>
      <c r="N71" s="402"/>
      <c r="O71" s="402"/>
      <c r="P71" s="402"/>
      <c r="Q71" s="402"/>
      <c r="R71" s="402"/>
      <c r="S71" s="402"/>
      <c r="T71" s="402"/>
      <c r="U71" s="402"/>
    </row>
    <row r="72" spans="2:21" x14ac:dyDescent="0.35">
      <c r="B72" s="1"/>
      <c r="C72" s="1"/>
      <c r="I72" s="1"/>
      <c r="J72" s="1"/>
    </row>
    <row r="73" spans="2:21" x14ac:dyDescent="0.35">
      <c r="B73" s="353" t="s">
        <v>4</v>
      </c>
      <c r="C73" s="353"/>
      <c r="D73" s="45" t="s">
        <v>5</v>
      </c>
      <c r="E73" s="45" t="s">
        <v>79</v>
      </c>
      <c r="F73" s="45" t="s">
        <v>80</v>
      </c>
      <c r="G73" s="45" t="s">
        <v>81</v>
      </c>
      <c r="H73" s="45" t="s">
        <v>82</v>
      </c>
      <c r="I73" s="45" t="s">
        <v>83</v>
      </c>
      <c r="J73" s="45" t="s">
        <v>84</v>
      </c>
      <c r="K73" s="45" t="s">
        <v>85</v>
      </c>
      <c r="L73" s="45" t="s">
        <v>86</v>
      </c>
      <c r="M73" s="45" t="s">
        <v>87</v>
      </c>
      <c r="N73" s="45" t="s">
        <v>88</v>
      </c>
      <c r="O73" s="45" t="s">
        <v>89</v>
      </c>
      <c r="P73" s="45" t="s">
        <v>90</v>
      </c>
      <c r="Q73" s="45" t="s">
        <v>91</v>
      </c>
    </row>
    <row r="74" spans="2:21" ht="14.5" x14ac:dyDescent="0.35">
      <c r="B74" s="398" t="s">
        <v>92</v>
      </c>
      <c r="C74" s="398"/>
      <c r="D74" s="38" t="s">
        <v>98</v>
      </c>
      <c r="E74" s="41">
        <v>75.415000000000006</v>
      </c>
      <c r="F74" s="41">
        <v>48.06</v>
      </c>
      <c r="G74" s="41">
        <v>37.295000000000002</v>
      </c>
      <c r="H74" s="41">
        <v>54.84</v>
      </c>
      <c r="I74" s="41">
        <v>116.14</v>
      </c>
      <c r="J74" s="41">
        <v>240.73</v>
      </c>
      <c r="K74" s="41">
        <v>254</v>
      </c>
      <c r="L74" s="41">
        <v>259.36</v>
      </c>
      <c r="M74" s="41">
        <v>189.69</v>
      </c>
      <c r="N74" s="41">
        <v>209.34</v>
      </c>
      <c r="O74" s="41">
        <v>232.99</v>
      </c>
      <c r="P74" s="41">
        <v>156.94999999999999</v>
      </c>
      <c r="Q74" s="39" t="s">
        <v>93</v>
      </c>
    </row>
    <row r="75" spans="2:21" x14ac:dyDescent="0.35">
      <c r="B75" s="399" t="s">
        <v>94</v>
      </c>
      <c r="C75" s="399"/>
      <c r="D75" s="28" t="s">
        <v>95</v>
      </c>
      <c r="E75" s="28">
        <v>31</v>
      </c>
      <c r="F75" s="28">
        <v>28</v>
      </c>
      <c r="G75" s="28">
        <v>31</v>
      </c>
      <c r="H75" s="28">
        <v>30</v>
      </c>
      <c r="I75" s="28">
        <v>31</v>
      </c>
      <c r="J75" s="28">
        <v>30</v>
      </c>
      <c r="K75" s="28">
        <v>31</v>
      </c>
      <c r="L75" s="28">
        <v>31</v>
      </c>
      <c r="M75" s="28">
        <v>30</v>
      </c>
      <c r="N75" s="28">
        <v>31</v>
      </c>
      <c r="O75" s="28">
        <v>30</v>
      </c>
      <c r="P75" s="28">
        <v>31</v>
      </c>
      <c r="Q75" s="28" t="s">
        <v>93</v>
      </c>
    </row>
    <row r="76" spans="2:21" ht="30.75" customHeight="1" x14ac:dyDescent="0.35">
      <c r="B76" s="403" t="s">
        <v>112</v>
      </c>
      <c r="C76" s="403"/>
      <c r="D76" s="44" t="s">
        <v>99</v>
      </c>
      <c r="E76" s="41">
        <f t="shared" ref="E76:P76" si="6">E74*$K$24*$D$28/1000</f>
        <v>113.12250000000002</v>
      </c>
      <c r="F76" s="41">
        <f t="shared" si="6"/>
        <v>72.090000000000018</v>
      </c>
      <c r="G76" s="41">
        <f t="shared" si="6"/>
        <v>55.94250000000001</v>
      </c>
      <c r="H76" s="41">
        <f t="shared" si="6"/>
        <v>82.260000000000019</v>
      </c>
      <c r="I76" s="41">
        <f t="shared" si="6"/>
        <v>174.21</v>
      </c>
      <c r="J76" s="41">
        <f t="shared" si="6"/>
        <v>361.09500000000003</v>
      </c>
      <c r="K76" s="41">
        <f t="shared" si="6"/>
        <v>381.00000000000006</v>
      </c>
      <c r="L76" s="41">
        <f t="shared" si="6"/>
        <v>389.04000000000008</v>
      </c>
      <c r="M76" s="41">
        <f t="shared" si="6"/>
        <v>284.53500000000003</v>
      </c>
      <c r="N76" s="41">
        <f t="shared" si="6"/>
        <v>314.01</v>
      </c>
      <c r="O76" s="41">
        <f t="shared" si="6"/>
        <v>349.48500000000007</v>
      </c>
      <c r="P76" s="41">
        <f t="shared" si="6"/>
        <v>235.42500000000001</v>
      </c>
      <c r="Q76" s="39">
        <f>SUM(E76:P76)</f>
        <v>2812.2150000000006</v>
      </c>
    </row>
    <row r="77" spans="2:21" customFormat="1" ht="14.5" x14ac:dyDescent="0.35"/>
    <row r="78" spans="2:21" x14ac:dyDescent="0.35">
      <c r="B78" s="1"/>
      <c r="C78" s="1"/>
      <c r="I78" s="1"/>
      <c r="J78" s="1"/>
    </row>
    <row r="79" spans="2:21" x14ac:dyDescent="0.35">
      <c r="B79" s="353" t="s">
        <v>4</v>
      </c>
      <c r="C79" s="353"/>
      <c r="D79" s="15" t="s">
        <v>5</v>
      </c>
      <c r="E79" s="15">
        <v>2014</v>
      </c>
      <c r="F79" s="15">
        <v>2015</v>
      </c>
      <c r="G79" s="15">
        <v>2016</v>
      </c>
      <c r="H79" s="15">
        <v>2017</v>
      </c>
      <c r="I79" s="15">
        <v>2018</v>
      </c>
      <c r="J79" s="15">
        <v>2019</v>
      </c>
      <c r="K79" s="15">
        <v>2020</v>
      </c>
      <c r="L79" s="15">
        <v>2021</v>
      </c>
      <c r="M79" s="15">
        <v>2022</v>
      </c>
      <c r="N79" s="15">
        <v>2023</v>
      </c>
      <c r="O79" s="15">
        <v>2024</v>
      </c>
      <c r="P79" s="15">
        <v>2025</v>
      </c>
      <c r="Q79" s="15">
        <v>2026</v>
      </c>
      <c r="R79" s="15">
        <v>2027</v>
      </c>
      <c r="S79" s="15">
        <v>2028</v>
      </c>
      <c r="T79" s="15">
        <v>2029</v>
      </c>
      <c r="U79" s="15">
        <v>2030</v>
      </c>
    </row>
    <row r="80" spans="2:21" x14ac:dyDescent="0.35">
      <c r="B80" s="359" t="s">
        <v>36</v>
      </c>
      <c r="C80" s="359"/>
      <c r="D80" s="13" t="s">
        <v>1</v>
      </c>
      <c r="E80" s="71">
        <f>D22*D26</f>
        <v>115050</v>
      </c>
      <c r="F80" s="10"/>
      <c r="G80" s="10"/>
      <c r="H80" s="10"/>
      <c r="I80" s="10"/>
      <c r="J80" s="10"/>
      <c r="K80" s="10"/>
      <c r="L80" s="10"/>
      <c r="M80" s="10"/>
      <c r="N80" s="10"/>
      <c r="O80" s="10"/>
      <c r="P80" s="10"/>
      <c r="Q80" s="10"/>
      <c r="R80" s="10"/>
      <c r="S80" s="10"/>
      <c r="T80" s="10"/>
      <c r="U80" s="10"/>
    </row>
    <row r="81" spans="2:22" x14ac:dyDescent="0.35">
      <c r="B81" s="399" t="s">
        <v>37</v>
      </c>
      <c r="C81" s="399"/>
      <c r="D81" s="17" t="s">
        <v>1</v>
      </c>
      <c r="E81" s="28">
        <f t="shared" ref="E81:U81" si="7">$D$24*$K$26</f>
        <v>1243.75</v>
      </c>
      <c r="F81" s="28">
        <f t="shared" si="7"/>
        <v>1243.75</v>
      </c>
      <c r="G81" s="28">
        <f t="shared" si="7"/>
        <v>1243.75</v>
      </c>
      <c r="H81" s="28">
        <f t="shared" si="7"/>
        <v>1243.75</v>
      </c>
      <c r="I81" s="28">
        <f t="shared" si="7"/>
        <v>1243.75</v>
      </c>
      <c r="J81" s="28">
        <f t="shared" si="7"/>
        <v>1243.75</v>
      </c>
      <c r="K81" s="28">
        <f t="shared" si="7"/>
        <v>1243.75</v>
      </c>
      <c r="L81" s="28">
        <f t="shared" si="7"/>
        <v>1243.75</v>
      </c>
      <c r="M81" s="28">
        <f t="shared" si="7"/>
        <v>1243.75</v>
      </c>
      <c r="N81" s="28">
        <f t="shared" si="7"/>
        <v>1243.75</v>
      </c>
      <c r="O81" s="28">
        <f t="shared" si="7"/>
        <v>1243.75</v>
      </c>
      <c r="P81" s="28">
        <f t="shared" si="7"/>
        <v>1243.75</v>
      </c>
      <c r="Q81" s="28">
        <f t="shared" si="7"/>
        <v>1243.75</v>
      </c>
      <c r="R81" s="28">
        <f t="shared" si="7"/>
        <v>1243.75</v>
      </c>
      <c r="S81" s="28">
        <f t="shared" si="7"/>
        <v>1243.75</v>
      </c>
      <c r="T81" s="28">
        <f t="shared" si="7"/>
        <v>1243.75</v>
      </c>
      <c r="U81" s="28">
        <f t="shared" si="7"/>
        <v>1243.75</v>
      </c>
    </row>
    <row r="82" spans="2:22" x14ac:dyDescent="0.35">
      <c r="B82" s="359" t="s">
        <v>100</v>
      </c>
      <c r="C82" s="359"/>
      <c r="D82" s="36" t="s">
        <v>101</v>
      </c>
      <c r="E82" s="36">
        <v>2</v>
      </c>
      <c r="F82" s="10">
        <v>2</v>
      </c>
      <c r="G82" s="10">
        <v>2</v>
      </c>
      <c r="H82" s="10">
        <v>2</v>
      </c>
      <c r="I82" s="10">
        <v>2</v>
      </c>
      <c r="J82" s="10">
        <v>2</v>
      </c>
      <c r="K82" s="10">
        <v>2</v>
      </c>
      <c r="L82" s="10">
        <v>2</v>
      </c>
      <c r="M82" s="10">
        <v>2</v>
      </c>
      <c r="N82" s="10">
        <v>2</v>
      </c>
      <c r="O82" s="10">
        <v>2</v>
      </c>
      <c r="P82" s="10">
        <v>2</v>
      </c>
      <c r="Q82" s="10">
        <v>2</v>
      </c>
      <c r="R82" s="10">
        <v>2</v>
      </c>
      <c r="S82" s="10">
        <v>2</v>
      </c>
      <c r="T82" s="10">
        <v>2</v>
      </c>
      <c r="U82" s="10">
        <v>2</v>
      </c>
    </row>
    <row r="83" spans="2:22" ht="14.5" x14ac:dyDescent="0.35">
      <c r="B83" s="399" t="s">
        <v>96</v>
      </c>
      <c r="C83" s="399"/>
      <c r="D83" s="28" t="s">
        <v>99</v>
      </c>
      <c r="E83" s="28">
        <f t="shared" ref="E83:U83" si="8">$Q$76</f>
        <v>2812.2150000000006</v>
      </c>
      <c r="F83" s="28">
        <f t="shared" si="8"/>
        <v>2812.2150000000006</v>
      </c>
      <c r="G83" s="28">
        <f t="shared" si="8"/>
        <v>2812.2150000000006</v>
      </c>
      <c r="H83" s="28">
        <f t="shared" si="8"/>
        <v>2812.2150000000006</v>
      </c>
      <c r="I83" s="28">
        <f t="shared" si="8"/>
        <v>2812.2150000000006</v>
      </c>
      <c r="J83" s="28">
        <f t="shared" si="8"/>
        <v>2812.2150000000006</v>
      </c>
      <c r="K83" s="28">
        <f t="shared" si="8"/>
        <v>2812.2150000000006</v>
      </c>
      <c r="L83" s="28">
        <f t="shared" si="8"/>
        <v>2812.2150000000006</v>
      </c>
      <c r="M83" s="28">
        <f t="shared" si="8"/>
        <v>2812.2150000000006</v>
      </c>
      <c r="N83" s="28">
        <f t="shared" si="8"/>
        <v>2812.2150000000006</v>
      </c>
      <c r="O83" s="28">
        <f t="shared" si="8"/>
        <v>2812.2150000000006</v>
      </c>
      <c r="P83" s="28">
        <f t="shared" si="8"/>
        <v>2812.2150000000006</v>
      </c>
      <c r="Q83" s="28">
        <f t="shared" si="8"/>
        <v>2812.2150000000006</v>
      </c>
      <c r="R83" s="28">
        <f t="shared" si="8"/>
        <v>2812.2150000000006</v>
      </c>
      <c r="S83" s="28">
        <f t="shared" si="8"/>
        <v>2812.2150000000006</v>
      </c>
      <c r="T83" s="28">
        <f t="shared" si="8"/>
        <v>2812.2150000000006</v>
      </c>
      <c r="U83" s="28">
        <f t="shared" si="8"/>
        <v>2812.2150000000006</v>
      </c>
    </row>
    <row r="84" spans="2:22" ht="14.5" x14ac:dyDescent="0.35">
      <c r="B84" s="359" t="s">
        <v>97</v>
      </c>
      <c r="C84" s="359"/>
      <c r="D84" s="40" t="s">
        <v>99</v>
      </c>
      <c r="E84" s="10">
        <f t="shared" ref="E84:U84" si="9">E83*E82</f>
        <v>5624.4300000000012</v>
      </c>
      <c r="F84" s="10">
        <f t="shared" si="9"/>
        <v>5624.4300000000012</v>
      </c>
      <c r="G84" s="10">
        <f t="shared" si="9"/>
        <v>5624.4300000000012</v>
      </c>
      <c r="H84" s="10">
        <f t="shared" si="9"/>
        <v>5624.4300000000012</v>
      </c>
      <c r="I84" s="10">
        <f t="shared" si="9"/>
        <v>5624.4300000000012</v>
      </c>
      <c r="J84" s="10">
        <f t="shared" si="9"/>
        <v>5624.4300000000012</v>
      </c>
      <c r="K84" s="10">
        <f t="shared" si="9"/>
        <v>5624.4300000000012</v>
      </c>
      <c r="L84" s="10">
        <f t="shared" si="9"/>
        <v>5624.4300000000012</v>
      </c>
      <c r="M84" s="10">
        <f t="shared" si="9"/>
        <v>5624.4300000000012</v>
      </c>
      <c r="N84" s="10">
        <f t="shared" si="9"/>
        <v>5624.4300000000012</v>
      </c>
      <c r="O84" s="10">
        <f t="shared" si="9"/>
        <v>5624.4300000000012</v>
      </c>
      <c r="P84" s="10">
        <f t="shared" si="9"/>
        <v>5624.4300000000012</v>
      </c>
      <c r="Q84" s="10">
        <f t="shared" si="9"/>
        <v>5624.4300000000012</v>
      </c>
      <c r="R84" s="10">
        <f t="shared" si="9"/>
        <v>5624.4300000000012</v>
      </c>
      <c r="S84" s="10">
        <f t="shared" si="9"/>
        <v>5624.4300000000012</v>
      </c>
      <c r="T84" s="10">
        <f t="shared" si="9"/>
        <v>5624.4300000000012</v>
      </c>
      <c r="U84" s="10">
        <f t="shared" si="9"/>
        <v>5624.4300000000012</v>
      </c>
    </row>
    <row r="87" spans="2:22" x14ac:dyDescent="0.35">
      <c r="B87" s="402" t="s">
        <v>122</v>
      </c>
      <c r="C87" s="402"/>
      <c r="D87" s="402"/>
      <c r="E87" s="402"/>
      <c r="F87" s="402"/>
      <c r="G87" s="402"/>
      <c r="H87" s="402"/>
      <c r="I87" s="402"/>
      <c r="J87" s="402"/>
      <c r="K87" s="402"/>
      <c r="L87" s="402"/>
      <c r="M87" s="402"/>
      <c r="N87" s="402"/>
      <c r="O87" s="402"/>
      <c r="P87" s="402"/>
      <c r="Q87" s="402"/>
      <c r="R87" s="402"/>
      <c r="S87" s="402"/>
      <c r="T87" s="402"/>
      <c r="U87" s="402"/>
    </row>
    <row r="88" spans="2:22" x14ac:dyDescent="0.35">
      <c r="B88" s="402"/>
      <c r="C88" s="402"/>
      <c r="D88" s="402"/>
      <c r="E88" s="402"/>
      <c r="F88" s="402"/>
      <c r="G88" s="402"/>
      <c r="H88" s="402"/>
      <c r="I88" s="402"/>
      <c r="J88" s="402"/>
      <c r="K88" s="402"/>
      <c r="L88" s="402"/>
      <c r="M88" s="402"/>
      <c r="N88" s="402"/>
      <c r="O88" s="402"/>
      <c r="P88" s="402"/>
      <c r="Q88" s="402"/>
      <c r="R88" s="402"/>
      <c r="S88" s="402"/>
      <c r="T88" s="402"/>
      <c r="U88" s="402"/>
    </row>
    <row r="90" spans="2:22" x14ac:dyDescent="0.35">
      <c r="B90" s="349" t="s">
        <v>4</v>
      </c>
      <c r="C90" s="349"/>
      <c r="D90" s="54" t="s">
        <v>5</v>
      </c>
      <c r="E90" s="54">
        <v>2014</v>
      </c>
      <c r="F90" s="54">
        <v>2015</v>
      </c>
      <c r="G90" s="54">
        <v>2016</v>
      </c>
      <c r="H90" s="54">
        <v>2017</v>
      </c>
      <c r="I90" s="58">
        <v>2018</v>
      </c>
      <c r="J90" s="58">
        <v>2019</v>
      </c>
      <c r="K90" s="54">
        <v>2020</v>
      </c>
      <c r="L90" s="54">
        <v>2021</v>
      </c>
      <c r="M90" s="54">
        <v>2022</v>
      </c>
      <c r="N90" s="54">
        <v>2023</v>
      </c>
      <c r="O90" s="54">
        <v>2024</v>
      </c>
      <c r="P90" s="54">
        <v>2025</v>
      </c>
      <c r="Q90" s="54">
        <v>2026</v>
      </c>
      <c r="R90" s="54">
        <v>2027</v>
      </c>
      <c r="S90" s="54">
        <v>2028</v>
      </c>
      <c r="T90" s="54">
        <v>2029</v>
      </c>
      <c r="U90" s="54">
        <v>2030</v>
      </c>
      <c r="V90" s="53"/>
    </row>
    <row r="91" spans="2:22" x14ac:dyDescent="0.35">
      <c r="B91" s="360" t="s">
        <v>67</v>
      </c>
      <c r="C91" s="360"/>
      <c r="E91" s="50">
        <v>2</v>
      </c>
      <c r="F91" s="50">
        <v>2</v>
      </c>
      <c r="G91" s="50">
        <v>2</v>
      </c>
      <c r="H91" s="50">
        <v>2</v>
      </c>
      <c r="I91" s="52"/>
      <c r="J91" s="52"/>
      <c r="K91" s="50"/>
      <c r="L91" s="50"/>
      <c r="M91" s="50"/>
      <c r="N91" s="50"/>
      <c r="O91" s="50"/>
      <c r="P91" s="50"/>
      <c r="Q91" s="50"/>
      <c r="R91" s="50"/>
      <c r="S91" s="50"/>
      <c r="T91" s="50"/>
      <c r="U91" s="50"/>
    </row>
    <row r="92" spans="2:22" x14ac:dyDescent="0.35">
      <c r="B92" s="361" t="s">
        <v>66</v>
      </c>
      <c r="C92" s="361"/>
      <c r="D92" s="56"/>
      <c r="E92" s="56">
        <f>E91</f>
        <v>2</v>
      </c>
      <c r="F92" s="56">
        <f t="shared" ref="F92:U92" si="10">E92+F91</f>
        <v>4</v>
      </c>
      <c r="G92" s="56">
        <f t="shared" si="10"/>
        <v>6</v>
      </c>
      <c r="H92" s="56">
        <f t="shared" si="10"/>
        <v>8</v>
      </c>
      <c r="I92" s="59">
        <f t="shared" si="10"/>
        <v>8</v>
      </c>
      <c r="J92" s="59">
        <f t="shared" si="10"/>
        <v>8</v>
      </c>
      <c r="K92" s="56">
        <f t="shared" si="10"/>
        <v>8</v>
      </c>
      <c r="L92" s="56">
        <f t="shared" si="10"/>
        <v>8</v>
      </c>
      <c r="M92" s="56">
        <f t="shared" si="10"/>
        <v>8</v>
      </c>
      <c r="N92" s="56">
        <f t="shared" si="10"/>
        <v>8</v>
      </c>
      <c r="O92" s="56">
        <f t="shared" si="10"/>
        <v>8</v>
      </c>
      <c r="P92" s="56">
        <f t="shared" si="10"/>
        <v>8</v>
      </c>
      <c r="Q92" s="56">
        <f t="shared" si="10"/>
        <v>8</v>
      </c>
      <c r="R92" s="56">
        <f t="shared" si="10"/>
        <v>8</v>
      </c>
      <c r="S92" s="56">
        <f t="shared" si="10"/>
        <v>8</v>
      </c>
      <c r="T92" s="56">
        <f t="shared" si="10"/>
        <v>8</v>
      </c>
      <c r="U92" s="56">
        <f t="shared" si="10"/>
        <v>8</v>
      </c>
    </row>
    <row r="93" spans="2:22" s="86" customFormat="1" x14ac:dyDescent="0.35">
      <c r="B93" s="87"/>
      <c r="C93" s="87"/>
      <c r="E93" s="86">
        <v>2</v>
      </c>
      <c r="F93" s="86">
        <f>E93+1</f>
        <v>3</v>
      </c>
      <c r="G93" s="86">
        <f t="shared" ref="G93:U93" si="11">F93+1</f>
        <v>4</v>
      </c>
      <c r="H93" s="86">
        <f t="shared" si="11"/>
        <v>5</v>
      </c>
      <c r="I93" s="86">
        <f t="shared" si="11"/>
        <v>6</v>
      </c>
      <c r="J93" s="86">
        <f t="shared" si="11"/>
        <v>7</v>
      </c>
      <c r="K93" s="86">
        <f t="shared" si="11"/>
        <v>8</v>
      </c>
      <c r="L93" s="86">
        <f t="shared" si="11"/>
        <v>9</v>
      </c>
      <c r="M93" s="86">
        <f t="shared" si="11"/>
        <v>10</v>
      </c>
      <c r="N93" s="86">
        <f t="shared" si="11"/>
        <v>11</v>
      </c>
      <c r="O93" s="86">
        <f t="shared" si="11"/>
        <v>12</v>
      </c>
      <c r="P93" s="86">
        <f t="shared" si="11"/>
        <v>13</v>
      </c>
      <c r="Q93" s="86">
        <f t="shared" si="11"/>
        <v>14</v>
      </c>
      <c r="R93" s="86">
        <f t="shared" si="11"/>
        <v>15</v>
      </c>
      <c r="S93" s="86">
        <f t="shared" si="11"/>
        <v>16</v>
      </c>
      <c r="T93" s="86">
        <f t="shared" si="11"/>
        <v>17</v>
      </c>
      <c r="U93" s="86">
        <f t="shared" si="11"/>
        <v>18</v>
      </c>
    </row>
    <row r="94" spans="2:22" s="86" customFormat="1" x14ac:dyDescent="0.35">
      <c r="B94" s="87"/>
      <c r="C94" s="87"/>
      <c r="E94" s="86">
        <v>7</v>
      </c>
      <c r="F94" s="88">
        <f t="shared" ref="F94:U94" si="12">E94+1</f>
        <v>8</v>
      </c>
      <c r="G94" s="88">
        <f t="shared" si="12"/>
        <v>9</v>
      </c>
      <c r="H94" s="88">
        <f t="shared" si="12"/>
        <v>10</v>
      </c>
      <c r="I94" s="89">
        <f t="shared" si="12"/>
        <v>11</v>
      </c>
      <c r="J94" s="89">
        <f t="shared" si="12"/>
        <v>12</v>
      </c>
      <c r="K94" s="88">
        <f t="shared" si="12"/>
        <v>13</v>
      </c>
      <c r="L94" s="88">
        <f t="shared" si="12"/>
        <v>14</v>
      </c>
      <c r="M94" s="88">
        <f t="shared" si="12"/>
        <v>15</v>
      </c>
      <c r="N94" s="88">
        <f t="shared" si="12"/>
        <v>16</v>
      </c>
      <c r="O94" s="88">
        <f t="shared" si="12"/>
        <v>17</v>
      </c>
      <c r="P94" s="88">
        <f t="shared" si="12"/>
        <v>18</v>
      </c>
      <c r="Q94" s="88">
        <f t="shared" si="12"/>
        <v>19</v>
      </c>
      <c r="R94" s="88">
        <f t="shared" si="12"/>
        <v>20</v>
      </c>
      <c r="S94" s="88">
        <f t="shared" si="12"/>
        <v>21</v>
      </c>
      <c r="T94" s="88">
        <f t="shared" si="12"/>
        <v>22</v>
      </c>
      <c r="U94" s="88">
        <f t="shared" si="12"/>
        <v>23</v>
      </c>
      <c r="V94" s="88"/>
    </row>
    <row r="95" spans="2:22" x14ac:dyDescent="0.35">
      <c r="B95" s="402" t="s">
        <v>121</v>
      </c>
      <c r="C95" s="402"/>
      <c r="D95" s="402"/>
      <c r="E95" s="402"/>
      <c r="F95" s="402"/>
      <c r="G95" s="402"/>
      <c r="H95" s="402"/>
      <c r="I95" s="402"/>
      <c r="J95" s="402"/>
      <c r="K95" s="402"/>
      <c r="L95" s="402"/>
      <c r="M95" s="402"/>
      <c r="N95" s="402"/>
      <c r="O95" s="402"/>
      <c r="P95" s="402"/>
      <c r="Q95" s="402"/>
      <c r="R95" s="402"/>
      <c r="S95" s="402"/>
      <c r="T95" s="402"/>
      <c r="U95" s="402"/>
    </row>
    <row r="96" spans="2:22" x14ac:dyDescent="0.35">
      <c r="B96" s="402"/>
      <c r="C96" s="402"/>
      <c r="D96" s="402"/>
      <c r="E96" s="402"/>
      <c r="F96" s="402"/>
      <c r="G96" s="402"/>
      <c r="H96" s="402"/>
      <c r="I96" s="402"/>
      <c r="J96" s="402"/>
      <c r="K96" s="402"/>
      <c r="L96" s="402"/>
      <c r="M96" s="402"/>
      <c r="N96" s="402"/>
      <c r="O96" s="402"/>
      <c r="P96" s="402"/>
      <c r="Q96" s="402"/>
      <c r="R96" s="402"/>
      <c r="S96" s="402"/>
      <c r="T96" s="402"/>
      <c r="U96" s="402"/>
    </row>
    <row r="97" spans="1:22" s="34" customFormat="1" x14ac:dyDescent="0.35">
      <c r="B97" s="85"/>
      <c r="C97" s="85"/>
      <c r="D97" s="85"/>
      <c r="E97" s="85"/>
      <c r="F97" s="85"/>
      <c r="G97" s="85"/>
      <c r="H97" s="85"/>
      <c r="I97" s="85"/>
      <c r="J97" s="85"/>
      <c r="K97" s="85"/>
      <c r="L97" s="85"/>
      <c r="M97" s="85"/>
      <c r="N97" s="85"/>
      <c r="O97" s="85"/>
      <c r="P97" s="85"/>
      <c r="Q97" s="85"/>
      <c r="R97" s="85"/>
      <c r="S97" s="85"/>
      <c r="T97" s="85"/>
      <c r="U97" s="85"/>
    </row>
    <row r="98" spans="1:22" x14ac:dyDescent="0.35">
      <c r="B98" s="349" t="s">
        <v>4</v>
      </c>
      <c r="C98" s="349"/>
      <c r="D98" s="54" t="s">
        <v>5</v>
      </c>
      <c r="E98" s="54">
        <v>2014</v>
      </c>
      <c r="F98" s="54">
        <v>2015</v>
      </c>
      <c r="G98" s="54">
        <v>2016</v>
      </c>
      <c r="H98" s="54">
        <v>2017</v>
      </c>
      <c r="I98" s="58">
        <v>2018</v>
      </c>
      <c r="J98" s="58">
        <v>2019</v>
      </c>
      <c r="K98" s="54">
        <v>2020</v>
      </c>
      <c r="L98" s="54">
        <v>2021</v>
      </c>
      <c r="M98" s="54">
        <v>2022</v>
      </c>
      <c r="N98" s="54">
        <v>2023</v>
      </c>
      <c r="O98" s="54">
        <v>2024</v>
      </c>
      <c r="P98" s="54">
        <v>2025</v>
      </c>
      <c r="Q98" s="54">
        <v>2026</v>
      </c>
      <c r="R98" s="54">
        <v>2027</v>
      </c>
      <c r="S98" s="54">
        <v>2028</v>
      </c>
      <c r="T98" s="54">
        <v>2029</v>
      </c>
      <c r="U98" s="54">
        <v>2030</v>
      </c>
      <c r="V98" s="53"/>
    </row>
    <row r="99" spans="1:22" x14ac:dyDescent="0.35">
      <c r="B99" s="360" t="s">
        <v>104</v>
      </c>
      <c r="C99" s="360"/>
      <c r="D99" s="50" t="s">
        <v>105</v>
      </c>
      <c r="E99" s="11">
        <f t="shared" ref="E99:U99" si="13">$D$47*(1+$K$47)^E93</f>
        <v>4559.4233952926406</v>
      </c>
      <c r="F99" s="11">
        <f t="shared" si="13"/>
        <v>4616.1774563704512</v>
      </c>
      <c r="G99" s="11">
        <f t="shared" si="13"/>
        <v>4673.6379715696648</v>
      </c>
      <c r="H99" s="11">
        <f t="shared" si="13"/>
        <v>4731.8137345768682</v>
      </c>
      <c r="I99" s="11">
        <f t="shared" si="13"/>
        <v>4790.7136485392921</v>
      </c>
      <c r="J99" s="11">
        <f t="shared" si="13"/>
        <v>4850.3467274273407</v>
      </c>
      <c r="K99" s="11">
        <f t="shared" si="13"/>
        <v>4910.7220974140773</v>
      </c>
      <c r="L99" s="11">
        <f t="shared" si="13"/>
        <v>4971.8489982718784</v>
      </c>
      <c r="M99" s="11">
        <f t="shared" si="13"/>
        <v>5033.7367847864862</v>
      </c>
      <c r="N99" s="11">
        <f t="shared" si="13"/>
        <v>5096.3949281886426</v>
      </c>
      <c r="O99" s="11">
        <f t="shared" si="13"/>
        <v>5159.8330176035661</v>
      </c>
      <c r="P99" s="11">
        <f t="shared" si="13"/>
        <v>5224.060761518449</v>
      </c>
      <c r="Q99" s="11">
        <f t="shared" si="13"/>
        <v>5289.0879892682378</v>
      </c>
      <c r="R99" s="11">
        <f t="shared" si="13"/>
        <v>5354.9246525399049</v>
      </c>
      <c r="S99" s="11">
        <f t="shared" si="13"/>
        <v>5421.5808268954397</v>
      </c>
      <c r="T99" s="11">
        <f t="shared" si="13"/>
        <v>5489.0667133137958</v>
      </c>
      <c r="U99" s="11">
        <f t="shared" si="13"/>
        <v>5557.3926397520427</v>
      </c>
      <c r="V99" s="48"/>
    </row>
    <row r="100" spans="1:22" ht="14.5" x14ac:dyDescent="0.35">
      <c r="B100" s="361" t="s">
        <v>118</v>
      </c>
      <c r="C100" s="361"/>
      <c r="D100" s="56" t="s">
        <v>108</v>
      </c>
      <c r="E100" s="49">
        <f>(($K$49)*E94)</f>
        <v>50.653750000000009</v>
      </c>
      <c r="F100" s="49">
        <f t="shared" ref="F100:U100" si="14">(($K$49)*F94)</f>
        <v>57.890000000000008</v>
      </c>
      <c r="G100" s="49">
        <f t="shared" si="14"/>
        <v>65.126250000000013</v>
      </c>
      <c r="H100" s="49">
        <f t="shared" si="14"/>
        <v>72.362500000000011</v>
      </c>
      <c r="I100" s="49">
        <f t="shared" si="14"/>
        <v>79.59875000000001</v>
      </c>
      <c r="J100" s="49">
        <f t="shared" si="14"/>
        <v>86.835000000000008</v>
      </c>
      <c r="K100" s="49">
        <f t="shared" si="14"/>
        <v>94.071250000000006</v>
      </c>
      <c r="L100" s="49">
        <f t="shared" si="14"/>
        <v>101.30750000000002</v>
      </c>
      <c r="M100" s="49">
        <f t="shared" si="14"/>
        <v>108.54375000000002</v>
      </c>
      <c r="N100" s="49">
        <f t="shared" si="14"/>
        <v>115.78000000000002</v>
      </c>
      <c r="O100" s="49">
        <f t="shared" si="14"/>
        <v>123.01625000000001</v>
      </c>
      <c r="P100" s="49">
        <f t="shared" si="14"/>
        <v>130.25250000000003</v>
      </c>
      <c r="Q100" s="49">
        <f t="shared" si="14"/>
        <v>137.48875000000001</v>
      </c>
      <c r="R100" s="49">
        <f t="shared" si="14"/>
        <v>144.72500000000002</v>
      </c>
      <c r="S100" s="49">
        <f t="shared" si="14"/>
        <v>151.96125000000001</v>
      </c>
      <c r="T100" s="49">
        <f t="shared" si="14"/>
        <v>159.19750000000002</v>
      </c>
      <c r="U100" s="49">
        <f t="shared" si="14"/>
        <v>166.43375000000003</v>
      </c>
      <c r="V100"/>
    </row>
    <row r="101" spans="1:22" x14ac:dyDescent="0.35">
      <c r="B101" s="360" t="s">
        <v>119</v>
      </c>
      <c r="C101" s="360"/>
      <c r="D101" s="50" t="s">
        <v>75</v>
      </c>
      <c r="E101" s="10">
        <f t="shared" ref="E101:U101" si="15">E100*E99</f>
        <v>230951.89280930464</v>
      </c>
      <c r="F101" s="10">
        <f t="shared" si="15"/>
        <v>267230.51294928545</v>
      </c>
      <c r="G101" s="10">
        <f t="shared" si="15"/>
        <v>304376.51494593895</v>
      </c>
      <c r="H101" s="10">
        <f t="shared" si="15"/>
        <v>342405.87136831868</v>
      </c>
      <c r="I101" s="62">
        <f t="shared" si="15"/>
        <v>381334.81803166703</v>
      </c>
      <c r="J101" s="62">
        <f t="shared" si="15"/>
        <v>421179.85807615315</v>
      </c>
      <c r="K101" s="10">
        <f t="shared" si="15"/>
        <v>461957.76610636403</v>
      </c>
      <c r="L101" s="10">
        <f t="shared" si="15"/>
        <v>503685.59239242843</v>
      </c>
      <c r="M101" s="10">
        <f t="shared" si="15"/>
        <v>546380.6671336682</v>
      </c>
      <c r="N101" s="10">
        <f t="shared" si="15"/>
        <v>590060.60478568112</v>
      </c>
      <c r="O101" s="10">
        <f t="shared" si="15"/>
        <v>634743.30845177476</v>
      </c>
      <c r="P101" s="10">
        <f t="shared" si="15"/>
        <v>680446.97433968191</v>
      </c>
      <c r="Q101" s="10">
        <f t="shared" si="15"/>
        <v>727190.09628450347</v>
      </c>
      <c r="R101" s="10">
        <f t="shared" si="15"/>
        <v>774991.47033883783</v>
      </c>
      <c r="S101" s="10">
        <f t="shared" si="15"/>
        <v>823870.19943106466</v>
      </c>
      <c r="T101" s="10">
        <f t="shared" si="15"/>
        <v>873845.69809277309</v>
      </c>
      <c r="U101" s="10">
        <f t="shared" si="15"/>
        <v>924937.69725633168</v>
      </c>
      <c r="V101" s="11"/>
    </row>
    <row r="102" spans="1:22" s="34" customFormat="1" x14ac:dyDescent="0.35">
      <c r="B102" s="348"/>
      <c r="C102" s="348"/>
      <c r="D102" s="78"/>
      <c r="E102" s="78"/>
      <c r="F102" s="78"/>
      <c r="G102" s="78"/>
      <c r="H102" s="78"/>
      <c r="I102" s="79"/>
      <c r="J102" s="79"/>
      <c r="K102" s="78"/>
      <c r="L102" s="78"/>
      <c r="M102" s="78"/>
      <c r="N102" s="78"/>
      <c r="O102" s="78"/>
      <c r="P102" s="78"/>
      <c r="Q102" s="78"/>
      <c r="R102" s="78"/>
      <c r="S102" s="78"/>
      <c r="T102" s="78"/>
      <c r="U102" s="78"/>
    </row>
    <row r="104" spans="1:22" x14ac:dyDescent="0.35">
      <c r="B104" s="402" t="s">
        <v>139</v>
      </c>
      <c r="C104" s="402"/>
      <c r="D104" s="402"/>
      <c r="E104" s="402"/>
      <c r="F104" s="402"/>
      <c r="G104" s="402"/>
      <c r="H104" s="402"/>
      <c r="I104" s="402"/>
      <c r="J104" s="402"/>
      <c r="K104" s="402"/>
      <c r="L104" s="402"/>
      <c r="M104" s="402"/>
      <c r="N104" s="402"/>
      <c r="O104" s="402"/>
      <c r="P104" s="402"/>
      <c r="Q104" s="402"/>
      <c r="R104" s="402"/>
      <c r="S104" s="402"/>
      <c r="T104" s="402"/>
      <c r="U104" s="402"/>
    </row>
    <row r="105" spans="1:22" x14ac:dyDescent="0.35">
      <c r="B105" s="402"/>
      <c r="C105" s="402"/>
      <c r="D105" s="402"/>
      <c r="E105" s="402"/>
      <c r="F105" s="402"/>
      <c r="G105" s="402"/>
      <c r="H105" s="402"/>
      <c r="I105" s="402"/>
      <c r="J105" s="402"/>
      <c r="K105" s="402"/>
      <c r="L105" s="402"/>
      <c r="M105" s="402"/>
      <c r="N105" s="402"/>
      <c r="O105" s="402"/>
      <c r="P105" s="402"/>
      <c r="Q105" s="402"/>
      <c r="R105" s="402"/>
      <c r="S105" s="402"/>
      <c r="T105" s="402"/>
      <c r="U105" s="402"/>
    </row>
    <row r="107" spans="1:22" ht="15" customHeight="1" x14ac:dyDescent="0.35">
      <c r="A107" s="3"/>
      <c r="B107" s="368" t="s">
        <v>45</v>
      </c>
      <c r="C107" s="370" t="s">
        <v>7</v>
      </c>
      <c r="D107" s="370"/>
      <c r="E107" s="54">
        <v>2014</v>
      </c>
      <c r="F107" s="54">
        <v>2015</v>
      </c>
      <c r="G107" s="54">
        <v>2016</v>
      </c>
      <c r="H107" s="54">
        <v>2017</v>
      </c>
      <c r="I107" s="58">
        <v>2018</v>
      </c>
      <c r="J107" s="58">
        <v>2019</v>
      </c>
      <c r="K107" s="54">
        <v>2020</v>
      </c>
      <c r="L107" s="54">
        <v>2021</v>
      </c>
      <c r="M107" s="54">
        <v>2022</v>
      </c>
      <c r="N107" s="54">
        <v>2023</v>
      </c>
      <c r="O107" s="54">
        <v>2024</v>
      </c>
      <c r="P107" s="54">
        <v>2025</v>
      </c>
      <c r="Q107" s="54">
        <v>2026</v>
      </c>
      <c r="R107" s="54">
        <v>2027</v>
      </c>
      <c r="S107" s="54">
        <v>2028</v>
      </c>
      <c r="T107" s="54">
        <v>2029</v>
      </c>
      <c r="U107" s="55">
        <v>2030</v>
      </c>
    </row>
    <row r="108" spans="1:22" ht="15" customHeight="1" x14ac:dyDescent="0.35">
      <c r="A108" s="3"/>
      <c r="B108" s="369"/>
      <c r="C108" s="371"/>
      <c r="D108" s="371"/>
      <c r="E108" s="57">
        <v>0</v>
      </c>
      <c r="F108" s="57">
        <v>1</v>
      </c>
      <c r="G108" s="57">
        <v>2</v>
      </c>
      <c r="H108" s="57">
        <v>3</v>
      </c>
      <c r="I108" s="64">
        <v>4</v>
      </c>
      <c r="J108" s="64">
        <v>5</v>
      </c>
      <c r="K108" s="57">
        <v>6</v>
      </c>
      <c r="L108" s="57">
        <v>7</v>
      </c>
      <c r="M108" s="57">
        <v>8</v>
      </c>
      <c r="N108" s="57">
        <v>9</v>
      </c>
      <c r="O108" s="57">
        <v>10</v>
      </c>
      <c r="P108" s="57">
        <v>11</v>
      </c>
      <c r="Q108" s="57">
        <v>12</v>
      </c>
      <c r="R108" s="57">
        <v>13</v>
      </c>
      <c r="S108" s="57">
        <v>14</v>
      </c>
      <c r="T108" s="57">
        <v>15</v>
      </c>
      <c r="U108" s="57">
        <v>16</v>
      </c>
    </row>
    <row r="109" spans="1:22" x14ac:dyDescent="0.35">
      <c r="A109" s="25"/>
      <c r="B109" s="387" t="s">
        <v>12</v>
      </c>
      <c r="C109" s="404" t="s">
        <v>15</v>
      </c>
      <c r="D109" s="405"/>
      <c r="E109" s="23">
        <v>100000</v>
      </c>
      <c r="F109" s="23"/>
      <c r="G109" s="23"/>
      <c r="H109" s="23"/>
      <c r="I109" s="23"/>
      <c r="J109" s="23"/>
      <c r="K109" s="23"/>
      <c r="L109" s="23"/>
      <c r="M109" s="23"/>
      <c r="N109" s="23"/>
      <c r="O109" s="23"/>
      <c r="P109" s="23"/>
      <c r="Q109" s="23"/>
      <c r="R109" s="23"/>
      <c r="S109" s="23"/>
      <c r="T109" s="23"/>
      <c r="U109" s="24"/>
    </row>
    <row r="110" spans="1:22" x14ac:dyDescent="0.35">
      <c r="A110" s="25"/>
      <c r="B110" s="388"/>
      <c r="C110" s="346" t="s">
        <v>16</v>
      </c>
      <c r="D110" s="347"/>
      <c r="E110" s="23">
        <f t="shared" ref="E110:U110" si="16">E60*$D$8</f>
        <v>0</v>
      </c>
      <c r="F110" s="23">
        <f t="shared" si="16"/>
        <v>244.92056400000001</v>
      </c>
      <c r="G110" s="23">
        <f t="shared" si="16"/>
        <v>244.92056400000001</v>
      </c>
      <c r="H110" s="23">
        <f t="shared" si="16"/>
        <v>244.92056400000001</v>
      </c>
      <c r="I110" s="23">
        <f t="shared" si="16"/>
        <v>244.92056400000001</v>
      </c>
      <c r="J110" s="23">
        <f t="shared" si="16"/>
        <v>244.92056400000001</v>
      </c>
      <c r="K110" s="23">
        <f t="shared" si="16"/>
        <v>244.92056400000001</v>
      </c>
      <c r="L110" s="23">
        <f t="shared" si="16"/>
        <v>244.92056400000001</v>
      </c>
      <c r="M110" s="23">
        <f t="shared" si="16"/>
        <v>244.92056400000001</v>
      </c>
      <c r="N110" s="23">
        <f t="shared" si="16"/>
        <v>244.92056400000001</v>
      </c>
      <c r="O110" s="23">
        <f t="shared" si="16"/>
        <v>244.92056400000001</v>
      </c>
      <c r="P110" s="23">
        <f t="shared" si="16"/>
        <v>244.92056400000001</v>
      </c>
      <c r="Q110" s="23">
        <f t="shared" si="16"/>
        <v>0</v>
      </c>
      <c r="R110" s="23">
        <f t="shared" si="16"/>
        <v>0</v>
      </c>
      <c r="S110" s="23">
        <f t="shared" si="16"/>
        <v>0</v>
      </c>
      <c r="T110" s="23">
        <f t="shared" si="16"/>
        <v>0</v>
      </c>
      <c r="U110" s="24">
        <f t="shared" si="16"/>
        <v>0</v>
      </c>
    </row>
    <row r="111" spans="1:22" x14ac:dyDescent="0.35">
      <c r="A111" s="25"/>
      <c r="B111" s="388"/>
      <c r="C111" s="344" t="s">
        <v>17</v>
      </c>
      <c r="D111" s="345"/>
      <c r="E111" s="23">
        <f t="shared" ref="E111:U111" si="17">E62*$D$10</f>
        <v>0</v>
      </c>
      <c r="F111" s="23">
        <f t="shared" si="17"/>
        <v>0</v>
      </c>
      <c r="G111" s="23">
        <f t="shared" si="17"/>
        <v>10371.589704</v>
      </c>
      <c r="H111" s="23">
        <f t="shared" si="17"/>
        <v>10371.589704</v>
      </c>
      <c r="I111" s="23">
        <f t="shared" si="17"/>
        <v>10371.589704</v>
      </c>
      <c r="J111" s="23">
        <f t="shared" si="17"/>
        <v>10371.589704</v>
      </c>
      <c r="K111" s="23">
        <f t="shared" si="17"/>
        <v>10371.589704</v>
      </c>
      <c r="L111" s="23">
        <f t="shared" si="17"/>
        <v>10371.589704</v>
      </c>
      <c r="M111" s="23">
        <f t="shared" si="17"/>
        <v>10371.589704</v>
      </c>
      <c r="N111" s="23">
        <f t="shared" si="17"/>
        <v>10371.589704</v>
      </c>
      <c r="O111" s="23">
        <f t="shared" si="17"/>
        <v>10371.589704</v>
      </c>
      <c r="P111" s="23">
        <f t="shared" si="17"/>
        <v>10371.589704</v>
      </c>
      <c r="Q111" s="23">
        <f t="shared" si="17"/>
        <v>10371.589704</v>
      </c>
      <c r="R111" s="23">
        <f t="shared" si="17"/>
        <v>0</v>
      </c>
      <c r="S111" s="23">
        <f t="shared" si="17"/>
        <v>0</v>
      </c>
      <c r="T111" s="23">
        <f t="shared" si="17"/>
        <v>0</v>
      </c>
      <c r="U111" s="24">
        <f t="shared" si="17"/>
        <v>0</v>
      </c>
    </row>
    <row r="112" spans="1:22" x14ac:dyDescent="0.35">
      <c r="A112" s="25"/>
      <c r="B112" s="388"/>
      <c r="C112" s="344" t="s">
        <v>18</v>
      </c>
      <c r="D112" s="345"/>
      <c r="E112" s="23">
        <f t="shared" ref="E112:U112" si="18">E62*$D$12</f>
        <v>0</v>
      </c>
      <c r="F112" s="23">
        <f t="shared" si="18"/>
        <v>0</v>
      </c>
      <c r="G112" s="23">
        <f t="shared" si="18"/>
        <v>12445.908636</v>
      </c>
      <c r="H112" s="23">
        <f t="shared" si="18"/>
        <v>12445.908636</v>
      </c>
      <c r="I112" s="23">
        <f t="shared" si="18"/>
        <v>12445.908636</v>
      </c>
      <c r="J112" s="23">
        <f t="shared" si="18"/>
        <v>12445.908636</v>
      </c>
      <c r="K112" s="23">
        <f t="shared" si="18"/>
        <v>12445.908636</v>
      </c>
      <c r="L112" s="23">
        <f t="shared" si="18"/>
        <v>12445.908636</v>
      </c>
      <c r="M112" s="23">
        <f t="shared" si="18"/>
        <v>12445.908636</v>
      </c>
      <c r="N112" s="23">
        <f t="shared" si="18"/>
        <v>12445.908636</v>
      </c>
      <c r="O112" s="23">
        <f t="shared" si="18"/>
        <v>12445.908636</v>
      </c>
      <c r="P112" s="23">
        <f t="shared" si="18"/>
        <v>12445.908636</v>
      </c>
      <c r="Q112" s="23">
        <f t="shared" si="18"/>
        <v>12445.908636</v>
      </c>
      <c r="R112" s="23">
        <f t="shared" si="18"/>
        <v>0</v>
      </c>
      <c r="S112" s="23">
        <f t="shared" si="18"/>
        <v>0</v>
      </c>
      <c r="T112" s="23">
        <f t="shared" si="18"/>
        <v>0</v>
      </c>
      <c r="U112" s="24">
        <f t="shared" si="18"/>
        <v>0</v>
      </c>
    </row>
    <row r="113" spans="1:21" x14ac:dyDescent="0.35">
      <c r="A113" s="25"/>
      <c r="B113" s="388"/>
      <c r="C113" s="344" t="s">
        <v>38</v>
      </c>
      <c r="D113" s="345"/>
      <c r="E113" s="23">
        <f t="shared" ref="E113:U113" si="19">E63*$D$14</f>
        <v>0</v>
      </c>
      <c r="F113" s="23">
        <f t="shared" si="19"/>
        <v>0</v>
      </c>
      <c r="G113" s="23">
        <f t="shared" si="19"/>
        <v>0</v>
      </c>
      <c r="H113" s="23">
        <f t="shared" si="19"/>
        <v>304343.413696</v>
      </c>
      <c r="I113" s="23">
        <f t="shared" si="19"/>
        <v>304343.413696</v>
      </c>
      <c r="J113" s="23">
        <f t="shared" si="19"/>
        <v>304343.413696</v>
      </c>
      <c r="K113" s="23">
        <f t="shared" si="19"/>
        <v>304343.413696</v>
      </c>
      <c r="L113" s="23">
        <f t="shared" si="19"/>
        <v>304343.413696</v>
      </c>
      <c r="M113" s="23">
        <f t="shared" si="19"/>
        <v>304343.413696</v>
      </c>
      <c r="N113" s="23">
        <f t="shared" si="19"/>
        <v>304343.413696</v>
      </c>
      <c r="O113" s="23">
        <f t="shared" si="19"/>
        <v>304343.413696</v>
      </c>
      <c r="P113" s="23">
        <f t="shared" si="19"/>
        <v>304343.413696</v>
      </c>
      <c r="Q113" s="23">
        <f t="shared" si="19"/>
        <v>304343.413696</v>
      </c>
      <c r="R113" s="23">
        <f t="shared" si="19"/>
        <v>304343.413696</v>
      </c>
      <c r="S113" s="23">
        <f t="shared" si="19"/>
        <v>0</v>
      </c>
      <c r="T113" s="23">
        <f t="shared" si="19"/>
        <v>0</v>
      </c>
      <c r="U113" s="24">
        <f t="shared" si="19"/>
        <v>0</v>
      </c>
    </row>
    <row r="114" spans="1:21" x14ac:dyDescent="0.35">
      <c r="A114" s="25"/>
      <c r="B114" s="388"/>
      <c r="C114" s="344" t="s">
        <v>19</v>
      </c>
      <c r="D114" s="345"/>
      <c r="E114" s="23">
        <f t="shared" ref="E114:U114" si="20">E64*$K$8</f>
        <v>0</v>
      </c>
      <c r="F114" s="23">
        <f t="shared" si="20"/>
        <v>0</v>
      </c>
      <c r="G114" s="23">
        <f t="shared" si="20"/>
        <v>0</v>
      </c>
      <c r="H114" s="23">
        <f t="shared" si="20"/>
        <v>0</v>
      </c>
      <c r="I114" s="23">
        <f t="shared" si="20"/>
        <v>71610.213724000001</v>
      </c>
      <c r="J114" s="23">
        <f t="shared" si="20"/>
        <v>71610.213724000001</v>
      </c>
      <c r="K114" s="23">
        <f t="shared" si="20"/>
        <v>71610.213724000001</v>
      </c>
      <c r="L114" s="23">
        <f t="shared" si="20"/>
        <v>71610.213724000001</v>
      </c>
      <c r="M114" s="23">
        <f t="shared" si="20"/>
        <v>71610.213724000001</v>
      </c>
      <c r="N114" s="23">
        <f t="shared" si="20"/>
        <v>71610.213724000001</v>
      </c>
      <c r="O114" s="23">
        <f t="shared" si="20"/>
        <v>71610.213724000001</v>
      </c>
      <c r="P114" s="23">
        <f t="shared" si="20"/>
        <v>71610.213724000001</v>
      </c>
      <c r="Q114" s="23">
        <f t="shared" si="20"/>
        <v>71610.213724000001</v>
      </c>
      <c r="R114" s="23">
        <f t="shared" si="20"/>
        <v>71610.213724000001</v>
      </c>
      <c r="S114" s="23">
        <f t="shared" si="20"/>
        <v>71610.213724000001</v>
      </c>
      <c r="T114" s="23">
        <f t="shared" si="20"/>
        <v>0</v>
      </c>
      <c r="U114" s="24">
        <f t="shared" si="20"/>
        <v>0</v>
      </c>
    </row>
    <row r="115" spans="1:21" x14ac:dyDescent="0.35">
      <c r="A115" s="25"/>
      <c r="B115" s="388"/>
      <c r="C115" s="344" t="s">
        <v>20</v>
      </c>
      <c r="D115" s="345"/>
      <c r="E115" s="23">
        <f t="shared" ref="E115:U115" si="21">E65*$K$10</f>
        <v>0</v>
      </c>
      <c r="F115" s="23">
        <f t="shared" si="21"/>
        <v>0</v>
      </c>
      <c r="G115" s="23">
        <f t="shared" si="21"/>
        <v>0</v>
      </c>
      <c r="H115" s="23">
        <f t="shared" si="21"/>
        <v>0</v>
      </c>
      <c r="I115" s="23">
        <f t="shared" si="21"/>
        <v>0</v>
      </c>
      <c r="J115" s="23">
        <f t="shared" si="21"/>
        <v>131285.39320400002</v>
      </c>
      <c r="K115" s="23">
        <f t="shared" si="21"/>
        <v>131285.39320400002</v>
      </c>
      <c r="L115" s="23">
        <f t="shared" si="21"/>
        <v>131285.39320400002</v>
      </c>
      <c r="M115" s="23">
        <f t="shared" si="21"/>
        <v>131285.39320400002</v>
      </c>
      <c r="N115" s="23">
        <f t="shared" si="21"/>
        <v>131285.39320400002</v>
      </c>
      <c r="O115" s="23">
        <f t="shared" si="21"/>
        <v>131285.39320400002</v>
      </c>
      <c r="P115" s="23">
        <f t="shared" si="21"/>
        <v>131285.39320400002</v>
      </c>
      <c r="Q115" s="23">
        <f t="shared" si="21"/>
        <v>131285.39320400002</v>
      </c>
      <c r="R115" s="23">
        <f t="shared" si="21"/>
        <v>131285.39320400002</v>
      </c>
      <c r="S115" s="23">
        <f t="shared" si="21"/>
        <v>131285.39320400002</v>
      </c>
      <c r="T115" s="23">
        <f t="shared" si="21"/>
        <v>131285.39320400002</v>
      </c>
      <c r="U115" s="24">
        <f t="shared" si="21"/>
        <v>0</v>
      </c>
    </row>
    <row r="116" spans="1:21" x14ac:dyDescent="0.35">
      <c r="A116" s="25"/>
      <c r="B116" s="388"/>
      <c r="C116" s="344" t="s">
        <v>21</v>
      </c>
      <c r="D116" s="345"/>
      <c r="E116" s="23">
        <f t="shared" ref="E116:U116" si="22">E66*$K$12</f>
        <v>0</v>
      </c>
      <c r="F116" s="23">
        <f t="shared" si="22"/>
        <v>0</v>
      </c>
      <c r="G116" s="23">
        <f t="shared" si="22"/>
        <v>0</v>
      </c>
      <c r="H116" s="23">
        <f t="shared" si="22"/>
        <v>0</v>
      </c>
      <c r="I116" s="23">
        <f t="shared" si="22"/>
        <v>0</v>
      </c>
      <c r="J116" s="23">
        <f t="shared" si="22"/>
        <v>0</v>
      </c>
      <c r="K116" s="23">
        <f t="shared" si="22"/>
        <v>0</v>
      </c>
      <c r="L116" s="23">
        <f t="shared" si="22"/>
        <v>0</v>
      </c>
      <c r="M116" s="23">
        <f t="shared" si="22"/>
        <v>0</v>
      </c>
      <c r="N116" s="23">
        <f t="shared" si="22"/>
        <v>0</v>
      </c>
      <c r="O116" s="23">
        <f t="shared" si="22"/>
        <v>0</v>
      </c>
      <c r="P116" s="23">
        <f t="shared" si="22"/>
        <v>0</v>
      </c>
      <c r="Q116" s="23">
        <f t="shared" si="22"/>
        <v>672.71752800000002</v>
      </c>
      <c r="R116" s="23">
        <f t="shared" si="22"/>
        <v>672.71752800000002</v>
      </c>
      <c r="S116" s="23">
        <f t="shared" si="22"/>
        <v>672.71752800000002</v>
      </c>
      <c r="T116" s="23">
        <f t="shared" si="22"/>
        <v>672.71752800000002</v>
      </c>
      <c r="U116" s="24">
        <f t="shared" si="22"/>
        <v>672.71752800000002</v>
      </c>
    </row>
    <row r="117" spans="1:21" x14ac:dyDescent="0.35">
      <c r="A117" s="25"/>
      <c r="B117" s="388"/>
      <c r="C117" s="362" t="s">
        <v>22</v>
      </c>
      <c r="D117" s="363"/>
      <c r="E117" s="23">
        <f t="shared" ref="E117:U117" si="23">E66*$K$14</f>
        <v>0</v>
      </c>
      <c r="F117" s="23">
        <f t="shared" si="23"/>
        <v>0</v>
      </c>
      <c r="G117" s="23">
        <f t="shared" si="23"/>
        <v>0</v>
      </c>
      <c r="H117" s="23">
        <f t="shared" si="23"/>
        <v>0</v>
      </c>
      <c r="I117" s="23">
        <f t="shared" si="23"/>
        <v>0</v>
      </c>
      <c r="J117" s="23">
        <f t="shared" si="23"/>
        <v>0</v>
      </c>
      <c r="K117" s="23">
        <f t="shared" si="23"/>
        <v>0</v>
      </c>
      <c r="L117" s="23">
        <f t="shared" si="23"/>
        <v>0</v>
      </c>
      <c r="M117" s="23">
        <f t="shared" si="23"/>
        <v>0</v>
      </c>
      <c r="N117" s="23">
        <f t="shared" si="23"/>
        <v>0</v>
      </c>
      <c r="O117" s="23">
        <f t="shared" si="23"/>
        <v>0</v>
      </c>
      <c r="P117" s="23">
        <f t="shared" si="23"/>
        <v>0</v>
      </c>
      <c r="Q117" s="23">
        <f t="shared" si="23"/>
        <v>230.55312000000001</v>
      </c>
      <c r="R117" s="23">
        <f t="shared" si="23"/>
        <v>230.55312000000001</v>
      </c>
      <c r="S117" s="23">
        <f t="shared" si="23"/>
        <v>230.55312000000001</v>
      </c>
      <c r="T117" s="23">
        <f t="shared" si="23"/>
        <v>230.55312000000001</v>
      </c>
      <c r="U117" s="24">
        <f t="shared" si="23"/>
        <v>230.55312000000001</v>
      </c>
    </row>
    <row r="118" spans="1:21" s="12" customFormat="1" x14ac:dyDescent="0.35">
      <c r="A118" s="83"/>
      <c r="B118" s="389"/>
      <c r="C118" s="381" t="s">
        <v>11</v>
      </c>
      <c r="D118" s="382"/>
      <c r="E118" s="84">
        <f t="shared" ref="E118:U118" si="24">SUM(E109:E117)</f>
        <v>100000</v>
      </c>
      <c r="F118" s="84">
        <f t="shared" si="24"/>
        <v>244.92056400000001</v>
      </c>
      <c r="G118" s="84">
        <f t="shared" si="24"/>
        <v>23062.418903999998</v>
      </c>
      <c r="H118" s="84">
        <f t="shared" si="24"/>
        <v>327405.83260000002</v>
      </c>
      <c r="I118" s="84">
        <f t="shared" si="24"/>
        <v>399016.046324</v>
      </c>
      <c r="J118" s="84">
        <f t="shared" si="24"/>
        <v>530301.43952800008</v>
      </c>
      <c r="K118" s="84">
        <f t="shared" si="24"/>
        <v>530301.43952800008</v>
      </c>
      <c r="L118" s="84">
        <f t="shared" si="24"/>
        <v>530301.43952800008</v>
      </c>
      <c r="M118" s="84">
        <f t="shared" si="24"/>
        <v>530301.43952800008</v>
      </c>
      <c r="N118" s="84">
        <f t="shared" si="24"/>
        <v>530301.43952800008</v>
      </c>
      <c r="O118" s="84">
        <f t="shared" si="24"/>
        <v>530301.43952800008</v>
      </c>
      <c r="P118" s="84">
        <f t="shared" si="24"/>
        <v>530301.43952800008</v>
      </c>
      <c r="Q118" s="84">
        <f t="shared" si="24"/>
        <v>530959.78961200011</v>
      </c>
      <c r="R118" s="84">
        <f t="shared" si="24"/>
        <v>508142.29127200006</v>
      </c>
      <c r="S118" s="84">
        <f t="shared" si="24"/>
        <v>203798.87757600003</v>
      </c>
      <c r="T118" s="84">
        <f t="shared" si="24"/>
        <v>132188.66385200003</v>
      </c>
      <c r="U118" s="91">
        <f t="shared" si="24"/>
        <v>903.27064800000005</v>
      </c>
    </row>
    <row r="120" spans="1:21" x14ac:dyDescent="0.35">
      <c r="B120" s="1"/>
      <c r="C120" s="1"/>
      <c r="I120" s="1"/>
      <c r="J120" s="1"/>
    </row>
    <row r="121" spans="1:21" ht="15" customHeight="1" x14ac:dyDescent="0.35">
      <c r="A121" s="3"/>
      <c r="B121" s="353" t="s">
        <v>46</v>
      </c>
      <c r="C121" s="353" t="s">
        <v>7</v>
      </c>
      <c r="D121" s="353"/>
      <c r="E121" s="15">
        <v>2014</v>
      </c>
      <c r="F121" s="15">
        <v>2015</v>
      </c>
      <c r="G121" s="15">
        <v>2016</v>
      </c>
      <c r="H121" s="15">
        <v>2017</v>
      </c>
      <c r="I121" s="15">
        <v>2018</v>
      </c>
      <c r="J121" s="15">
        <v>2019</v>
      </c>
      <c r="K121" s="15">
        <v>2020</v>
      </c>
      <c r="L121" s="15">
        <v>2021</v>
      </c>
      <c r="M121" s="15">
        <v>2022</v>
      </c>
      <c r="N121" s="15">
        <v>2023</v>
      </c>
      <c r="O121" s="15">
        <v>2024</v>
      </c>
      <c r="P121" s="15">
        <v>2025</v>
      </c>
      <c r="Q121" s="15">
        <v>2026</v>
      </c>
      <c r="R121" s="15">
        <v>2027</v>
      </c>
      <c r="S121" s="15">
        <v>2028</v>
      </c>
      <c r="T121" s="15">
        <v>2029</v>
      </c>
      <c r="U121" s="16">
        <v>2030</v>
      </c>
    </row>
    <row r="122" spans="1:21" ht="15" customHeight="1" x14ac:dyDescent="0.35">
      <c r="A122" s="3"/>
      <c r="B122" s="353"/>
      <c r="C122" s="353"/>
      <c r="D122" s="353"/>
      <c r="E122" s="15">
        <v>0</v>
      </c>
      <c r="F122" s="15">
        <v>1</v>
      </c>
      <c r="G122" s="15">
        <v>2</v>
      </c>
      <c r="H122" s="15">
        <v>3</v>
      </c>
      <c r="I122" s="15">
        <v>4</v>
      </c>
      <c r="J122" s="15">
        <v>5</v>
      </c>
      <c r="K122" s="15">
        <v>6</v>
      </c>
      <c r="L122" s="15">
        <v>7</v>
      </c>
      <c r="M122" s="15">
        <v>8</v>
      </c>
      <c r="N122" s="15">
        <v>9</v>
      </c>
      <c r="O122" s="15">
        <v>10</v>
      </c>
      <c r="P122" s="15">
        <v>11</v>
      </c>
      <c r="Q122" s="15">
        <v>12</v>
      </c>
      <c r="R122" s="15">
        <v>13</v>
      </c>
      <c r="S122" s="15">
        <v>14</v>
      </c>
      <c r="T122" s="15">
        <v>15</v>
      </c>
      <c r="U122" s="16">
        <v>16</v>
      </c>
    </row>
    <row r="123" spans="1:21" x14ac:dyDescent="0.35">
      <c r="A123" s="3"/>
      <c r="B123" s="354" t="s">
        <v>12</v>
      </c>
      <c r="C123" s="357" t="s">
        <v>39</v>
      </c>
      <c r="D123" s="358"/>
      <c r="E123" s="23">
        <f>2*E80</f>
        <v>230100</v>
      </c>
      <c r="F123" s="23"/>
      <c r="G123" s="23"/>
      <c r="H123" s="23"/>
      <c r="I123" s="23"/>
      <c r="J123" s="23"/>
      <c r="K123" s="23"/>
      <c r="L123" s="23"/>
      <c r="M123" s="23"/>
      <c r="N123" s="23"/>
      <c r="O123" s="23"/>
      <c r="P123" s="23"/>
      <c r="Q123" s="23"/>
      <c r="R123" s="23"/>
      <c r="S123" s="23"/>
      <c r="T123" s="23"/>
      <c r="U123" s="24"/>
    </row>
    <row r="124" spans="1:21" x14ac:dyDescent="0.35">
      <c r="A124" s="3"/>
      <c r="B124" s="355"/>
      <c r="C124" s="357" t="s">
        <v>40</v>
      </c>
      <c r="D124" s="358"/>
      <c r="E124" s="23"/>
      <c r="F124" s="23">
        <f t="shared" ref="F124:U124" si="25">2*F81</f>
        <v>2487.5</v>
      </c>
      <c r="G124" s="23">
        <f t="shared" si="25"/>
        <v>2487.5</v>
      </c>
      <c r="H124" s="23">
        <f t="shared" si="25"/>
        <v>2487.5</v>
      </c>
      <c r="I124" s="23">
        <f t="shared" si="25"/>
        <v>2487.5</v>
      </c>
      <c r="J124" s="23">
        <f t="shared" si="25"/>
        <v>2487.5</v>
      </c>
      <c r="K124" s="23">
        <f t="shared" si="25"/>
        <v>2487.5</v>
      </c>
      <c r="L124" s="23">
        <f t="shared" si="25"/>
        <v>2487.5</v>
      </c>
      <c r="M124" s="23">
        <f t="shared" si="25"/>
        <v>2487.5</v>
      </c>
      <c r="N124" s="23">
        <f t="shared" si="25"/>
        <v>2487.5</v>
      </c>
      <c r="O124" s="23">
        <f t="shared" si="25"/>
        <v>2487.5</v>
      </c>
      <c r="P124" s="29">
        <f t="shared" si="25"/>
        <v>2487.5</v>
      </c>
      <c r="Q124" s="22">
        <f t="shared" si="25"/>
        <v>2487.5</v>
      </c>
      <c r="R124" s="23">
        <f t="shared" si="25"/>
        <v>2487.5</v>
      </c>
      <c r="S124" s="23">
        <f t="shared" si="25"/>
        <v>2487.5</v>
      </c>
      <c r="T124" s="23">
        <f t="shared" si="25"/>
        <v>2487.5</v>
      </c>
      <c r="U124" s="24">
        <f t="shared" si="25"/>
        <v>2487.5</v>
      </c>
    </row>
    <row r="125" spans="1:21" x14ac:dyDescent="0.35">
      <c r="A125" s="3"/>
      <c r="B125" s="356"/>
      <c r="C125" s="383" t="s">
        <v>11</v>
      </c>
      <c r="D125" s="384"/>
      <c r="E125" s="26">
        <f t="shared" ref="E125:U125" si="26">SUM(E123:E124)</f>
        <v>230100</v>
      </c>
      <c r="F125" s="26">
        <f t="shared" si="26"/>
        <v>2487.5</v>
      </c>
      <c r="G125" s="26">
        <f t="shared" si="26"/>
        <v>2487.5</v>
      </c>
      <c r="H125" s="26">
        <f t="shared" si="26"/>
        <v>2487.5</v>
      </c>
      <c r="I125" s="26">
        <f t="shared" si="26"/>
        <v>2487.5</v>
      </c>
      <c r="J125" s="26">
        <f t="shared" si="26"/>
        <v>2487.5</v>
      </c>
      <c r="K125" s="26">
        <f t="shared" si="26"/>
        <v>2487.5</v>
      </c>
      <c r="L125" s="26">
        <f t="shared" si="26"/>
        <v>2487.5</v>
      </c>
      <c r="M125" s="26">
        <f t="shared" si="26"/>
        <v>2487.5</v>
      </c>
      <c r="N125" s="26">
        <f t="shared" si="26"/>
        <v>2487.5</v>
      </c>
      <c r="O125" s="26">
        <f t="shared" si="26"/>
        <v>2487.5</v>
      </c>
      <c r="P125" s="26">
        <f t="shared" si="26"/>
        <v>2487.5</v>
      </c>
      <c r="Q125" s="26">
        <f t="shared" si="26"/>
        <v>2487.5</v>
      </c>
      <c r="R125" s="26">
        <f t="shared" si="26"/>
        <v>2487.5</v>
      </c>
      <c r="S125" s="26">
        <f t="shared" si="26"/>
        <v>2487.5</v>
      </c>
      <c r="T125" s="26">
        <f t="shared" si="26"/>
        <v>2487.5</v>
      </c>
      <c r="U125" s="27">
        <f t="shared" si="26"/>
        <v>2487.5</v>
      </c>
    </row>
    <row r="128" spans="1:21" x14ac:dyDescent="0.35">
      <c r="A128" s="3"/>
      <c r="B128" s="368" t="s">
        <v>49</v>
      </c>
      <c r="C128" s="370" t="s">
        <v>7</v>
      </c>
      <c r="D128" s="370"/>
      <c r="E128" s="54">
        <v>2014</v>
      </c>
      <c r="F128" s="54">
        <v>2015</v>
      </c>
      <c r="G128" s="54">
        <v>2016</v>
      </c>
      <c r="H128" s="54">
        <v>2017</v>
      </c>
      <c r="I128" s="58">
        <v>2018</v>
      </c>
      <c r="J128" s="58">
        <v>2019</v>
      </c>
      <c r="K128" s="54">
        <v>2020</v>
      </c>
      <c r="L128" s="54">
        <v>2021</v>
      </c>
      <c r="M128" s="54">
        <v>2022</v>
      </c>
      <c r="N128" s="54">
        <v>2023</v>
      </c>
      <c r="O128" s="54">
        <v>2024</v>
      </c>
      <c r="P128" s="54">
        <v>2025</v>
      </c>
      <c r="Q128" s="54">
        <v>2026</v>
      </c>
      <c r="R128" s="54">
        <v>2027</v>
      </c>
      <c r="S128" s="54">
        <v>2028</v>
      </c>
      <c r="T128" s="54">
        <v>2029</v>
      </c>
      <c r="U128" s="55">
        <v>2030</v>
      </c>
    </row>
    <row r="129" spans="1:22" x14ac:dyDescent="0.35">
      <c r="A129" s="3"/>
      <c r="B129" s="369"/>
      <c r="C129" s="371"/>
      <c r="D129" s="371"/>
      <c r="E129" s="57">
        <v>0</v>
      </c>
      <c r="F129" s="57">
        <v>1</v>
      </c>
      <c r="G129" s="57">
        <v>2</v>
      </c>
      <c r="H129" s="57">
        <v>3</v>
      </c>
      <c r="I129" s="64">
        <v>4</v>
      </c>
      <c r="J129" s="64">
        <v>5</v>
      </c>
      <c r="K129" s="57">
        <v>6</v>
      </c>
      <c r="L129" s="57">
        <v>7</v>
      </c>
      <c r="M129" s="57">
        <v>8</v>
      </c>
      <c r="N129" s="57">
        <v>9</v>
      </c>
      <c r="O129" s="57">
        <v>10</v>
      </c>
      <c r="P129" s="57">
        <v>11</v>
      </c>
      <c r="Q129" s="57">
        <v>12</v>
      </c>
      <c r="R129" s="57">
        <v>13</v>
      </c>
      <c r="S129" s="57">
        <v>14</v>
      </c>
      <c r="T129" s="57">
        <v>15</v>
      </c>
      <c r="U129" s="57">
        <v>16</v>
      </c>
    </row>
    <row r="130" spans="1:22" x14ac:dyDescent="0.35">
      <c r="A130" s="25"/>
      <c r="B130" s="387" t="s">
        <v>12</v>
      </c>
      <c r="C130" s="385" t="s">
        <v>52</v>
      </c>
      <c r="D130" s="386"/>
      <c r="E130" s="23">
        <f t="shared" ref="E130:U130" si="27">E91*$K$34*$D$36</f>
        <v>383.40000000000003</v>
      </c>
      <c r="F130" s="23">
        <f t="shared" si="27"/>
        <v>383.40000000000003</v>
      </c>
      <c r="G130" s="23">
        <f t="shared" si="27"/>
        <v>383.40000000000003</v>
      </c>
      <c r="H130" s="23">
        <f t="shared" si="27"/>
        <v>383.40000000000003</v>
      </c>
      <c r="I130" s="23">
        <f t="shared" si="27"/>
        <v>0</v>
      </c>
      <c r="J130" s="23">
        <f t="shared" si="27"/>
        <v>0</v>
      </c>
      <c r="K130" s="23">
        <f t="shared" si="27"/>
        <v>0</v>
      </c>
      <c r="L130" s="23">
        <f t="shared" si="27"/>
        <v>0</v>
      </c>
      <c r="M130" s="23">
        <f t="shared" si="27"/>
        <v>0</v>
      </c>
      <c r="N130" s="23">
        <f t="shared" si="27"/>
        <v>0</v>
      </c>
      <c r="O130" s="23">
        <f t="shared" si="27"/>
        <v>0</v>
      </c>
      <c r="P130" s="23">
        <f t="shared" si="27"/>
        <v>0</v>
      </c>
      <c r="Q130" s="23">
        <f t="shared" si="27"/>
        <v>0</v>
      </c>
      <c r="R130" s="23">
        <f t="shared" si="27"/>
        <v>0</v>
      </c>
      <c r="S130" s="23">
        <f t="shared" si="27"/>
        <v>0</v>
      </c>
      <c r="T130" s="23">
        <f t="shared" si="27"/>
        <v>0</v>
      </c>
      <c r="U130" s="24">
        <f t="shared" si="27"/>
        <v>0</v>
      </c>
    </row>
    <row r="131" spans="1:22" x14ac:dyDescent="0.35">
      <c r="A131" s="25"/>
      <c r="B131" s="388"/>
      <c r="C131" s="346" t="s">
        <v>53</v>
      </c>
      <c r="D131" s="347"/>
      <c r="E131" s="23">
        <f t="shared" ref="E131:U131" si="28">$K$36*E92</f>
        <v>0.3</v>
      </c>
      <c r="F131" s="23">
        <f t="shared" si="28"/>
        <v>0.6</v>
      </c>
      <c r="G131" s="23">
        <f t="shared" si="28"/>
        <v>0.89999999999999991</v>
      </c>
      <c r="H131" s="23">
        <f t="shared" si="28"/>
        <v>1.2</v>
      </c>
      <c r="I131" s="23">
        <f t="shared" si="28"/>
        <v>1.2</v>
      </c>
      <c r="J131" s="23">
        <f t="shared" si="28"/>
        <v>1.2</v>
      </c>
      <c r="K131" s="23">
        <f t="shared" si="28"/>
        <v>1.2</v>
      </c>
      <c r="L131" s="23">
        <f t="shared" si="28"/>
        <v>1.2</v>
      </c>
      <c r="M131" s="23">
        <f t="shared" si="28"/>
        <v>1.2</v>
      </c>
      <c r="N131" s="23">
        <f t="shared" si="28"/>
        <v>1.2</v>
      </c>
      <c r="O131" s="23">
        <f t="shared" si="28"/>
        <v>1.2</v>
      </c>
      <c r="P131" s="23">
        <f t="shared" si="28"/>
        <v>1.2</v>
      </c>
      <c r="Q131" s="23">
        <f t="shared" si="28"/>
        <v>1.2</v>
      </c>
      <c r="R131" s="23">
        <f t="shared" si="28"/>
        <v>1.2</v>
      </c>
      <c r="S131" s="23">
        <f t="shared" si="28"/>
        <v>1.2</v>
      </c>
      <c r="T131" s="23">
        <f t="shared" si="28"/>
        <v>1.2</v>
      </c>
      <c r="U131" s="24">
        <f t="shared" si="28"/>
        <v>1.2</v>
      </c>
    </row>
    <row r="132" spans="1:22" x14ac:dyDescent="0.35">
      <c r="A132" s="25"/>
      <c r="B132" s="388"/>
      <c r="C132" s="344" t="s">
        <v>54</v>
      </c>
      <c r="D132" s="345"/>
      <c r="E132" s="23">
        <v>0</v>
      </c>
      <c r="F132" s="23">
        <v>0</v>
      </c>
      <c r="G132" s="23">
        <v>0</v>
      </c>
      <c r="H132" s="23">
        <v>0</v>
      </c>
      <c r="I132" s="23">
        <v>0</v>
      </c>
      <c r="J132" s="23">
        <v>0</v>
      </c>
      <c r="K132" s="23">
        <v>0</v>
      </c>
      <c r="L132" s="23">
        <v>0</v>
      </c>
      <c r="M132" s="23">
        <v>0</v>
      </c>
      <c r="O132" s="23">
        <f>D38</f>
        <v>3000</v>
      </c>
      <c r="P132" s="23">
        <v>0</v>
      </c>
      <c r="Q132" s="23">
        <v>0</v>
      </c>
      <c r="R132" s="23">
        <v>0</v>
      </c>
      <c r="S132" s="23">
        <v>0</v>
      </c>
      <c r="T132" s="23">
        <v>0</v>
      </c>
      <c r="U132" s="24">
        <v>0</v>
      </c>
    </row>
    <row r="133" spans="1:22" x14ac:dyDescent="0.35">
      <c r="A133" s="3"/>
      <c r="B133" s="388"/>
      <c r="C133" s="385" t="s">
        <v>165</v>
      </c>
      <c r="D133" s="386"/>
      <c r="E133" s="75" t="e">
        <f>$D$40*1000*#REF!*$K$40</f>
        <v>#REF!</v>
      </c>
      <c r="F133" s="75"/>
      <c r="G133" s="75"/>
      <c r="H133" s="75"/>
      <c r="I133" s="75"/>
      <c r="J133" s="75"/>
      <c r="K133" s="75"/>
      <c r="L133" s="75"/>
      <c r="M133" s="75"/>
      <c r="N133" s="75"/>
      <c r="O133" s="75"/>
      <c r="P133" s="75"/>
      <c r="Q133" s="75"/>
      <c r="R133" s="75"/>
      <c r="S133" s="75"/>
      <c r="T133" s="75"/>
      <c r="U133" s="75"/>
    </row>
    <row r="134" spans="1:22" x14ac:dyDescent="0.35">
      <c r="A134" s="3"/>
      <c r="B134" s="388"/>
      <c r="C134" s="346" t="s">
        <v>162</v>
      </c>
      <c r="D134" s="347"/>
      <c r="E134" s="75">
        <f>$D$40*1000*$D$42</f>
        <v>352.5</v>
      </c>
      <c r="F134" s="75">
        <f t="shared" ref="F134:U134" si="29">$D$40*1000*$D$42</f>
        <v>352.5</v>
      </c>
      <c r="G134" s="75">
        <f t="shared" si="29"/>
        <v>352.5</v>
      </c>
      <c r="H134" s="75">
        <f t="shared" si="29"/>
        <v>352.5</v>
      </c>
      <c r="I134" s="75">
        <f t="shared" si="29"/>
        <v>352.5</v>
      </c>
      <c r="J134" s="75">
        <f t="shared" si="29"/>
        <v>352.5</v>
      </c>
      <c r="K134" s="75">
        <f t="shared" si="29"/>
        <v>352.5</v>
      </c>
      <c r="L134" s="75">
        <f t="shared" si="29"/>
        <v>352.5</v>
      </c>
      <c r="M134" s="75">
        <f t="shared" si="29"/>
        <v>352.5</v>
      </c>
      <c r="N134" s="75">
        <f t="shared" si="29"/>
        <v>352.5</v>
      </c>
      <c r="O134" s="75">
        <f t="shared" si="29"/>
        <v>352.5</v>
      </c>
      <c r="P134" s="75">
        <f t="shared" si="29"/>
        <v>352.5</v>
      </c>
      <c r="Q134" s="75">
        <f t="shared" si="29"/>
        <v>352.5</v>
      </c>
      <c r="R134" s="75">
        <f t="shared" si="29"/>
        <v>352.5</v>
      </c>
      <c r="S134" s="75">
        <f t="shared" si="29"/>
        <v>352.5</v>
      </c>
      <c r="T134" s="75">
        <f t="shared" si="29"/>
        <v>352.5</v>
      </c>
      <c r="U134" s="75">
        <f t="shared" si="29"/>
        <v>352.5</v>
      </c>
    </row>
    <row r="135" spans="1:22" x14ac:dyDescent="0.35">
      <c r="B135" s="388"/>
      <c r="C135" s="344" t="s">
        <v>163</v>
      </c>
      <c r="D135" s="345"/>
      <c r="E135" s="23">
        <v>0</v>
      </c>
      <c r="F135" s="23">
        <v>0</v>
      </c>
      <c r="G135" s="23">
        <v>0</v>
      </c>
      <c r="H135" s="23">
        <v>0</v>
      </c>
      <c r="I135" s="23">
        <v>0</v>
      </c>
      <c r="J135" s="23">
        <v>0</v>
      </c>
      <c r="K135" s="23">
        <v>0</v>
      </c>
      <c r="L135" s="23">
        <v>0</v>
      </c>
      <c r="M135" s="23">
        <v>0</v>
      </c>
      <c r="N135" s="23">
        <f>D41</f>
        <v>0</v>
      </c>
      <c r="O135" s="23">
        <f>K42</f>
        <v>3000</v>
      </c>
      <c r="P135" s="23">
        <v>0</v>
      </c>
      <c r="Q135" s="23">
        <v>0</v>
      </c>
      <c r="R135" s="23">
        <v>0</v>
      </c>
      <c r="S135" s="23">
        <v>0</v>
      </c>
      <c r="T135" s="23">
        <v>0</v>
      </c>
      <c r="U135" s="24">
        <v>0</v>
      </c>
    </row>
    <row r="136" spans="1:22" s="12" customFormat="1" x14ac:dyDescent="0.35">
      <c r="A136" s="83"/>
      <c r="B136" s="389"/>
      <c r="C136" s="381" t="s">
        <v>11</v>
      </c>
      <c r="D136" s="382"/>
      <c r="E136" s="84">
        <f t="shared" ref="E136:U136" si="30">SUM(E130:E132)</f>
        <v>383.70000000000005</v>
      </c>
      <c r="F136" s="84">
        <f t="shared" si="30"/>
        <v>384.00000000000006</v>
      </c>
      <c r="G136" s="84">
        <f t="shared" si="30"/>
        <v>384.3</v>
      </c>
      <c r="H136" s="84">
        <f t="shared" si="30"/>
        <v>384.6</v>
      </c>
      <c r="I136" s="84">
        <f t="shared" si="30"/>
        <v>1.2</v>
      </c>
      <c r="J136" s="84">
        <f t="shared" si="30"/>
        <v>1.2</v>
      </c>
      <c r="K136" s="84">
        <f t="shared" si="30"/>
        <v>1.2</v>
      </c>
      <c r="L136" s="84">
        <f t="shared" si="30"/>
        <v>1.2</v>
      </c>
      <c r="M136" s="84">
        <f t="shared" si="30"/>
        <v>1.2</v>
      </c>
      <c r="N136" s="84">
        <f t="shared" si="30"/>
        <v>1.2</v>
      </c>
      <c r="O136" s="84">
        <f t="shared" si="30"/>
        <v>3001.2</v>
      </c>
      <c r="P136" s="84">
        <f t="shared" si="30"/>
        <v>1.2</v>
      </c>
      <c r="Q136" s="84">
        <f t="shared" si="30"/>
        <v>1.2</v>
      </c>
      <c r="R136" s="84">
        <f t="shared" si="30"/>
        <v>1.2</v>
      </c>
      <c r="S136" s="84">
        <f t="shared" si="30"/>
        <v>1.2</v>
      </c>
      <c r="T136" s="84">
        <f t="shared" si="30"/>
        <v>1.2</v>
      </c>
      <c r="U136" s="91">
        <f t="shared" si="30"/>
        <v>1.2</v>
      </c>
    </row>
    <row r="137" spans="1:22" s="12" customFormat="1" x14ac:dyDescent="0.35">
      <c r="A137" s="43"/>
      <c r="B137" s="68"/>
      <c r="C137" s="68"/>
      <c r="D137" s="51"/>
      <c r="E137" s="4"/>
      <c r="F137" s="4"/>
      <c r="G137" s="4"/>
      <c r="H137" s="4"/>
      <c r="I137" s="65"/>
      <c r="J137" s="65"/>
      <c r="K137" s="4"/>
      <c r="L137" s="4"/>
      <c r="M137" s="4"/>
      <c r="N137" s="4"/>
      <c r="O137" s="4"/>
      <c r="P137" s="4"/>
      <c r="Q137" s="4"/>
      <c r="R137" s="4"/>
      <c r="S137" s="4"/>
      <c r="T137" s="4"/>
      <c r="U137" s="4"/>
    </row>
    <row r="138" spans="1:22" x14ac:dyDescent="0.35">
      <c r="A138" s="3"/>
      <c r="B138" s="368" t="s">
        <v>140</v>
      </c>
      <c r="C138" s="370" t="s">
        <v>7</v>
      </c>
      <c r="D138" s="370"/>
      <c r="E138" s="54">
        <v>2014</v>
      </c>
      <c r="F138" s="54">
        <v>2015</v>
      </c>
      <c r="G138" s="54">
        <v>2016</v>
      </c>
      <c r="H138" s="54">
        <v>2017</v>
      </c>
      <c r="I138" s="58">
        <v>2018</v>
      </c>
      <c r="J138" s="58">
        <v>2019</v>
      </c>
      <c r="K138" s="54">
        <v>2020</v>
      </c>
      <c r="L138" s="54">
        <v>2021</v>
      </c>
      <c r="M138" s="54">
        <v>2022</v>
      </c>
      <c r="N138" s="54">
        <v>2023</v>
      </c>
      <c r="O138" s="54">
        <v>2024</v>
      </c>
      <c r="P138" s="54">
        <v>2025</v>
      </c>
      <c r="Q138" s="54">
        <v>2026</v>
      </c>
      <c r="R138" s="54">
        <v>2027</v>
      </c>
      <c r="S138" s="54">
        <v>2028</v>
      </c>
      <c r="T138" s="54">
        <v>2029</v>
      </c>
      <c r="U138" s="55">
        <v>2030</v>
      </c>
    </row>
    <row r="139" spans="1:22" x14ac:dyDescent="0.35">
      <c r="A139" s="3"/>
      <c r="B139" s="369"/>
      <c r="C139" s="371"/>
      <c r="D139" s="371"/>
      <c r="E139" s="57">
        <v>0</v>
      </c>
      <c r="F139" s="57">
        <v>1</v>
      </c>
      <c r="G139" s="57">
        <v>2</v>
      </c>
      <c r="H139" s="57">
        <v>3</v>
      </c>
      <c r="I139" s="64">
        <v>4</v>
      </c>
      <c r="J139" s="64">
        <v>5</v>
      </c>
      <c r="K139" s="57">
        <v>6</v>
      </c>
      <c r="L139" s="57">
        <v>7</v>
      </c>
      <c r="M139" s="57">
        <v>8</v>
      </c>
      <c r="N139" s="57">
        <v>9</v>
      </c>
      <c r="O139" s="57">
        <v>10</v>
      </c>
      <c r="P139" s="57">
        <v>11</v>
      </c>
      <c r="Q139" s="57">
        <v>12</v>
      </c>
      <c r="R139" s="57">
        <v>13</v>
      </c>
      <c r="S139" s="57">
        <v>14</v>
      </c>
      <c r="T139" s="57">
        <v>15</v>
      </c>
      <c r="U139" s="57">
        <v>16</v>
      </c>
    </row>
    <row r="140" spans="1:22" s="82" customFormat="1" ht="15" customHeight="1" x14ac:dyDescent="0.35">
      <c r="A140" s="81"/>
      <c r="B140" s="90" t="s">
        <v>12</v>
      </c>
      <c r="C140" s="379" t="s">
        <v>120</v>
      </c>
      <c r="D140" s="380"/>
      <c r="E140" s="23">
        <f t="shared" ref="E140:U140" si="31">E136+E118+E125</f>
        <v>330483.7</v>
      </c>
      <c r="F140" s="23">
        <f t="shared" si="31"/>
        <v>3116.420564</v>
      </c>
      <c r="G140" s="23">
        <f t="shared" si="31"/>
        <v>25934.218903999998</v>
      </c>
      <c r="H140" s="23">
        <f t="shared" si="31"/>
        <v>330277.9326</v>
      </c>
      <c r="I140" s="23">
        <f t="shared" si="31"/>
        <v>401504.74632400001</v>
      </c>
      <c r="J140" s="23">
        <f t="shared" si="31"/>
        <v>532790.13952800003</v>
      </c>
      <c r="K140" s="23">
        <f t="shared" si="31"/>
        <v>532790.13952800003</v>
      </c>
      <c r="L140" s="23">
        <f t="shared" si="31"/>
        <v>532790.13952800003</v>
      </c>
      <c r="M140" s="23">
        <f t="shared" si="31"/>
        <v>532790.13952800003</v>
      </c>
      <c r="N140" s="23">
        <f t="shared" si="31"/>
        <v>532790.13952800003</v>
      </c>
      <c r="O140" s="23">
        <f t="shared" si="31"/>
        <v>535790.13952800003</v>
      </c>
      <c r="P140" s="23">
        <f t="shared" si="31"/>
        <v>532790.13952800003</v>
      </c>
      <c r="Q140" s="23">
        <f t="shared" si="31"/>
        <v>533448.48961200006</v>
      </c>
      <c r="R140" s="23">
        <f t="shared" si="31"/>
        <v>510630.99127200007</v>
      </c>
      <c r="S140" s="23">
        <f t="shared" si="31"/>
        <v>206287.57757600004</v>
      </c>
      <c r="T140" s="23">
        <f t="shared" si="31"/>
        <v>134677.36385200004</v>
      </c>
      <c r="U140" s="23">
        <f t="shared" si="31"/>
        <v>3391.970648</v>
      </c>
      <c r="V140" s="92"/>
    </row>
    <row r="141" spans="1:22" x14ac:dyDescent="0.35">
      <c r="A141" s="3"/>
      <c r="B141" s="372" t="s">
        <v>47</v>
      </c>
      <c r="C141" s="373" t="s">
        <v>135</v>
      </c>
      <c r="D141" s="374"/>
      <c r="E141" s="18">
        <v>0</v>
      </c>
      <c r="F141" s="18">
        <v>0</v>
      </c>
      <c r="G141" s="18">
        <v>0</v>
      </c>
      <c r="H141" s="18">
        <v>0</v>
      </c>
      <c r="I141" s="18">
        <v>0</v>
      </c>
      <c r="J141" s="18">
        <v>0</v>
      </c>
      <c r="K141" s="18">
        <f>K101*$D$49*$D$51</f>
        <v>34646.832457977303</v>
      </c>
      <c r="L141" s="18">
        <f t="shared" ref="L141:U141" si="32">L101*$D$49*$D$51</f>
        <v>37776.419429432135</v>
      </c>
      <c r="M141" s="18">
        <f t="shared" si="32"/>
        <v>40978.550035025117</v>
      </c>
      <c r="N141" s="18">
        <f t="shared" si="32"/>
        <v>44254.545358926087</v>
      </c>
      <c r="O141" s="18">
        <f t="shared" si="32"/>
        <v>47605.748133883113</v>
      </c>
      <c r="P141" s="18">
        <f t="shared" si="32"/>
        <v>51033.523075476143</v>
      </c>
      <c r="Q141" s="18">
        <f t="shared" si="32"/>
        <v>54539.257221337764</v>
      </c>
      <c r="R141" s="18">
        <f t="shared" si="32"/>
        <v>58124.360275412837</v>
      </c>
      <c r="S141" s="18">
        <f t="shared" si="32"/>
        <v>61790.264957329855</v>
      </c>
      <c r="T141" s="18">
        <f t="shared" si="32"/>
        <v>65538.427356957982</v>
      </c>
      <c r="U141" s="18">
        <f t="shared" si="32"/>
        <v>69370.327294224873</v>
      </c>
    </row>
    <row r="142" spans="1:22" x14ac:dyDescent="0.35">
      <c r="A142" s="3"/>
      <c r="B142" s="372"/>
      <c r="C142" s="373" t="s">
        <v>136</v>
      </c>
      <c r="D142" s="374"/>
      <c r="E142" s="18">
        <v>0</v>
      </c>
      <c r="F142" s="18">
        <f>F101*$D$49*$D$53</f>
        <v>2672.305129492855</v>
      </c>
      <c r="G142" s="18">
        <f t="shared" ref="G142:U142" si="33">G101*$D$49*$D$53</f>
        <v>3043.7651494593902</v>
      </c>
      <c r="H142" s="18">
        <f t="shared" si="33"/>
        <v>3424.0587136831873</v>
      </c>
      <c r="I142" s="18">
        <f t="shared" si="33"/>
        <v>3813.3481803166706</v>
      </c>
      <c r="J142" s="18">
        <f t="shared" si="33"/>
        <v>4211.7985807615323</v>
      </c>
      <c r="K142" s="18">
        <f t="shared" si="33"/>
        <v>4619.5776610636412</v>
      </c>
      <c r="L142" s="18">
        <f t="shared" si="33"/>
        <v>5036.855923924285</v>
      </c>
      <c r="M142" s="18">
        <f t="shared" si="33"/>
        <v>5463.8066713366825</v>
      </c>
      <c r="N142" s="18">
        <f t="shared" si="33"/>
        <v>5900.6060478568115</v>
      </c>
      <c r="O142" s="18">
        <f t="shared" si="33"/>
        <v>6347.4330845177483</v>
      </c>
      <c r="P142" s="18">
        <f t="shared" si="33"/>
        <v>6804.4697433968195</v>
      </c>
      <c r="Q142" s="18">
        <f t="shared" si="33"/>
        <v>7271.9009628450358</v>
      </c>
      <c r="R142" s="18">
        <f t="shared" si="33"/>
        <v>7749.9147033883783</v>
      </c>
      <c r="S142" s="18">
        <f t="shared" si="33"/>
        <v>8238.7019943106479</v>
      </c>
      <c r="T142" s="18">
        <f t="shared" si="33"/>
        <v>8738.4569809277309</v>
      </c>
      <c r="U142" s="18">
        <f t="shared" si="33"/>
        <v>9249.3769725633174</v>
      </c>
    </row>
    <row r="143" spans="1:22" x14ac:dyDescent="0.35">
      <c r="A143" s="3"/>
      <c r="B143" s="372"/>
      <c r="C143" s="373" t="s">
        <v>137</v>
      </c>
      <c r="D143" s="374"/>
      <c r="E143" s="18">
        <v>0</v>
      </c>
      <c r="F143" s="18">
        <v>0</v>
      </c>
      <c r="G143" s="18">
        <f t="shared" ref="G143:U143" si="34">G101*$D$49*$K$53</f>
        <v>4565.6477241890843</v>
      </c>
      <c r="H143" s="18">
        <f t="shared" si="34"/>
        <v>5136.0880705247801</v>
      </c>
      <c r="I143" s="18">
        <f t="shared" si="34"/>
        <v>5720.0222704750049</v>
      </c>
      <c r="J143" s="18">
        <f t="shared" si="34"/>
        <v>6317.6978711422971</v>
      </c>
      <c r="K143" s="18">
        <f t="shared" si="34"/>
        <v>6929.3664915954605</v>
      </c>
      <c r="L143" s="18">
        <f t="shared" si="34"/>
        <v>7555.2838858864261</v>
      </c>
      <c r="M143" s="18">
        <f t="shared" si="34"/>
        <v>8195.7100070050237</v>
      </c>
      <c r="N143" s="18">
        <f t="shared" si="34"/>
        <v>8850.9090717852159</v>
      </c>
      <c r="O143" s="18">
        <f t="shared" si="34"/>
        <v>9521.1496267766215</v>
      </c>
      <c r="P143" s="18">
        <f t="shared" si="34"/>
        <v>10206.704615095228</v>
      </c>
      <c r="Q143" s="18">
        <f t="shared" si="34"/>
        <v>10907.851444267553</v>
      </c>
      <c r="R143" s="18">
        <f t="shared" si="34"/>
        <v>11624.872055082567</v>
      </c>
      <c r="S143" s="18">
        <f t="shared" si="34"/>
        <v>12358.052991465969</v>
      </c>
      <c r="T143" s="18">
        <f t="shared" si="34"/>
        <v>13107.685471391596</v>
      </c>
      <c r="U143" s="18">
        <f t="shared" si="34"/>
        <v>13874.065458844976</v>
      </c>
    </row>
    <row r="144" spans="1:22" x14ac:dyDescent="0.35">
      <c r="A144" s="3"/>
      <c r="B144" s="372"/>
      <c r="C144" s="377" t="s">
        <v>134</v>
      </c>
      <c r="D144" s="378"/>
      <c r="E144" s="18">
        <v>0</v>
      </c>
      <c r="F144" s="18" t="e">
        <f>E84*$K$22/#REF!</f>
        <v>#REF!</v>
      </c>
      <c r="G144" s="18" t="e">
        <f>F84*$K$22/#REF!</f>
        <v>#REF!</v>
      </c>
      <c r="H144" s="18" t="e">
        <f>G84*$K$22/#REF!</f>
        <v>#REF!</v>
      </c>
      <c r="I144" s="18" t="e">
        <f>H84*$K$22/#REF!</f>
        <v>#REF!</v>
      </c>
      <c r="J144" s="18" t="e">
        <f>I84*$K$22/#REF!</f>
        <v>#REF!</v>
      </c>
      <c r="K144" s="18" t="e">
        <f>J84*$K$22/#REF!</f>
        <v>#REF!</v>
      </c>
      <c r="L144" s="18" t="e">
        <f>K84*$K$22/#REF!</f>
        <v>#REF!</v>
      </c>
      <c r="M144" s="18" t="e">
        <f>L84*$K$22/#REF!</f>
        <v>#REF!</v>
      </c>
      <c r="N144" s="18" t="e">
        <f>M84*$K$22/#REF!</f>
        <v>#REF!</v>
      </c>
      <c r="O144" s="18" t="e">
        <f>N84*$K$22/#REF!</f>
        <v>#REF!</v>
      </c>
      <c r="P144" s="18" t="e">
        <f>O84*$K$22/#REF!</f>
        <v>#REF!</v>
      </c>
      <c r="Q144" s="18" t="e">
        <f>P84*$K$22/#REF!</f>
        <v>#REF!</v>
      </c>
      <c r="R144" s="18" t="e">
        <f>Q84*$K$22/#REF!</f>
        <v>#REF!</v>
      </c>
      <c r="S144" s="18" t="e">
        <f>R84*$K$22/#REF!</f>
        <v>#REF!</v>
      </c>
      <c r="T144" s="18" t="e">
        <f>S84*$K$22/#REF!</f>
        <v>#REF!</v>
      </c>
      <c r="U144" s="18" t="e">
        <f>T84*$K$22/#REF!</f>
        <v>#REF!</v>
      </c>
    </row>
    <row r="145" spans="1:55" x14ac:dyDescent="0.35">
      <c r="A145" s="3"/>
      <c r="B145" s="372"/>
      <c r="C145" s="375" t="s">
        <v>14</v>
      </c>
      <c r="D145" s="375"/>
      <c r="E145" s="18">
        <f t="shared" ref="E145:U145" si="35">SUM(E141:E144)</f>
        <v>0</v>
      </c>
      <c r="F145" s="18" t="e">
        <f t="shared" si="35"/>
        <v>#REF!</v>
      </c>
      <c r="G145" s="18" t="e">
        <f t="shared" si="35"/>
        <v>#REF!</v>
      </c>
      <c r="H145" s="18" t="e">
        <f t="shared" si="35"/>
        <v>#REF!</v>
      </c>
      <c r="I145" s="18" t="e">
        <f t="shared" si="35"/>
        <v>#REF!</v>
      </c>
      <c r="J145" s="18" t="e">
        <f t="shared" si="35"/>
        <v>#REF!</v>
      </c>
      <c r="K145" s="18" t="e">
        <f t="shared" si="35"/>
        <v>#REF!</v>
      </c>
      <c r="L145" s="18" t="e">
        <f t="shared" si="35"/>
        <v>#REF!</v>
      </c>
      <c r="M145" s="18" t="e">
        <f t="shared" si="35"/>
        <v>#REF!</v>
      </c>
      <c r="N145" s="18" t="e">
        <f t="shared" si="35"/>
        <v>#REF!</v>
      </c>
      <c r="O145" s="18" t="e">
        <f t="shared" si="35"/>
        <v>#REF!</v>
      </c>
      <c r="P145" s="18" t="e">
        <f t="shared" si="35"/>
        <v>#REF!</v>
      </c>
      <c r="Q145" s="18" t="e">
        <f t="shared" si="35"/>
        <v>#REF!</v>
      </c>
      <c r="R145" s="18" t="e">
        <f t="shared" si="35"/>
        <v>#REF!</v>
      </c>
      <c r="S145" s="18" t="e">
        <f t="shared" si="35"/>
        <v>#REF!</v>
      </c>
      <c r="T145" s="18" t="e">
        <f t="shared" si="35"/>
        <v>#REF!</v>
      </c>
      <c r="U145" s="18" t="e">
        <f t="shared" si="35"/>
        <v>#REF!</v>
      </c>
    </row>
    <row r="146" spans="1:55" x14ac:dyDescent="0.35">
      <c r="A146" s="3"/>
      <c r="B146" s="376" t="s">
        <v>9</v>
      </c>
      <c r="C146" s="376"/>
      <c r="D146" s="376"/>
      <c r="E146" s="21">
        <f t="shared" ref="E146:U146" si="36">E145-E140</f>
        <v>-330483.7</v>
      </c>
      <c r="F146" s="21" t="e">
        <f t="shared" si="36"/>
        <v>#REF!</v>
      </c>
      <c r="G146" s="21" t="e">
        <f t="shared" si="36"/>
        <v>#REF!</v>
      </c>
      <c r="H146" s="21" t="e">
        <f t="shared" si="36"/>
        <v>#REF!</v>
      </c>
      <c r="I146" s="66" t="e">
        <f t="shared" si="36"/>
        <v>#REF!</v>
      </c>
      <c r="J146" s="66" t="e">
        <f t="shared" si="36"/>
        <v>#REF!</v>
      </c>
      <c r="K146" s="21" t="e">
        <f t="shared" si="36"/>
        <v>#REF!</v>
      </c>
      <c r="L146" s="21" t="e">
        <f t="shared" si="36"/>
        <v>#REF!</v>
      </c>
      <c r="M146" s="21" t="e">
        <f t="shared" si="36"/>
        <v>#REF!</v>
      </c>
      <c r="N146" s="21" t="e">
        <f t="shared" si="36"/>
        <v>#REF!</v>
      </c>
      <c r="O146" s="21" t="e">
        <f t="shared" si="36"/>
        <v>#REF!</v>
      </c>
      <c r="P146" s="21" t="e">
        <f t="shared" si="36"/>
        <v>#REF!</v>
      </c>
      <c r="Q146" s="21" t="e">
        <f t="shared" si="36"/>
        <v>#REF!</v>
      </c>
      <c r="R146" s="21" t="e">
        <f t="shared" si="36"/>
        <v>#REF!</v>
      </c>
      <c r="S146" s="21" t="e">
        <f t="shared" si="36"/>
        <v>#REF!</v>
      </c>
      <c r="T146" s="21" t="e">
        <f t="shared" si="36"/>
        <v>#REF!</v>
      </c>
      <c r="U146" s="21" t="e">
        <f t="shared" si="36"/>
        <v>#REF!</v>
      </c>
      <c r="V146" s="5"/>
    </row>
    <row r="147" spans="1:55" ht="14.5" x14ac:dyDescent="0.35">
      <c r="A147" s="3"/>
      <c r="B147" s="376" t="s">
        <v>142</v>
      </c>
      <c r="C147" s="376"/>
      <c r="D147" s="376"/>
      <c r="E147" s="21">
        <f>E146</f>
        <v>-330483.7</v>
      </c>
      <c r="F147" s="21" t="e">
        <f>E147+F146</f>
        <v>#REF!</v>
      </c>
      <c r="G147" s="21" t="e">
        <f t="shared" ref="G147:U147" si="37">F147+G146</f>
        <v>#REF!</v>
      </c>
      <c r="H147" s="21" t="e">
        <f t="shared" si="37"/>
        <v>#REF!</v>
      </c>
      <c r="I147" s="66" t="e">
        <f t="shared" si="37"/>
        <v>#REF!</v>
      </c>
      <c r="J147" s="66" t="e">
        <f t="shared" si="37"/>
        <v>#REF!</v>
      </c>
      <c r="K147" s="21" t="e">
        <f t="shared" si="37"/>
        <v>#REF!</v>
      </c>
      <c r="L147" s="21" t="e">
        <f t="shared" si="37"/>
        <v>#REF!</v>
      </c>
      <c r="M147" s="21" t="e">
        <f t="shared" si="37"/>
        <v>#REF!</v>
      </c>
      <c r="N147" s="21" t="e">
        <f t="shared" si="37"/>
        <v>#REF!</v>
      </c>
      <c r="O147" s="21" t="e">
        <f t="shared" si="37"/>
        <v>#REF!</v>
      </c>
      <c r="P147" s="21" t="e">
        <f t="shared" si="37"/>
        <v>#REF!</v>
      </c>
      <c r="Q147" s="21" t="e">
        <f t="shared" si="37"/>
        <v>#REF!</v>
      </c>
      <c r="R147" s="21" t="e">
        <f t="shared" si="37"/>
        <v>#REF!</v>
      </c>
      <c r="S147" s="21" t="e">
        <f t="shared" si="37"/>
        <v>#REF!</v>
      </c>
      <c r="T147" s="21" t="e">
        <f t="shared" si="37"/>
        <v>#REF!</v>
      </c>
      <c r="U147" s="21" t="e">
        <f t="shared" si="37"/>
        <v>#REF!</v>
      </c>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row>
    <row r="148" spans="1:55" ht="14.5" hidden="1" x14ac:dyDescent="0.35">
      <c r="A148" s="3"/>
      <c r="B148" s="376" t="s">
        <v>143</v>
      </c>
      <c r="C148" s="376"/>
      <c r="D148" s="376"/>
      <c r="E148" s="21" t="e">
        <f>E145-#REF!-E131-#REF!-E124</f>
        <v>#REF!</v>
      </c>
      <c r="F148" s="21" t="e">
        <f>F145-#REF!-F131-#REF!-F124</f>
        <v>#REF!</v>
      </c>
      <c r="G148" s="21" t="e">
        <f>G145-#REF!-G131-#REF!-G124</f>
        <v>#REF!</v>
      </c>
      <c r="H148" s="21" t="e">
        <f>H145-#REF!-H131-#REF!-H124</f>
        <v>#REF!</v>
      </c>
      <c r="I148" s="21" t="e">
        <f>I145-#REF!-I131-#REF!-I124</f>
        <v>#REF!</v>
      </c>
      <c r="J148" s="21" t="e">
        <f>J145-#REF!-J131-#REF!-J124</f>
        <v>#REF!</v>
      </c>
      <c r="K148" s="21" t="e">
        <f>K145-#REF!-K131-#REF!-K124</f>
        <v>#REF!</v>
      </c>
      <c r="L148" s="21" t="e">
        <f>L145-#REF!-L131-#REF!-L124</f>
        <v>#REF!</v>
      </c>
      <c r="M148" s="21" t="e">
        <f>M145-#REF!-M131-#REF!-M124</f>
        <v>#REF!</v>
      </c>
      <c r="N148" s="21" t="e">
        <f>N145-#REF!-N131-#REF!-N124</f>
        <v>#REF!</v>
      </c>
      <c r="O148" s="21" t="e">
        <f>O145-#REF!-O131-#REF!-O124</f>
        <v>#REF!</v>
      </c>
      <c r="P148" s="21" t="e">
        <f>P145-#REF!-P131-#REF!-P124</f>
        <v>#REF!</v>
      </c>
      <c r="Q148" s="21" t="e">
        <f>Q145-#REF!-Q131-#REF!-Q124</f>
        <v>#REF!</v>
      </c>
      <c r="R148" s="21" t="e">
        <f>R145-#REF!-R131-#REF!-R124</f>
        <v>#REF!</v>
      </c>
      <c r="S148" s="21" t="e">
        <f>S145-#REF!-S131-#REF!-S124</f>
        <v>#REF!</v>
      </c>
      <c r="T148" s="21" t="e">
        <f>T145-#REF!-T131-#REF!-T124</f>
        <v>#REF!</v>
      </c>
      <c r="U148" s="21" t="e">
        <f>U145-#REF!-U131-#REF!-U124</f>
        <v>#REF!</v>
      </c>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row>
    <row r="149" spans="1:55" ht="13.5" x14ac:dyDescent="0.35">
      <c r="B149" s="365" t="s">
        <v>10</v>
      </c>
      <c r="C149" s="365"/>
      <c r="D149" s="365"/>
      <c r="E149" s="364" t="e">
        <f>NPV(CBA!$I$17,F146:U146)+E146</f>
        <v>#REF!</v>
      </c>
      <c r="F149" s="365"/>
      <c r="G149" s="2"/>
      <c r="H149" s="2"/>
      <c r="I149" s="67"/>
      <c r="J149" s="67"/>
      <c r="K149" s="2"/>
      <c r="L149" s="2"/>
      <c r="M149" s="2"/>
      <c r="N149" s="2"/>
      <c r="O149" s="2"/>
      <c r="P149" s="2"/>
      <c r="Q149" s="2"/>
      <c r="R149" s="2"/>
      <c r="S149" s="2"/>
      <c r="T149" s="2"/>
      <c r="U149" s="2"/>
    </row>
    <row r="152" spans="1:55" x14ac:dyDescent="0.35">
      <c r="C152" s="366" t="s">
        <v>131</v>
      </c>
      <c r="D152" s="367"/>
      <c r="E152" s="76">
        <f>NPV(CBA!$I$17,F140:U140)+E140</f>
        <v>2862151.0596706094</v>
      </c>
    </row>
    <row r="153" spans="1:55" x14ac:dyDescent="0.35">
      <c r="C153" s="390" t="s">
        <v>132</v>
      </c>
      <c r="D153" s="391"/>
      <c r="E153" s="77" t="e">
        <f>NPV(CBA!$I$17,F145:U145)+E145</f>
        <v>#REF!</v>
      </c>
    </row>
  </sheetData>
  <mergeCells count="192">
    <mergeCell ref="D49:E49"/>
    <mergeCell ref="F49:G49"/>
    <mergeCell ref="M22:N22"/>
    <mergeCell ref="D22:E22"/>
    <mergeCell ref="K12:L12"/>
    <mergeCell ref="M12:N12"/>
    <mergeCell ref="B19:O20"/>
    <mergeCell ref="M28:N28"/>
    <mergeCell ref="K28:L28"/>
    <mergeCell ref="K16:L16"/>
    <mergeCell ref="K38:L38"/>
    <mergeCell ref="M38:N38"/>
    <mergeCell ref="B16:C16"/>
    <mergeCell ref="B22:C22"/>
    <mergeCell ref="M42:N42"/>
    <mergeCell ref="K49:L49"/>
    <mergeCell ref="M49:N49"/>
    <mergeCell ref="I34:J34"/>
    <mergeCell ref="B34:C34"/>
    <mergeCell ref="D34:E34"/>
    <mergeCell ref="F34:G34"/>
    <mergeCell ref="F40:G40"/>
    <mergeCell ref="B49:C49"/>
    <mergeCell ref="I49:J49"/>
    <mergeCell ref="B42:C42"/>
    <mergeCell ref="D42:E42"/>
    <mergeCell ref="F42:G42"/>
    <mergeCell ref="B18:C18"/>
    <mergeCell ref="F16:G16"/>
    <mergeCell ref="I16:J16"/>
    <mergeCell ref="F36:G36"/>
    <mergeCell ref="I38:J38"/>
    <mergeCell ref="I22:J22"/>
    <mergeCell ref="I28:J28"/>
    <mergeCell ref="F28:G28"/>
    <mergeCell ref="I36:J36"/>
    <mergeCell ref="D16:E16"/>
    <mergeCell ref="B28:C28"/>
    <mergeCell ref="D28:E28"/>
    <mergeCell ref="B31:O32"/>
    <mergeCell ref="B36:C36"/>
    <mergeCell ref="B38:C38"/>
    <mergeCell ref="I42:J42"/>
    <mergeCell ref="K34:L34"/>
    <mergeCell ref="M34:N34"/>
    <mergeCell ref="K22:L22"/>
    <mergeCell ref="F22:G22"/>
    <mergeCell ref="F38:G38"/>
    <mergeCell ref="B2:C3"/>
    <mergeCell ref="D2:O3"/>
    <mergeCell ref="B44:O45"/>
    <mergeCell ref="B47:C47"/>
    <mergeCell ref="D47:E47"/>
    <mergeCell ref="F47:G47"/>
    <mergeCell ref="I47:J47"/>
    <mergeCell ref="K47:L47"/>
    <mergeCell ref="M47:N47"/>
    <mergeCell ref="M16:N16"/>
    <mergeCell ref="B14:C14"/>
    <mergeCell ref="D14:E14"/>
    <mergeCell ref="F14:G14"/>
    <mergeCell ref="I14:J14"/>
    <mergeCell ref="K14:L14"/>
    <mergeCell ref="M14:N14"/>
    <mergeCell ref="B12:C12"/>
    <mergeCell ref="D12:E12"/>
    <mergeCell ref="F12:G12"/>
    <mergeCell ref="I12:J12"/>
    <mergeCell ref="K42:L42"/>
    <mergeCell ref="K36:L36"/>
    <mergeCell ref="F10:G10"/>
    <mergeCell ref="I10:J10"/>
    <mergeCell ref="M51:N51"/>
    <mergeCell ref="B98:C98"/>
    <mergeCell ref="I53:J53"/>
    <mergeCell ref="K53:L53"/>
    <mergeCell ref="M53:N53"/>
    <mergeCell ref="B51:C51"/>
    <mergeCell ref="D51:E51"/>
    <mergeCell ref="F51:G51"/>
    <mergeCell ref="B87:U88"/>
    <mergeCell ref="B95:U96"/>
    <mergeCell ref="B56:U57"/>
    <mergeCell ref="B83:C83"/>
    <mergeCell ref="B63:C63"/>
    <mergeCell ref="B64:C64"/>
    <mergeCell ref="K51:L51"/>
    <mergeCell ref="F53:G53"/>
    <mergeCell ref="I51:J51"/>
    <mergeCell ref="C107:D108"/>
    <mergeCell ref="B109:B118"/>
    <mergeCell ref="C118:D118"/>
    <mergeCell ref="B99:C99"/>
    <mergeCell ref="B62:C62"/>
    <mergeCell ref="B65:C65"/>
    <mergeCell ref="B59:C59"/>
    <mergeCell ref="B60:C60"/>
    <mergeCell ref="B61:C61"/>
    <mergeCell ref="B104:U105"/>
    <mergeCell ref="B107:B108"/>
    <mergeCell ref="B76:C76"/>
    <mergeCell ref="B70:U71"/>
    <mergeCell ref="C109:D109"/>
    <mergeCell ref="C110:D110"/>
    <mergeCell ref="B66:C66"/>
    <mergeCell ref="B67:C67"/>
    <mergeCell ref="B80:C80"/>
    <mergeCell ref="B81:C81"/>
    <mergeCell ref="B101:C101"/>
    <mergeCell ref="K10:L10"/>
    <mergeCell ref="M10:N10"/>
    <mergeCell ref="B5:O6"/>
    <mergeCell ref="B8:C8"/>
    <mergeCell ref="D8:E8"/>
    <mergeCell ref="F8:G8"/>
    <mergeCell ref="I8:J8"/>
    <mergeCell ref="K8:L8"/>
    <mergeCell ref="M8:N8"/>
    <mergeCell ref="B10:C10"/>
    <mergeCell ref="D10:E10"/>
    <mergeCell ref="C153:D153"/>
    <mergeCell ref="M26:N26"/>
    <mergeCell ref="B24:C24"/>
    <mergeCell ref="D24:E24"/>
    <mergeCell ref="F24:G24"/>
    <mergeCell ref="I24:J24"/>
    <mergeCell ref="K24:L24"/>
    <mergeCell ref="M24:N24"/>
    <mergeCell ref="I26:J26"/>
    <mergeCell ref="K26:L26"/>
    <mergeCell ref="B26:C26"/>
    <mergeCell ref="D26:E26"/>
    <mergeCell ref="F26:G26"/>
    <mergeCell ref="B84:C84"/>
    <mergeCell ref="B73:C73"/>
    <mergeCell ref="B74:C74"/>
    <mergeCell ref="B75:C75"/>
    <mergeCell ref="B79:C79"/>
    <mergeCell ref="M36:N36"/>
    <mergeCell ref="I40:J40"/>
    <mergeCell ref="K40:L40"/>
    <mergeCell ref="M40:N40"/>
    <mergeCell ref="B40:C40"/>
    <mergeCell ref="D40:E40"/>
    <mergeCell ref="E149:F149"/>
    <mergeCell ref="C113:D113"/>
    <mergeCell ref="C152:D152"/>
    <mergeCell ref="B138:B139"/>
    <mergeCell ref="C138:D139"/>
    <mergeCell ref="B141:B145"/>
    <mergeCell ref="C141:D141"/>
    <mergeCell ref="C143:D143"/>
    <mergeCell ref="C145:D145"/>
    <mergeCell ref="B146:D146"/>
    <mergeCell ref="B149:D149"/>
    <mergeCell ref="C144:D144"/>
    <mergeCell ref="C142:D142"/>
    <mergeCell ref="C140:D140"/>
    <mergeCell ref="B147:D147"/>
    <mergeCell ref="B148:D148"/>
    <mergeCell ref="C136:D136"/>
    <mergeCell ref="C125:D125"/>
    <mergeCell ref="C133:D133"/>
    <mergeCell ref="B128:B129"/>
    <mergeCell ref="C128:D129"/>
    <mergeCell ref="B130:B136"/>
    <mergeCell ref="C130:D130"/>
    <mergeCell ref="C131:D131"/>
    <mergeCell ref="D36:E36"/>
    <mergeCell ref="D38:E38"/>
    <mergeCell ref="C135:D135"/>
    <mergeCell ref="C134:D134"/>
    <mergeCell ref="C114:D114"/>
    <mergeCell ref="C115:D115"/>
    <mergeCell ref="B102:C102"/>
    <mergeCell ref="C132:D132"/>
    <mergeCell ref="B53:C53"/>
    <mergeCell ref="D53:E53"/>
    <mergeCell ref="B121:B122"/>
    <mergeCell ref="C121:D122"/>
    <mergeCell ref="B123:B125"/>
    <mergeCell ref="C123:D123"/>
    <mergeCell ref="C124:D124"/>
    <mergeCell ref="B82:C82"/>
    <mergeCell ref="B90:C90"/>
    <mergeCell ref="B91:C91"/>
    <mergeCell ref="B92:C92"/>
    <mergeCell ref="C116:D116"/>
    <mergeCell ref="C117:D117"/>
    <mergeCell ref="C111:D111"/>
    <mergeCell ref="C112:D112"/>
    <mergeCell ref="B100:C100"/>
  </mergeCells>
  <conditionalFormatting sqref="E149:F149">
    <cfRule type="cellIs" dxfId="5" priority="1" operator="lessThan">
      <formula>0</formula>
    </cfRule>
    <cfRule type="cellIs" dxfId="4" priority="2" operator="greaterThan">
      <formula>0</formula>
    </cfRule>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theme="0" tint="-0.34998626667073579"/>
  </sheetPr>
  <dimension ref="A2:BC42"/>
  <sheetViews>
    <sheetView showGridLines="0" zoomScale="70" zoomScaleNormal="70" zoomScalePageLayoutView="70" workbookViewId="0">
      <selection activeCell="E2" sqref="E2:O3"/>
    </sheetView>
  </sheetViews>
  <sheetFormatPr defaultColWidth="10.81640625" defaultRowHeight="12.5" x14ac:dyDescent="0.35"/>
  <cols>
    <col min="1" max="1" width="2.7265625" style="30" customWidth="1"/>
    <col min="2" max="2" width="12.26953125" style="30" bestFit="1" customWidth="1"/>
    <col min="3" max="3" width="25.81640625" style="30" customWidth="1"/>
    <col min="4" max="4" width="26.26953125" style="30" customWidth="1"/>
    <col min="5" max="5" width="14.81640625" style="30" customWidth="1"/>
    <col min="6" max="6" width="15.81640625" style="30" bestFit="1" customWidth="1"/>
    <col min="7" max="7" width="16.453125" style="30" customWidth="1"/>
    <col min="8" max="8" width="16.1796875" style="30" customWidth="1"/>
    <col min="9" max="9" width="17.81640625" style="30" customWidth="1"/>
    <col min="10" max="10" width="25" style="30" customWidth="1"/>
    <col min="11" max="11" width="16.1796875" style="30" customWidth="1"/>
    <col min="12" max="12" width="18.453125" style="30" customWidth="1"/>
    <col min="13" max="13" width="19.1796875" style="30" customWidth="1"/>
    <col min="14" max="14" width="18.1796875" style="30" customWidth="1"/>
    <col min="15" max="15" width="16.7265625" style="30" customWidth="1"/>
    <col min="16" max="16" width="15.1796875" style="30" customWidth="1"/>
    <col min="17" max="17" width="14.81640625" style="30" customWidth="1"/>
    <col min="18" max="18" width="15.26953125" style="30" customWidth="1"/>
    <col min="19" max="19" width="16.26953125" style="30" customWidth="1"/>
    <col min="20" max="20" width="16.81640625" style="30" customWidth="1"/>
    <col min="21" max="21" width="17" style="30" customWidth="1"/>
    <col min="22" max="16384" width="10.81640625" style="30"/>
  </cols>
  <sheetData>
    <row r="2" spans="2:15" ht="13.5" customHeight="1" x14ac:dyDescent="0.35">
      <c r="B2" s="449" t="e">
        <f>#REF!</f>
        <v>#REF!</v>
      </c>
      <c r="C2" s="449"/>
      <c r="D2" s="449"/>
      <c r="E2" s="450" t="e">
        <f>#REF!</f>
        <v>#REF!</v>
      </c>
      <c r="F2" s="450"/>
      <c r="G2" s="450"/>
      <c r="H2" s="450"/>
      <c r="I2" s="450"/>
      <c r="J2" s="450"/>
      <c r="K2" s="450"/>
      <c r="L2" s="450"/>
      <c r="M2" s="450"/>
      <c r="N2" s="450"/>
      <c r="O2" s="450"/>
    </row>
    <row r="3" spans="2:15" ht="13.5" customHeight="1" x14ac:dyDescent="0.35">
      <c r="B3" s="449"/>
      <c r="C3" s="449"/>
      <c r="D3" s="449"/>
      <c r="E3" s="450"/>
      <c r="F3" s="450"/>
      <c r="G3" s="450"/>
      <c r="H3" s="450"/>
      <c r="I3" s="450"/>
      <c r="J3" s="450"/>
      <c r="K3" s="450"/>
      <c r="L3" s="450"/>
      <c r="M3" s="450"/>
      <c r="N3" s="450"/>
      <c r="O3" s="450"/>
    </row>
    <row r="6" spans="2:15" x14ac:dyDescent="0.35">
      <c r="B6" s="439" t="s">
        <v>2</v>
      </c>
      <c r="C6" s="439"/>
      <c r="D6" s="439"/>
      <c r="E6" s="439"/>
      <c r="F6" s="439"/>
      <c r="G6" s="439"/>
      <c r="H6" s="439"/>
      <c r="I6" s="439"/>
      <c r="J6" s="439"/>
      <c r="K6" s="439"/>
      <c r="L6" s="439"/>
      <c r="M6" s="439"/>
      <c r="N6" s="439"/>
      <c r="O6" s="439"/>
    </row>
    <row r="7" spans="2:15" x14ac:dyDescent="0.35">
      <c r="B7" s="439"/>
      <c r="C7" s="439"/>
      <c r="D7" s="439"/>
      <c r="E7" s="439"/>
      <c r="F7" s="439"/>
      <c r="G7" s="439"/>
      <c r="H7" s="439"/>
      <c r="I7" s="439"/>
      <c r="J7" s="439"/>
      <c r="K7" s="439"/>
      <c r="L7" s="439"/>
      <c r="M7" s="439"/>
      <c r="N7" s="439"/>
      <c r="O7" s="439"/>
    </row>
    <row r="9" spans="2:15" ht="13.5" x14ac:dyDescent="0.35">
      <c r="B9" s="441"/>
      <c r="C9" s="441"/>
      <c r="D9" s="451"/>
      <c r="E9" s="451"/>
      <c r="F9" s="440"/>
      <c r="G9" s="440"/>
      <c r="H9" s="31"/>
      <c r="I9" s="441"/>
      <c r="J9" s="441"/>
      <c r="K9" s="452"/>
      <c r="L9" s="452"/>
      <c r="M9" s="440"/>
      <c r="N9" s="440"/>
      <c r="O9" s="31"/>
    </row>
    <row r="10" spans="2:15" ht="13.5" x14ac:dyDescent="0.35">
      <c r="D10" s="1"/>
      <c r="E10" s="1"/>
      <c r="F10" s="1"/>
      <c r="G10" s="2"/>
      <c r="H10" s="31"/>
      <c r="K10" s="1"/>
      <c r="L10" s="1"/>
      <c r="M10" s="1"/>
      <c r="N10" s="2"/>
      <c r="O10" s="31"/>
    </row>
    <row r="11" spans="2:15" ht="13.5" x14ac:dyDescent="0.35">
      <c r="B11" s="441"/>
      <c r="C11" s="441"/>
      <c r="D11" s="442"/>
      <c r="E11" s="442"/>
      <c r="F11" s="440"/>
      <c r="G11" s="440"/>
      <c r="H11" s="31"/>
      <c r="I11" s="443"/>
      <c r="J11" s="444"/>
      <c r="K11" s="445"/>
      <c r="L11" s="446"/>
      <c r="M11" s="440"/>
      <c r="N11" s="440"/>
      <c r="O11" s="31"/>
    </row>
    <row r="12" spans="2:15" ht="13.5" x14ac:dyDescent="0.35">
      <c r="D12" s="1"/>
      <c r="E12" s="1"/>
      <c r="F12" s="1"/>
      <c r="G12" s="2"/>
      <c r="H12" s="31"/>
      <c r="N12" s="31"/>
      <c r="O12" s="31"/>
    </row>
    <row r="13" spans="2:15" ht="30" customHeight="1" x14ac:dyDescent="0.35">
      <c r="B13" s="443"/>
      <c r="C13" s="444"/>
      <c r="D13" s="445"/>
      <c r="E13" s="446"/>
      <c r="F13" s="440"/>
      <c r="G13" s="440"/>
      <c r="H13" s="31"/>
      <c r="I13" s="443"/>
      <c r="J13" s="444"/>
      <c r="K13" s="447"/>
      <c r="L13" s="448"/>
      <c r="M13" s="440"/>
      <c r="N13" s="440"/>
      <c r="O13" s="31"/>
    </row>
    <row r="16" spans="2:15" x14ac:dyDescent="0.35">
      <c r="B16" s="439" t="s">
        <v>3</v>
      </c>
      <c r="C16" s="439"/>
      <c r="D16" s="439"/>
      <c r="E16" s="439"/>
      <c r="F16" s="439"/>
      <c r="G16" s="439"/>
      <c r="H16" s="439"/>
      <c r="I16" s="439"/>
      <c r="J16" s="439"/>
      <c r="K16" s="439"/>
      <c r="L16" s="439"/>
      <c r="M16" s="439"/>
      <c r="N16" s="439"/>
      <c r="O16" s="439"/>
    </row>
    <row r="17" spans="1:22" x14ac:dyDescent="0.35">
      <c r="B17" s="439"/>
      <c r="C17" s="439"/>
      <c r="D17" s="439"/>
      <c r="E17" s="439"/>
      <c r="F17" s="439"/>
      <c r="G17" s="439"/>
      <c r="H17" s="439"/>
      <c r="I17" s="439"/>
      <c r="J17" s="439"/>
      <c r="K17" s="439"/>
      <c r="L17" s="439"/>
      <c r="M17" s="439"/>
      <c r="N17" s="439"/>
      <c r="O17" s="439"/>
    </row>
    <row r="19" spans="1:22" x14ac:dyDescent="0.35">
      <c r="B19" s="353" t="s">
        <v>4</v>
      </c>
      <c r="C19" s="353"/>
      <c r="D19" s="115" t="s">
        <v>5</v>
      </c>
      <c r="E19" s="115">
        <v>2014</v>
      </c>
      <c r="F19" s="115">
        <v>2015</v>
      </c>
      <c r="G19" s="115">
        <v>2016</v>
      </c>
      <c r="H19" s="115">
        <v>2017</v>
      </c>
      <c r="I19" s="115">
        <v>2018</v>
      </c>
      <c r="J19" s="115">
        <v>2019</v>
      </c>
      <c r="K19" s="115">
        <v>2020</v>
      </c>
      <c r="L19" s="115">
        <v>2021</v>
      </c>
      <c r="M19" s="115">
        <v>2022</v>
      </c>
      <c r="N19" s="115">
        <v>2023</v>
      </c>
      <c r="O19" s="115">
        <v>2024</v>
      </c>
      <c r="P19" s="115">
        <v>2025</v>
      </c>
      <c r="Q19" s="115">
        <v>2026</v>
      </c>
      <c r="R19" s="115">
        <v>2027</v>
      </c>
      <c r="S19" s="115">
        <v>2028</v>
      </c>
      <c r="T19" s="115">
        <v>2029</v>
      </c>
      <c r="U19" s="115">
        <v>2030</v>
      </c>
    </row>
    <row r="20" spans="1:22" x14ac:dyDescent="0.35">
      <c r="B20" s="359"/>
      <c r="C20" s="359"/>
      <c r="D20" s="110"/>
      <c r="E20" s="110"/>
      <c r="F20" s="110"/>
      <c r="G20" s="110"/>
      <c r="H20" s="110"/>
      <c r="I20" s="110"/>
      <c r="J20" s="110"/>
      <c r="K20" s="110"/>
      <c r="L20" s="110"/>
      <c r="M20" s="110"/>
      <c r="N20" s="110"/>
      <c r="O20" s="110"/>
      <c r="P20" s="110"/>
      <c r="Q20" s="110"/>
      <c r="R20" s="110"/>
      <c r="S20" s="110"/>
      <c r="T20" s="110"/>
      <c r="U20" s="110"/>
    </row>
    <row r="21" spans="1:22" x14ac:dyDescent="0.35">
      <c r="B21" s="399"/>
      <c r="C21" s="399"/>
      <c r="D21" s="116"/>
      <c r="E21" s="116"/>
      <c r="F21" s="116"/>
      <c r="G21" s="116"/>
      <c r="H21" s="116"/>
      <c r="I21" s="116"/>
      <c r="J21" s="116"/>
      <c r="K21" s="116"/>
      <c r="L21" s="116"/>
      <c r="M21" s="116"/>
      <c r="N21" s="116"/>
      <c r="O21" s="116"/>
      <c r="P21" s="116"/>
      <c r="Q21" s="116"/>
      <c r="R21" s="116"/>
      <c r="S21" s="116"/>
      <c r="T21" s="116"/>
      <c r="U21" s="116"/>
    </row>
    <row r="22" spans="1:22" s="1" customFormat="1" x14ac:dyDescent="0.35">
      <c r="B22" s="359"/>
      <c r="C22" s="359"/>
      <c r="D22" s="110"/>
      <c r="E22" s="110"/>
      <c r="F22" s="110"/>
      <c r="G22" s="110"/>
      <c r="H22" s="110"/>
      <c r="I22" s="110"/>
      <c r="J22" s="110"/>
      <c r="K22" s="110"/>
      <c r="L22" s="110"/>
      <c r="M22" s="110"/>
      <c r="N22" s="110"/>
      <c r="O22" s="110"/>
      <c r="P22" s="110"/>
      <c r="Q22" s="110"/>
      <c r="R22" s="110"/>
      <c r="S22" s="110"/>
      <c r="T22" s="110"/>
      <c r="U22" s="110"/>
    </row>
    <row r="23" spans="1:22" x14ac:dyDescent="0.35">
      <c r="B23" s="399"/>
      <c r="C23" s="399"/>
      <c r="D23" s="116"/>
      <c r="E23" s="116"/>
      <c r="F23" s="116"/>
      <c r="G23" s="116"/>
      <c r="H23" s="116"/>
      <c r="I23" s="116"/>
      <c r="J23" s="116"/>
      <c r="K23" s="116"/>
      <c r="L23" s="116"/>
      <c r="M23" s="116"/>
      <c r="N23" s="116"/>
      <c r="O23" s="116"/>
      <c r="P23" s="116"/>
      <c r="Q23" s="116"/>
      <c r="R23" s="116"/>
      <c r="S23" s="116"/>
      <c r="T23" s="116"/>
      <c r="U23" s="116"/>
      <c r="V23" s="11"/>
    </row>
    <row r="24" spans="1:22" x14ac:dyDescent="0.35">
      <c r="B24" s="359"/>
      <c r="C24" s="359"/>
      <c r="D24" s="110"/>
      <c r="E24" s="110"/>
      <c r="F24" s="110"/>
      <c r="G24" s="110"/>
      <c r="H24" s="110"/>
      <c r="I24" s="110"/>
      <c r="J24" s="110"/>
      <c r="K24" s="110"/>
      <c r="L24" s="110"/>
      <c r="M24" s="110"/>
      <c r="N24" s="110"/>
      <c r="O24" s="110"/>
      <c r="P24" s="110"/>
      <c r="Q24" s="110"/>
      <c r="R24" s="110"/>
      <c r="S24" s="110"/>
      <c r="T24" s="110"/>
      <c r="U24" s="110"/>
    </row>
    <row r="25" spans="1:22" x14ac:dyDescent="0.35">
      <c r="B25" s="359"/>
      <c r="C25" s="359"/>
      <c r="D25" s="110"/>
      <c r="E25" s="110"/>
      <c r="F25" s="110"/>
      <c r="G25" s="110"/>
      <c r="H25" s="110"/>
      <c r="I25" s="110"/>
      <c r="J25" s="110"/>
      <c r="K25" s="110"/>
      <c r="L25" s="110"/>
      <c r="M25" s="110"/>
      <c r="N25" s="110"/>
      <c r="O25" s="110"/>
      <c r="P25" s="110"/>
      <c r="Q25" s="110"/>
      <c r="R25" s="110"/>
      <c r="S25" s="110"/>
      <c r="T25" s="110"/>
      <c r="U25" s="110"/>
    </row>
    <row r="27" spans="1:22" x14ac:dyDescent="0.35">
      <c r="B27" s="439" t="s">
        <v>6</v>
      </c>
      <c r="C27" s="439"/>
      <c r="D27" s="439"/>
      <c r="E27" s="439"/>
      <c r="F27" s="439"/>
      <c r="G27" s="439"/>
      <c r="H27" s="439"/>
      <c r="I27" s="439"/>
      <c r="J27" s="439"/>
      <c r="K27" s="439"/>
      <c r="L27" s="439"/>
      <c r="M27" s="439"/>
      <c r="N27" s="439"/>
      <c r="O27" s="439"/>
    </row>
    <row r="28" spans="1:22" x14ac:dyDescent="0.35">
      <c r="B28" s="439"/>
      <c r="C28" s="439"/>
      <c r="D28" s="439"/>
      <c r="E28" s="439"/>
      <c r="F28" s="439"/>
      <c r="G28" s="439"/>
      <c r="H28" s="439"/>
      <c r="I28" s="439"/>
      <c r="J28" s="439"/>
      <c r="K28" s="439"/>
      <c r="L28" s="439"/>
      <c r="M28" s="439"/>
      <c r="N28" s="439"/>
      <c r="O28" s="439"/>
    </row>
    <row r="30" spans="1:22" ht="15" customHeight="1" x14ac:dyDescent="0.35">
      <c r="A30" s="32"/>
      <c r="B30" s="353" t="s">
        <v>8</v>
      </c>
      <c r="C30" s="353" t="s">
        <v>7</v>
      </c>
      <c r="D30" s="353"/>
      <c r="E30" s="115">
        <v>2014</v>
      </c>
      <c r="F30" s="115">
        <v>2015</v>
      </c>
      <c r="G30" s="115">
        <v>2016</v>
      </c>
      <c r="H30" s="115">
        <v>2017</v>
      </c>
      <c r="I30" s="115">
        <v>2018</v>
      </c>
      <c r="J30" s="115">
        <v>2019</v>
      </c>
      <c r="K30" s="115">
        <v>2020</v>
      </c>
      <c r="L30" s="115">
        <v>2021</v>
      </c>
      <c r="M30" s="115">
        <v>2022</v>
      </c>
      <c r="N30" s="115">
        <v>2023</v>
      </c>
      <c r="O30" s="115">
        <v>2024</v>
      </c>
      <c r="P30" s="115">
        <v>2025</v>
      </c>
      <c r="Q30" s="115">
        <v>2026</v>
      </c>
      <c r="R30" s="115">
        <v>2027</v>
      </c>
      <c r="S30" s="115">
        <v>2028</v>
      </c>
      <c r="T30" s="115">
        <v>2029</v>
      </c>
      <c r="U30" s="114">
        <v>2030</v>
      </c>
    </row>
    <row r="31" spans="1:22" ht="15" customHeight="1" x14ac:dyDescent="0.35">
      <c r="A31" s="32"/>
      <c r="B31" s="370"/>
      <c r="C31" s="370"/>
      <c r="D31" s="370"/>
      <c r="E31" s="115">
        <v>0</v>
      </c>
      <c r="F31" s="115">
        <v>1</v>
      </c>
      <c r="G31" s="115">
        <v>2</v>
      </c>
      <c r="H31" s="115">
        <v>3</v>
      </c>
      <c r="I31" s="115">
        <v>4</v>
      </c>
      <c r="J31" s="115">
        <v>5</v>
      </c>
      <c r="K31" s="115">
        <v>6</v>
      </c>
      <c r="L31" s="115">
        <v>7</v>
      </c>
      <c r="M31" s="115">
        <v>8</v>
      </c>
      <c r="N31" s="115">
        <v>9</v>
      </c>
      <c r="O31" s="115">
        <v>10</v>
      </c>
      <c r="P31" s="115">
        <v>11</v>
      </c>
      <c r="Q31" s="115">
        <v>12</v>
      </c>
      <c r="R31" s="115">
        <v>13</v>
      </c>
      <c r="S31" s="115">
        <v>14</v>
      </c>
      <c r="T31" s="115">
        <v>15</v>
      </c>
      <c r="U31" s="114">
        <v>16</v>
      </c>
    </row>
    <row r="32" spans="1:22" x14ac:dyDescent="0.35">
      <c r="A32" s="32"/>
      <c r="B32" s="434" t="s">
        <v>12</v>
      </c>
      <c r="C32" s="436"/>
      <c r="D32" s="437"/>
      <c r="E32" s="9"/>
      <c r="F32" s="7"/>
      <c r="G32" s="7"/>
      <c r="H32" s="7"/>
      <c r="I32" s="7"/>
      <c r="J32" s="7"/>
      <c r="K32" s="7"/>
      <c r="L32" s="7"/>
      <c r="M32" s="7"/>
      <c r="N32" s="7"/>
      <c r="O32" s="7"/>
      <c r="P32" s="7"/>
      <c r="Q32" s="7"/>
      <c r="R32" s="7"/>
      <c r="S32" s="7"/>
      <c r="T32" s="7"/>
      <c r="U32" s="8"/>
    </row>
    <row r="33" spans="1:55" x14ac:dyDescent="0.35">
      <c r="A33" s="32"/>
      <c r="B33" s="435"/>
      <c r="C33" s="438" t="s">
        <v>11</v>
      </c>
      <c r="D33" s="434"/>
      <c r="E33" s="4">
        <f t="shared" ref="E33:U33" si="0">SUM(E32:E32)</f>
        <v>0</v>
      </c>
      <c r="F33" s="4">
        <f t="shared" si="0"/>
        <v>0</v>
      </c>
      <c r="G33" s="4">
        <f t="shared" si="0"/>
        <v>0</v>
      </c>
      <c r="H33" s="4">
        <f t="shared" si="0"/>
        <v>0</v>
      </c>
      <c r="I33" s="4">
        <f t="shared" si="0"/>
        <v>0</v>
      </c>
      <c r="J33" s="4">
        <f t="shared" si="0"/>
        <v>0</v>
      </c>
      <c r="K33" s="4">
        <f t="shared" si="0"/>
        <v>0</v>
      </c>
      <c r="L33" s="4">
        <f t="shared" si="0"/>
        <v>0</v>
      </c>
      <c r="M33" s="4">
        <f t="shared" si="0"/>
        <v>0</v>
      </c>
      <c r="N33" s="4">
        <f t="shared" si="0"/>
        <v>0</v>
      </c>
      <c r="O33" s="4">
        <f t="shared" si="0"/>
        <v>0</v>
      </c>
      <c r="P33" s="4">
        <f t="shared" si="0"/>
        <v>0</v>
      </c>
      <c r="Q33" s="4">
        <f t="shared" si="0"/>
        <v>0</v>
      </c>
      <c r="R33" s="4">
        <f t="shared" si="0"/>
        <v>0</v>
      </c>
      <c r="S33" s="4">
        <f t="shared" si="0"/>
        <v>0</v>
      </c>
      <c r="T33" s="4">
        <f t="shared" si="0"/>
        <v>0</v>
      </c>
      <c r="U33" s="6">
        <f t="shared" si="0"/>
        <v>0</v>
      </c>
    </row>
    <row r="34" spans="1:55" x14ac:dyDescent="0.35">
      <c r="A34" s="32"/>
      <c r="B34" s="372"/>
      <c r="C34" s="430"/>
      <c r="D34" s="431"/>
      <c r="E34" s="18"/>
      <c r="F34" s="18"/>
      <c r="G34" s="18"/>
      <c r="H34" s="18"/>
      <c r="I34" s="18"/>
      <c r="J34" s="18"/>
      <c r="K34" s="18"/>
      <c r="L34" s="18"/>
      <c r="M34" s="18"/>
      <c r="N34" s="18"/>
      <c r="O34" s="18"/>
      <c r="P34" s="18"/>
      <c r="Q34" s="18"/>
      <c r="R34" s="18"/>
      <c r="S34" s="18"/>
      <c r="T34" s="18"/>
      <c r="U34" s="18"/>
    </row>
    <row r="35" spans="1:55" x14ac:dyDescent="0.35">
      <c r="A35" s="32"/>
      <c r="B35" s="372"/>
      <c r="C35" s="432" t="s">
        <v>14</v>
      </c>
      <c r="D35" s="433"/>
      <c r="E35" s="19">
        <f t="shared" ref="E35:U35" si="1">SUM(E34:E34)</f>
        <v>0</v>
      </c>
      <c r="F35" s="20">
        <f t="shared" si="1"/>
        <v>0</v>
      </c>
      <c r="G35" s="20">
        <f t="shared" si="1"/>
        <v>0</v>
      </c>
      <c r="H35" s="20">
        <f t="shared" si="1"/>
        <v>0</v>
      </c>
      <c r="I35" s="20">
        <f t="shared" si="1"/>
        <v>0</v>
      </c>
      <c r="J35" s="20">
        <f t="shared" si="1"/>
        <v>0</v>
      </c>
      <c r="K35" s="20">
        <f t="shared" si="1"/>
        <v>0</v>
      </c>
      <c r="L35" s="20">
        <f t="shared" si="1"/>
        <v>0</v>
      </c>
      <c r="M35" s="20">
        <f t="shared" si="1"/>
        <v>0</v>
      </c>
      <c r="N35" s="20">
        <f t="shared" si="1"/>
        <v>0</v>
      </c>
      <c r="O35" s="20">
        <f t="shared" si="1"/>
        <v>0</v>
      </c>
      <c r="P35" s="20">
        <f t="shared" si="1"/>
        <v>0</v>
      </c>
      <c r="Q35" s="20">
        <f t="shared" si="1"/>
        <v>0</v>
      </c>
      <c r="R35" s="20">
        <f t="shared" si="1"/>
        <v>0</v>
      </c>
      <c r="S35" s="20">
        <f t="shared" si="1"/>
        <v>0</v>
      </c>
      <c r="T35" s="20">
        <f t="shared" si="1"/>
        <v>0</v>
      </c>
      <c r="U35" s="20">
        <f t="shared" si="1"/>
        <v>0</v>
      </c>
    </row>
    <row r="36" spans="1:55" x14ac:dyDescent="0.35">
      <c r="A36" s="32"/>
      <c r="B36" s="376" t="s">
        <v>9</v>
      </c>
      <c r="C36" s="376"/>
      <c r="D36" s="376"/>
      <c r="E36" s="21">
        <f t="shared" ref="E36:U36" si="2">E35-E33</f>
        <v>0</v>
      </c>
      <c r="F36" s="21">
        <f t="shared" si="2"/>
        <v>0</v>
      </c>
      <c r="G36" s="21">
        <f t="shared" si="2"/>
        <v>0</v>
      </c>
      <c r="H36" s="21">
        <f t="shared" si="2"/>
        <v>0</v>
      </c>
      <c r="I36" s="21">
        <f t="shared" si="2"/>
        <v>0</v>
      </c>
      <c r="J36" s="21">
        <f t="shared" si="2"/>
        <v>0</v>
      </c>
      <c r="K36" s="21">
        <f t="shared" si="2"/>
        <v>0</v>
      </c>
      <c r="L36" s="21">
        <f t="shared" si="2"/>
        <v>0</v>
      </c>
      <c r="M36" s="21">
        <f t="shared" si="2"/>
        <v>0</v>
      </c>
      <c r="N36" s="21">
        <f t="shared" si="2"/>
        <v>0</v>
      </c>
      <c r="O36" s="21">
        <f t="shared" si="2"/>
        <v>0</v>
      </c>
      <c r="P36" s="21">
        <f t="shared" si="2"/>
        <v>0</v>
      </c>
      <c r="Q36" s="21">
        <f t="shared" si="2"/>
        <v>0</v>
      </c>
      <c r="R36" s="21">
        <f t="shared" si="2"/>
        <v>0</v>
      </c>
      <c r="S36" s="21">
        <f t="shared" si="2"/>
        <v>0</v>
      </c>
      <c r="T36" s="21">
        <f t="shared" si="2"/>
        <v>0</v>
      </c>
      <c r="U36" s="21">
        <f t="shared" si="2"/>
        <v>0</v>
      </c>
    </row>
    <row r="37" spans="1:55" s="1" customFormat="1" ht="14.5" x14ac:dyDescent="0.35">
      <c r="A37" s="3"/>
      <c r="B37" s="376" t="s">
        <v>142</v>
      </c>
      <c r="C37" s="376"/>
      <c r="D37" s="376"/>
      <c r="E37" s="21">
        <f>E36</f>
        <v>0</v>
      </c>
      <c r="F37" s="21">
        <f>E37+F36</f>
        <v>0</v>
      </c>
      <c r="G37" s="21">
        <f t="shared" ref="G37:U37" si="3">F37+G36</f>
        <v>0</v>
      </c>
      <c r="H37" s="21">
        <f t="shared" si="3"/>
        <v>0</v>
      </c>
      <c r="I37" s="66">
        <f t="shared" si="3"/>
        <v>0</v>
      </c>
      <c r="J37" s="66">
        <f t="shared" si="3"/>
        <v>0</v>
      </c>
      <c r="K37" s="21">
        <f t="shared" si="3"/>
        <v>0</v>
      </c>
      <c r="L37" s="21">
        <f t="shared" si="3"/>
        <v>0</v>
      </c>
      <c r="M37" s="21">
        <f t="shared" si="3"/>
        <v>0</v>
      </c>
      <c r="N37" s="21">
        <f t="shared" si="3"/>
        <v>0</v>
      </c>
      <c r="O37" s="21">
        <f t="shared" si="3"/>
        <v>0</v>
      </c>
      <c r="P37" s="21">
        <f t="shared" si="3"/>
        <v>0</v>
      </c>
      <c r="Q37" s="21">
        <f t="shared" si="3"/>
        <v>0</v>
      </c>
      <c r="R37" s="21">
        <f t="shared" si="3"/>
        <v>0</v>
      </c>
      <c r="S37" s="21">
        <f t="shared" si="3"/>
        <v>0</v>
      </c>
      <c r="T37" s="21">
        <f t="shared" si="3"/>
        <v>0</v>
      </c>
      <c r="U37" s="21">
        <f t="shared" si="3"/>
        <v>0</v>
      </c>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row>
    <row r="38" spans="1:55" ht="13.5" x14ac:dyDescent="0.35">
      <c r="B38" s="365" t="s">
        <v>10</v>
      </c>
      <c r="C38" s="365"/>
      <c r="D38" s="365"/>
      <c r="E38" s="429">
        <f>NPV(CBA!$I$17,'PF 6-Calculations'!F36:U36)+E36</f>
        <v>0</v>
      </c>
      <c r="F38" s="429"/>
      <c r="G38" s="31"/>
      <c r="H38" s="31"/>
      <c r="I38" s="31"/>
      <c r="J38" s="31"/>
      <c r="K38" s="31"/>
      <c r="L38" s="31"/>
      <c r="M38" s="31"/>
      <c r="N38" s="31"/>
      <c r="O38" s="31"/>
      <c r="P38" s="31"/>
      <c r="Q38" s="31"/>
      <c r="R38" s="31"/>
      <c r="S38" s="31"/>
      <c r="T38" s="31"/>
      <c r="U38" s="31"/>
    </row>
    <row r="41" spans="1:55" x14ac:dyDescent="0.35">
      <c r="C41" s="366" t="s">
        <v>131</v>
      </c>
      <c r="D41" s="367"/>
      <c r="E41" s="76">
        <f>NPV(CBA!$I$17,F33:U33)+E33</f>
        <v>0</v>
      </c>
    </row>
    <row r="42" spans="1:55" x14ac:dyDescent="0.35">
      <c r="C42" s="390" t="s">
        <v>132</v>
      </c>
      <c r="D42" s="391"/>
      <c r="E42" s="77">
        <f>NPV(CBA!$I$17,F35:U35)+E35</f>
        <v>0</v>
      </c>
    </row>
  </sheetData>
  <mergeCells count="44">
    <mergeCell ref="B2:D3"/>
    <mergeCell ref="E2:O3"/>
    <mergeCell ref="B6:O7"/>
    <mergeCell ref="B9:C9"/>
    <mergeCell ref="D9:E9"/>
    <mergeCell ref="F9:G9"/>
    <mergeCell ref="I9:J9"/>
    <mergeCell ref="K9:L9"/>
    <mergeCell ref="M9:N9"/>
    <mergeCell ref="M13:N13"/>
    <mergeCell ref="B11:C11"/>
    <mergeCell ref="D11:E11"/>
    <mergeCell ref="F11:G11"/>
    <mergeCell ref="I11:J11"/>
    <mergeCell ref="K11:L11"/>
    <mergeCell ref="M11:N11"/>
    <mergeCell ref="B13:C13"/>
    <mergeCell ref="D13:E13"/>
    <mergeCell ref="F13:G13"/>
    <mergeCell ref="I13:J13"/>
    <mergeCell ref="K13:L13"/>
    <mergeCell ref="B32:B33"/>
    <mergeCell ref="C32:D32"/>
    <mergeCell ref="C33:D33"/>
    <mergeCell ref="B16:O17"/>
    <mergeCell ref="B19:C19"/>
    <mergeCell ref="B20:C20"/>
    <mergeCell ref="B21:C21"/>
    <mergeCell ref="B22:C22"/>
    <mergeCell ref="B23:C23"/>
    <mergeCell ref="B24:C24"/>
    <mergeCell ref="B25:C25"/>
    <mergeCell ref="B27:O28"/>
    <mergeCell ref="B30:B31"/>
    <mergeCell ref="C30:D31"/>
    <mergeCell ref="E38:F38"/>
    <mergeCell ref="C41:D41"/>
    <mergeCell ref="C42:D42"/>
    <mergeCell ref="B34:B35"/>
    <mergeCell ref="C34:D34"/>
    <mergeCell ref="C35:D35"/>
    <mergeCell ref="B36:D36"/>
    <mergeCell ref="B37:D37"/>
    <mergeCell ref="B38:D38"/>
  </mergeCells>
  <conditionalFormatting sqref="E45:F45 E38">
    <cfRule type="cellIs" dxfId="3" priority="1" operator="lessThan">
      <formula>0</formula>
    </cfRule>
    <cfRule type="cellIs" dxfId="2" priority="2" operator="greaterThan">
      <formula>0</formula>
    </cfRule>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rgb="FFFF0000"/>
  </sheetPr>
  <dimension ref="A2:BC163"/>
  <sheetViews>
    <sheetView showGridLines="0" topLeftCell="A122" zoomScale="85" zoomScaleNormal="85" zoomScalePageLayoutView="85" workbookViewId="0">
      <selection activeCell="A151" sqref="A151:XFD151"/>
    </sheetView>
  </sheetViews>
  <sheetFormatPr defaultColWidth="10.81640625" defaultRowHeight="12.5" x14ac:dyDescent="0.35"/>
  <cols>
    <col min="1" max="1" width="3.1796875" style="1" customWidth="1"/>
    <col min="2" max="2" width="12.26953125" style="35" bestFit="1" customWidth="1"/>
    <col min="3" max="3" width="28" style="35" customWidth="1"/>
    <col min="4" max="4" width="26.26953125" style="1" customWidth="1"/>
    <col min="5" max="5" width="14.1796875" style="1" customWidth="1"/>
    <col min="6" max="6" width="12.81640625" style="1" bestFit="1" customWidth="1"/>
    <col min="7" max="7" width="14.26953125" style="1" customWidth="1"/>
    <col min="8" max="8" width="13.81640625" style="1" customWidth="1"/>
    <col min="9" max="9" width="13.81640625" style="35" customWidth="1"/>
    <col min="10" max="10" width="15.26953125" style="35" customWidth="1"/>
    <col min="11" max="11" width="16.1796875" style="1" customWidth="1"/>
    <col min="12" max="12" width="15" style="1" customWidth="1"/>
    <col min="13" max="13" width="14.81640625" style="1" customWidth="1"/>
    <col min="14" max="14" width="15" style="1" customWidth="1"/>
    <col min="15" max="15" width="14.81640625" style="1" customWidth="1"/>
    <col min="16" max="16" width="15.1796875" style="1" customWidth="1"/>
    <col min="17" max="17" width="14.81640625" style="1" customWidth="1"/>
    <col min="18" max="18" width="15.26953125" style="1" customWidth="1"/>
    <col min="19" max="19" width="14.453125" style="1" bestFit="1" customWidth="1"/>
    <col min="20" max="20" width="15.453125" style="1" customWidth="1"/>
    <col min="21" max="21" width="14.453125" style="1" customWidth="1"/>
    <col min="22" max="22" width="14.81640625" style="1" bestFit="1" customWidth="1"/>
    <col min="23" max="16384" width="10.81640625" style="1"/>
  </cols>
  <sheetData>
    <row r="2" spans="2:15" ht="13.5" customHeight="1" x14ac:dyDescent="0.35">
      <c r="B2" s="408" t="s">
        <v>146</v>
      </c>
      <c r="C2" s="408"/>
      <c r="D2" s="409" t="s">
        <v>147</v>
      </c>
      <c r="E2" s="409"/>
      <c r="F2" s="409"/>
      <c r="G2" s="409"/>
      <c r="H2" s="409"/>
      <c r="I2" s="409"/>
      <c r="J2" s="409"/>
      <c r="K2" s="409"/>
      <c r="L2" s="409"/>
      <c r="M2" s="409"/>
      <c r="N2" s="409"/>
      <c r="O2" s="409"/>
    </row>
    <row r="3" spans="2:15" ht="13.5" customHeight="1" x14ac:dyDescent="0.35">
      <c r="B3" s="408"/>
      <c r="C3" s="408"/>
      <c r="D3" s="409"/>
      <c r="E3" s="409"/>
      <c r="F3" s="409"/>
      <c r="G3" s="409"/>
      <c r="H3" s="409"/>
      <c r="I3" s="409"/>
      <c r="J3" s="409"/>
      <c r="K3" s="409"/>
      <c r="L3" s="409"/>
      <c r="M3" s="409"/>
      <c r="N3" s="409"/>
      <c r="O3" s="409"/>
    </row>
    <row r="5" spans="2:15" x14ac:dyDescent="0.35">
      <c r="B5" s="402" t="s">
        <v>148</v>
      </c>
      <c r="C5" s="402"/>
      <c r="D5" s="402"/>
      <c r="E5" s="402"/>
      <c r="F5" s="402"/>
      <c r="G5" s="402"/>
      <c r="H5" s="402"/>
      <c r="I5" s="402"/>
      <c r="J5" s="402"/>
      <c r="K5" s="402"/>
      <c r="L5" s="402"/>
      <c r="M5" s="402"/>
      <c r="N5" s="402"/>
      <c r="O5" s="402"/>
    </row>
    <row r="6" spans="2:15" x14ac:dyDescent="0.35">
      <c r="B6" s="402"/>
      <c r="C6" s="402"/>
      <c r="D6" s="402"/>
      <c r="E6" s="402"/>
      <c r="F6" s="402"/>
      <c r="G6" s="402"/>
      <c r="H6" s="402"/>
      <c r="I6" s="402"/>
      <c r="J6" s="402"/>
      <c r="K6" s="402"/>
      <c r="L6" s="402"/>
      <c r="M6" s="402"/>
      <c r="N6" s="402"/>
      <c r="O6" s="402"/>
    </row>
    <row r="8" spans="2:15" ht="29.25" customHeight="1" x14ac:dyDescent="0.35">
      <c r="B8" s="368" t="s">
        <v>26</v>
      </c>
      <c r="C8" s="350"/>
      <c r="D8" s="394">
        <v>1482.57</v>
      </c>
      <c r="E8" s="397"/>
      <c r="F8" s="392" t="s">
        <v>70</v>
      </c>
      <c r="G8" s="393"/>
      <c r="H8" s="2"/>
      <c r="I8" s="349" t="s">
        <v>29</v>
      </c>
      <c r="J8" s="349"/>
      <c r="K8" s="394">
        <v>433475.87</v>
      </c>
      <c r="L8" s="397"/>
      <c r="M8" s="392" t="s">
        <v>70</v>
      </c>
      <c r="N8" s="393"/>
      <c r="O8" s="2"/>
    </row>
    <row r="9" spans="2:15" ht="13.5" x14ac:dyDescent="0.35">
      <c r="G9" s="2"/>
      <c r="H9" s="2"/>
      <c r="N9" s="2"/>
      <c r="O9" s="2"/>
    </row>
    <row r="10" spans="2:15" ht="16.5" customHeight="1" x14ac:dyDescent="0.35">
      <c r="B10" s="349" t="s">
        <v>23</v>
      </c>
      <c r="C10" s="349"/>
      <c r="D10" s="394">
        <v>62782.02</v>
      </c>
      <c r="E10" s="395"/>
      <c r="F10" s="392" t="s">
        <v>70</v>
      </c>
      <c r="G10" s="393"/>
      <c r="H10" s="2"/>
      <c r="I10" s="349" t="s">
        <v>30</v>
      </c>
      <c r="J10" s="349"/>
      <c r="K10" s="394">
        <v>794705.77</v>
      </c>
      <c r="L10" s="395"/>
      <c r="M10" s="392" t="s">
        <v>70</v>
      </c>
      <c r="N10" s="393"/>
      <c r="O10" s="2"/>
    </row>
    <row r="11" spans="2:15" ht="13.5" x14ac:dyDescent="0.35">
      <c r="G11" s="2"/>
      <c r="H11" s="2"/>
      <c r="N11" s="2"/>
      <c r="O11" s="2"/>
    </row>
    <row r="12" spans="2:15" ht="16.5" customHeight="1" x14ac:dyDescent="0.35">
      <c r="B12" s="349" t="s">
        <v>24</v>
      </c>
      <c r="C12" s="349"/>
      <c r="D12" s="394">
        <v>75338.429999999993</v>
      </c>
      <c r="E12" s="397"/>
      <c r="F12" s="392" t="s">
        <v>70</v>
      </c>
      <c r="G12" s="393"/>
      <c r="H12" s="2"/>
      <c r="I12" s="349" t="s">
        <v>31</v>
      </c>
      <c r="J12" s="349"/>
      <c r="K12" s="394">
        <v>2036.07</v>
      </c>
      <c r="L12" s="397"/>
      <c r="M12" s="392" t="s">
        <v>70</v>
      </c>
      <c r="N12" s="393"/>
      <c r="O12" s="2"/>
    </row>
    <row r="13" spans="2:15" ht="13.5" x14ac:dyDescent="0.35">
      <c r="G13" s="2"/>
      <c r="H13" s="2"/>
      <c r="N13" s="2"/>
      <c r="O13" s="2"/>
    </row>
    <row r="14" spans="2:15" ht="16.5" customHeight="1" x14ac:dyDescent="0.35">
      <c r="B14" s="349" t="s">
        <v>25</v>
      </c>
      <c r="C14" s="349"/>
      <c r="D14" s="394">
        <v>1842272.48</v>
      </c>
      <c r="E14" s="397"/>
      <c r="F14" s="392" t="s">
        <v>70</v>
      </c>
      <c r="G14" s="393"/>
      <c r="H14" s="2"/>
      <c r="I14" s="349" t="s">
        <v>32</v>
      </c>
      <c r="J14" s="349"/>
      <c r="K14" s="394">
        <v>697.8</v>
      </c>
      <c r="L14" s="397"/>
      <c r="M14" s="392" t="s">
        <v>70</v>
      </c>
      <c r="N14" s="393"/>
      <c r="O14" s="2"/>
    </row>
    <row r="15" spans="2:15" ht="13.5" x14ac:dyDescent="0.35">
      <c r="G15" s="2"/>
      <c r="H15" s="2"/>
      <c r="N15" s="2"/>
      <c r="O15" s="2"/>
    </row>
    <row r="16" spans="2:15" ht="16.5" customHeight="1" x14ac:dyDescent="0.35">
      <c r="B16" s="349" t="s">
        <v>41</v>
      </c>
      <c r="C16" s="349"/>
      <c r="D16" s="394">
        <f>0.407+0.204+0.179+0.28+0.048</f>
        <v>1.1180000000000001</v>
      </c>
      <c r="E16" s="397"/>
      <c r="F16" s="392" t="s">
        <v>44</v>
      </c>
      <c r="G16" s="393"/>
      <c r="H16" s="2"/>
      <c r="I16" s="423"/>
      <c r="J16" s="423"/>
      <c r="K16" s="426"/>
      <c r="L16" s="426"/>
      <c r="M16" s="414"/>
      <c r="N16" s="415"/>
      <c r="O16" s="2"/>
    </row>
    <row r="17" spans="2:22" s="34" customFormat="1" x14ac:dyDescent="0.35">
      <c r="B17" s="97"/>
      <c r="C17" s="97"/>
      <c r="D17" s="99"/>
      <c r="E17" s="99"/>
      <c r="F17" s="99"/>
      <c r="G17" s="99"/>
      <c r="H17" s="99"/>
      <c r="I17" s="97"/>
      <c r="J17" s="97"/>
      <c r="K17" s="99"/>
      <c r="L17" s="99"/>
      <c r="M17" s="99"/>
      <c r="N17" s="99"/>
      <c r="O17" s="99"/>
      <c r="P17" s="99"/>
      <c r="Q17" s="99"/>
      <c r="R17" s="99"/>
      <c r="S17" s="99"/>
      <c r="T17" s="99"/>
      <c r="U17" s="99"/>
    </row>
    <row r="18" spans="2:22" x14ac:dyDescent="0.35">
      <c r="B18" s="422"/>
      <c r="C18" s="422"/>
      <c r="E18" s="98"/>
      <c r="F18" s="98"/>
      <c r="G18" s="98"/>
      <c r="H18" s="98"/>
      <c r="I18" s="95"/>
      <c r="J18" s="95"/>
      <c r="K18" s="98"/>
      <c r="L18" s="98"/>
      <c r="M18" s="98"/>
      <c r="N18" s="98"/>
      <c r="O18" s="98"/>
      <c r="P18" s="98"/>
      <c r="Q18" s="98"/>
      <c r="R18" s="98"/>
      <c r="S18" s="98"/>
      <c r="T18" s="98"/>
      <c r="U18" s="98"/>
    </row>
    <row r="19" spans="2:22" ht="14.5" x14ac:dyDescent="0.35">
      <c r="B19" s="402" t="s">
        <v>149</v>
      </c>
      <c r="C19" s="402"/>
      <c r="D19" s="402"/>
      <c r="E19" s="402"/>
      <c r="F19" s="402"/>
      <c r="G19" s="402"/>
      <c r="H19" s="402"/>
      <c r="I19" s="402"/>
      <c r="J19" s="402"/>
      <c r="K19" s="402"/>
      <c r="L19" s="402"/>
      <c r="M19" s="402"/>
      <c r="N19" s="402"/>
      <c r="O19" s="402"/>
      <c r="P19" s="101"/>
      <c r="Q19" s="101"/>
      <c r="R19" s="101"/>
      <c r="S19" s="101"/>
      <c r="T19" s="101"/>
      <c r="U19" s="101"/>
      <c r="V19" s="101"/>
    </row>
    <row r="20" spans="2:22" ht="14.5" x14ac:dyDescent="0.35">
      <c r="B20" s="402"/>
      <c r="C20" s="402"/>
      <c r="D20" s="402"/>
      <c r="E20" s="402"/>
      <c r="F20" s="402"/>
      <c r="G20" s="402"/>
      <c r="H20" s="402"/>
      <c r="I20" s="402"/>
      <c r="J20" s="402"/>
      <c r="K20" s="402"/>
      <c r="L20" s="402"/>
      <c r="M20" s="402"/>
      <c r="N20" s="402"/>
      <c r="O20" s="402"/>
      <c r="P20" s="101"/>
      <c r="Q20" s="101"/>
      <c r="R20" s="101"/>
      <c r="S20" s="101"/>
      <c r="T20" s="101"/>
      <c r="U20" s="101"/>
      <c r="V20" s="101"/>
    </row>
    <row r="21" spans="2:22" ht="14.5" x14ac:dyDescent="0.35">
      <c r="P21" s="101"/>
      <c r="Q21" s="101"/>
      <c r="R21" s="101"/>
      <c r="S21" s="101"/>
      <c r="T21" s="101"/>
      <c r="U21" s="101"/>
      <c r="V21" s="101"/>
    </row>
    <row r="22" spans="2:22" ht="16.5" customHeight="1" x14ac:dyDescent="0.35">
      <c r="B22" s="370" t="s">
        <v>42</v>
      </c>
      <c r="C22" s="396"/>
      <c r="D22" s="394">
        <v>61.36</v>
      </c>
      <c r="E22" s="397"/>
      <c r="F22" s="392" t="s">
        <v>71</v>
      </c>
      <c r="G22" s="393"/>
      <c r="H22" s="2"/>
      <c r="I22" s="353" t="s">
        <v>111</v>
      </c>
      <c r="J22" s="396"/>
      <c r="K22" s="394">
        <f>(0.36+0.53)/2</f>
        <v>0.44500000000000001</v>
      </c>
      <c r="L22" s="397"/>
      <c r="M22" s="392" t="s">
        <v>78</v>
      </c>
      <c r="N22" s="393"/>
      <c r="O22" s="2"/>
      <c r="P22" s="101"/>
      <c r="Q22" s="101"/>
      <c r="R22" s="101"/>
      <c r="S22" s="101"/>
      <c r="T22" s="101"/>
      <c r="U22" s="101"/>
      <c r="V22" s="101"/>
    </row>
    <row r="23" spans="2:22" ht="13.5" x14ac:dyDescent="0.35">
      <c r="B23" s="1"/>
      <c r="C23" s="1"/>
      <c r="G23" s="2"/>
      <c r="H23" s="2"/>
      <c r="I23" s="1"/>
      <c r="J23" s="1"/>
      <c r="N23" s="2"/>
      <c r="O23" s="2"/>
    </row>
    <row r="24" spans="2:22" ht="16.5" customHeight="1" x14ac:dyDescent="0.35">
      <c r="B24" s="353" t="s">
        <v>43</v>
      </c>
      <c r="C24" s="353"/>
      <c r="D24" s="394">
        <v>1.99</v>
      </c>
      <c r="E24" s="395"/>
      <c r="F24" s="392" t="s">
        <v>71</v>
      </c>
      <c r="G24" s="393"/>
      <c r="H24" s="2"/>
      <c r="I24" s="353" t="s">
        <v>76</v>
      </c>
      <c r="J24" s="396"/>
      <c r="K24" s="394">
        <v>0.8</v>
      </c>
      <c r="L24" s="397"/>
      <c r="M24" s="392" t="s">
        <v>77</v>
      </c>
      <c r="N24" s="393"/>
      <c r="O24" s="2"/>
    </row>
    <row r="25" spans="2:22" ht="13.5" x14ac:dyDescent="0.35">
      <c r="B25" s="1"/>
      <c r="C25" s="1"/>
      <c r="G25" s="2"/>
      <c r="H25" s="2"/>
      <c r="I25" s="1"/>
      <c r="J25" s="1"/>
      <c r="N25" s="2"/>
      <c r="O25" s="2"/>
    </row>
    <row r="26" spans="2:22" ht="16.5" customHeight="1" x14ac:dyDescent="0.35">
      <c r="B26" s="353" t="s">
        <v>35</v>
      </c>
      <c r="C26" s="353"/>
      <c r="D26" s="394">
        <v>1875</v>
      </c>
      <c r="E26" s="397"/>
      <c r="F26" s="392" t="s">
        <v>71</v>
      </c>
      <c r="G26" s="393"/>
      <c r="H26" s="2"/>
      <c r="I26" s="353" t="s">
        <v>34</v>
      </c>
      <c r="J26" s="353"/>
      <c r="K26" s="394">
        <v>625</v>
      </c>
      <c r="L26" s="397"/>
      <c r="M26" s="392" t="s">
        <v>71</v>
      </c>
      <c r="N26" s="393"/>
      <c r="O26" s="2"/>
    </row>
    <row r="27" spans="2:22" ht="13.5" x14ac:dyDescent="0.35">
      <c r="B27" s="1"/>
      <c r="C27" s="1"/>
      <c r="G27" s="2"/>
      <c r="H27" s="2"/>
      <c r="I27" s="1"/>
      <c r="J27" s="1"/>
      <c r="N27" s="2"/>
      <c r="O27" s="2"/>
    </row>
    <row r="28" spans="2:22" ht="16.5" customHeight="1" x14ac:dyDescent="0.35">
      <c r="B28" s="353" t="s">
        <v>110</v>
      </c>
      <c r="C28" s="396"/>
      <c r="D28" s="394">
        <f>K26*3</f>
        <v>1875</v>
      </c>
      <c r="E28" s="397"/>
      <c r="F28" s="392"/>
      <c r="G28" s="425"/>
      <c r="H28" s="2"/>
      <c r="I28" s="424"/>
      <c r="J28" s="424"/>
      <c r="K28" s="426"/>
      <c r="L28" s="426"/>
      <c r="M28" s="414"/>
      <c r="N28" s="415"/>
      <c r="O28" s="2"/>
    </row>
    <row r="31" spans="2:22" x14ac:dyDescent="0.35">
      <c r="B31" s="402" t="s">
        <v>150</v>
      </c>
      <c r="C31" s="402"/>
      <c r="D31" s="402"/>
      <c r="E31" s="402"/>
      <c r="F31" s="402"/>
      <c r="G31" s="402"/>
      <c r="H31" s="402"/>
      <c r="I31" s="402"/>
      <c r="J31" s="402"/>
      <c r="K31" s="402"/>
      <c r="L31" s="402"/>
      <c r="M31" s="402"/>
      <c r="N31" s="402"/>
      <c r="O31" s="402"/>
    </row>
    <row r="32" spans="2:22" x14ac:dyDescent="0.35">
      <c r="B32" s="402"/>
      <c r="C32" s="402"/>
      <c r="D32" s="402"/>
      <c r="E32" s="402"/>
      <c r="F32" s="402"/>
      <c r="G32" s="402"/>
      <c r="H32" s="402"/>
      <c r="I32" s="402"/>
      <c r="J32" s="402"/>
      <c r="K32" s="402"/>
      <c r="L32" s="402"/>
      <c r="M32" s="402"/>
      <c r="N32" s="402"/>
      <c r="O32" s="402"/>
    </row>
    <row r="34" spans="2:15" ht="27" customHeight="1" x14ac:dyDescent="0.35">
      <c r="B34" s="368" t="s">
        <v>50</v>
      </c>
      <c r="C34" s="350"/>
      <c r="D34" s="342">
        <v>10</v>
      </c>
      <c r="E34" s="343"/>
      <c r="F34" s="400" t="s">
        <v>72</v>
      </c>
      <c r="G34" s="401"/>
      <c r="H34" s="2"/>
      <c r="I34" s="349" t="s">
        <v>65</v>
      </c>
      <c r="J34" s="349"/>
      <c r="K34" s="460">
        <v>1167.9000000000001</v>
      </c>
      <c r="L34" s="461"/>
      <c r="M34" s="400" t="s">
        <v>72</v>
      </c>
      <c r="N34" s="401"/>
      <c r="O34" s="2"/>
    </row>
    <row r="35" spans="2:15" ht="13.5" x14ac:dyDescent="0.35">
      <c r="G35" s="2"/>
      <c r="H35" s="2"/>
      <c r="N35" s="2"/>
      <c r="O35" s="2"/>
    </row>
    <row r="36" spans="2:15" ht="27" customHeight="1" x14ac:dyDescent="0.35">
      <c r="B36" s="349" t="s">
        <v>64</v>
      </c>
      <c r="C36" s="349"/>
      <c r="D36" s="394">
        <v>19.170000000000002</v>
      </c>
      <c r="E36" s="395"/>
      <c r="F36" s="400" t="s">
        <v>72</v>
      </c>
      <c r="G36" s="401"/>
      <c r="H36" s="2"/>
      <c r="I36" s="349" t="s">
        <v>62</v>
      </c>
      <c r="J36" s="349"/>
      <c r="K36" s="394">
        <v>230.12</v>
      </c>
      <c r="L36" s="397"/>
      <c r="M36" s="400" t="s">
        <v>71</v>
      </c>
      <c r="N36" s="401"/>
      <c r="O36" s="2"/>
    </row>
    <row r="37" spans="2:15" ht="13.5" x14ac:dyDescent="0.35">
      <c r="G37" s="2"/>
      <c r="H37" s="2"/>
      <c r="N37" s="2"/>
      <c r="O37" s="2"/>
    </row>
    <row r="38" spans="2:15" ht="31.5" customHeight="1" x14ac:dyDescent="0.35">
      <c r="B38" s="349" t="s">
        <v>51</v>
      </c>
      <c r="C38" s="349"/>
      <c r="D38" s="342">
        <v>10</v>
      </c>
      <c r="E38" s="343"/>
      <c r="F38" s="400" t="s">
        <v>72</v>
      </c>
      <c r="G38" s="401"/>
      <c r="H38" s="2"/>
      <c r="I38" s="349" t="s">
        <v>63</v>
      </c>
      <c r="J38" s="350"/>
      <c r="K38" s="394">
        <v>1.22</v>
      </c>
      <c r="L38" s="397"/>
      <c r="M38" s="400" t="s">
        <v>71</v>
      </c>
      <c r="N38" s="401"/>
      <c r="O38" s="2"/>
    </row>
    <row r="39" spans="2:15" ht="13.5" x14ac:dyDescent="0.35">
      <c r="G39" s="2"/>
      <c r="H39" s="2"/>
      <c r="N39" s="2"/>
      <c r="O39" s="2"/>
    </row>
    <row r="40" spans="2:15" ht="27" customHeight="1" x14ac:dyDescent="0.35">
      <c r="B40" s="349" t="s">
        <v>59</v>
      </c>
      <c r="C40" s="349"/>
      <c r="D40" s="394">
        <v>0.15</v>
      </c>
      <c r="E40" s="397"/>
      <c r="F40" s="400" t="s">
        <v>72</v>
      </c>
      <c r="G40" s="401"/>
      <c r="H40" s="2"/>
      <c r="I40" s="349" t="s">
        <v>60</v>
      </c>
      <c r="J40" s="349"/>
      <c r="K40" s="394">
        <v>32796</v>
      </c>
      <c r="L40" s="397"/>
      <c r="M40" s="400" t="s">
        <v>73</v>
      </c>
      <c r="N40" s="401"/>
      <c r="O40" s="2"/>
    </row>
    <row r="41" spans="2:15" ht="13.5" x14ac:dyDescent="0.35">
      <c r="G41" s="2"/>
      <c r="H41" s="2"/>
      <c r="N41" s="2"/>
      <c r="O41" s="2"/>
    </row>
    <row r="42" spans="2:15" ht="31.5" customHeight="1" x14ac:dyDescent="0.35">
      <c r="B42" s="349" t="s">
        <v>130</v>
      </c>
      <c r="C42" s="350"/>
      <c r="D42" s="342">
        <v>3000</v>
      </c>
      <c r="E42" s="343"/>
      <c r="F42" s="400" t="s">
        <v>72</v>
      </c>
      <c r="G42" s="401"/>
      <c r="H42" s="2"/>
      <c r="I42" s="349" t="s">
        <v>61</v>
      </c>
      <c r="J42" s="349"/>
      <c r="K42" s="394">
        <v>102</v>
      </c>
      <c r="L42" s="397"/>
      <c r="M42" s="400" t="s">
        <v>74</v>
      </c>
      <c r="N42" s="401"/>
      <c r="O42" s="2"/>
    </row>
    <row r="44" spans="2:15" ht="29.25" customHeight="1" x14ac:dyDescent="0.35">
      <c r="B44" s="349" t="s">
        <v>164</v>
      </c>
      <c r="C44" s="349"/>
      <c r="D44" s="394">
        <f>0.576+0.707+0.484+0.585+0.585+0.548+0.354+0.386+0.498+0.314+0.335+0.227+0.375</f>
        <v>5.9740000000000002</v>
      </c>
      <c r="E44" s="397"/>
      <c r="F44" s="400" t="s">
        <v>158</v>
      </c>
      <c r="G44" s="401"/>
      <c r="I44" s="349" t="s">
        <v>156</v>
      </c>
      <c r="J44" s="349"/>
      <c r="K44" s="394">
        <v>15</v>
      </c>
      <c r="L44" s="397"/>
      <c r="M44" s="400" t="s">
        <v>155</v>
      </c>
      <c r="N44" s="401"/>
    </row>
    <row r="46" spans="2:15" ht="28.5" customHeight="1" x14ac:dyDescent="0.35">
      <c r="B46" s="349" t="s">
        <v>160</v>
      </c>
      <c r="C46" s="349"/>
      <c r="D46" s="418">
        <v>0.15</v>
      </c>
      <c r="E46" s="419"/>
      <c r="F46" s="420" t="s">
        <v>72</v>
      </c>
      <c r="G46" s="421"/>
      <c r="I46" s="349" t="s">
        <v>161</v>
      </c>
      <c r="J46" s="350"/>
      <c r="K46" s="416">
        <v>3000</v>
      </c>
      <c r="L46" s="417"/>
      <c r="M46" s="420" t="s">
        <v>72</v>
      </c>
      <c r="N46" s="421"/>
    </row>
    <row r="47" spans="2:15" s="34" customFormat="1" ht="13.5" customHeight="1" x14ac:dyDescent="0.35">
      <c r="B47" s="80"/>
      <c r="C47" s="80"/>
      <c r="D47" s="111"/>
      <c r="E47" s="111"/>
      <c r="F47" s="113"/>
      <c r="G47" s="119"/>
      <c r="I47" s="94"/>
      <c r="J47" s="94"/>
    </row>
    <row r="48" spans="2:15" x14ac:dyDescent="0.35">
      <c r="B48" s="402" t="s">
        <v>109</v>
      </c>
      <c r="C48" s="402"/>
      <c r="D48" s="402"/>
      <c r="E48" s="402"/>
      <c r="F48" s="402"/>
      <c r="G48" s="402"/>
      <c r="H48" s="402"/>
      <c r="I48" s="402"/>
      <c r="J48" s="402"/>
      <c r="K48" s="402"/>
      <c r="L48" s="402"/>
      <c r="M48" s="402"/>
      <c r="N48" s="402"/>
      <c r="O48" s="402"/>
    </row>
    <row r="49" spans="2:21" x14ac:dyDescent="0.35">
      <c r="B49" s="402"/>
      <c r="C49" s="402"/>
      <c r="D49" s="402"/>
      <c r="E49" s="402"/>
      <c r="F49" s="402"/>
      <c r="G49" s="402"/>
      <c r="H49" s="402"/>
      <c r="I49" s="402"/>
      <c r="J49" s="402"/>
      <c r="K49" s="402"/>
      <c r="L49" s="402"/>
      <c r="M49" s="402"/>
      <c r="N49" s="402"/>
      <c r="O49" s="402"/>
    </row>
    <row r="51" spans="2:21" ht="42.75" customHeight="1" x14ac:dyDescent="0.35">
      <c r="B51" s="349" t="s">
        <v>115</v>
      </c>
      <c r="C51" s="350"/>
      <c r="D51" s="458">
        <v>4448</v>
      </c>
      <c r="E51" s="459"/>
      <c r="F51" s="400" t="s">
        <v>103</v>
      </c>
      <c r="G51" s="401"/>
      <c r="I51" s="349" t="s">
        <v>107</v>
      </c>
      <c r="J51" s="350"/>
      <c r="K51" s="412">
        <v>1.2447640010008001E-2</v>
      </c>
      <c r="L51" s="413"/>
      <c r="M51" s="400" t="s">
        <v>102</v>
      </c>
      <c r="N51" s="401"/>
    </row>
    <row r="53" spans="2:21" ht="43.5" customHeight="1" x14ac:dyDescent="0.35">
      <c r="B53" s="349" t="s">
        <v>129</v>
      </c>
      <c r="C53" s="350"/>
      <c r="D53" s="412">
        <v>0.1</v>
      </c>
      <c r="E53" s="413"/>
      <c r="F53" s="400" t="s">
        <v>113</v>
      </c>
      <c r="G53" s="401"/>
      <c r="I53" s="349" t="s">
        <v>116</v>
      </c>
      <c r="J53" s="350"/>
      <c r="K53" s="406">
        <f>K55/24</f>
        <v>0.48833333333333329</v>
      </c>
      <c r="L53" s="407"/>
      <c r="M53" s="400" t="s">
        <v>114</v>
      </c>
      <c r="N53" s="401"/>
    </row>
    <row r="54" spans="2:21" ht="15.5" x14ac:dyDescent="0.35">
      <c r="D54" s="42"/>
    </row>
    <row r="55" spans="2:21" ht="51.75" customHeight="1" x14ac:dyDescent="0.35">
      <c r="B55" s="349" t="s">
        <v>127</v>
      </c>
      <c r="C55" s="350"/>
      <c r="D55" s="351">
        <v>0.75</v>
      </c>
      <c r="E55" s="352"/>
      <c r="F55" s="400" t="s">
        <v>113</v>
      </c>
      <c r="G55" s="401"/>
      <c r="I55" s="349" t="s">
        <v>117</v>
      </c>
      <c r="J55" s="350"/>
      <c r="K55" s="456">
        <f>(13.51+9.93)/2</f>
        <v>11.719999999999999</v>
      </c>
      <c r="L55" s="457"/>
      <c r="M55" s="400" t="s">
        <v>157</v>
      </c>
      <c r="N55" s="401"/>
    </row>
    <row r="56" spans="2:21" ht="15.5" x14ac:dyDescent="0.35">
      <c r="D56" s="42"/>
      <c r="E56" s="42"/>
    </row>
    <row r="57" spans="2:21" ht="33.75" customHeight="1" x14ac:dyDescent="0.35">
      <c r="B57" s="349" t="s">
        <v>138</v>
      </c>
      <c r="C57" s="350"/>
      <c r="D57" s="351">
        <v>0.1</v>
      </c>
      <c r="E57" s="352"/>
      <c r="F57" s="400" t="s">
        <v>113</v>
      </c>
      <c r="G57" s="401"/>
      <c r="I57" s="349" t="s">
        <v>128</v>
      </c>
      <c r="J57" s="350"/>
      <c r="K57" s="351">
        <v>0.15</v>
      </c>
      <c r="L57" s="352"/>
      <c r="M57" s="400" t="s">
        <v>113</v>
      </c>
      <c r="N57" s="401"/>
    </row>
    <row r="58" spans="2:21" x14ac:dyDescent="0.35">
      <c r="B58" s="1"/>
      <c r="C58" s="1"/>
    </row>
    <row r="59" spans="2:21" ht="15.5" x14ac:dyDescent="0.35">
      <c r="D59" s="42"/>
      <c r="E59" s="42"/>
    </row>
    <row r="60" spans="2:21" x14ac:dyDescent="0.35">
      <c r="B60" s="402" t="s">
        <v>151</v>
      </c>
      <c r="C60" s="402"/>
      <c r="D60" s="402"/>
      <c r="E60" s="402"/>
      <c r="F60" s="402"/>
      <c r="G60" s="402"/>
      <c r="H60" s="402"/>
      <c r="I60" s="402"/>
      <c r="J60" s="402"/>
      <c r="K60" s="402"/>
      <c r="L60" s="402"/>
      <c r="M60" s="402"/>
      <c r="N60" s="402"/>
      <c r="O60" s="402"/>
      <c r="P60" s="402"/>
      <c r="Q60" s="402"/>
      <c r="R60" s="402"/>
      <c r="S60" s="402"/>
      <c r="T60" s="402"/>
      <c r="U60" s="402"/>
    </row>
    <row r="61" spans="2:21" x14ac:dyDescent="0.35">
      <c r="B61" s="402"/>
      <c r="C61" s="402"/>
      <c r="D61" s="402"/>
      <c r="E61" s="402"/>
      <c r="F61" s="402"/>
      <c r="G61" s="402"/>
      <c r="H61" s="402"/>
      <c r="I61" s="402"/>
      <c r="J61" s="402"/>
      <c r="K61" s="402"/>
      <c r="L61" s="402"/>
      <c r="M61" s="402"/>
      <c r="N61" s="402"/>
      <c r="O61" s="402"/>
      <c r="P61" s="402"/>
      <c r="Q61" s="402"/>
      <c r="R61" s="402"/>
      <c r="S61" s="402"/>
      <c r="T61" s="402"/>
      <c r="U61" s="402"/>
    </row>
    <row r="63" spans="2:21" x14ac:dyDescent="0.35">
      <c r="B63" s="349" t="s">
        <v>4</v>
      </c>
      <c r="C63" s="349"/>
      <c r="D63" s="106" t="s">
        <v>5</v>
      </c>
      <c r="E63" s="106">
        <v>2014</v>
      </c>
      <c r="F63" s="106">
        <v>2015</v>
      </c>
      <c r="G63" s="106">
        <v>2016</v>
      </c>
      <c r="H63" s="106">
        <v>2017</v>
      </c>
      <c r="I63" s="105">
        <v>2018</v>
      </c>
      <c r="J63" s="105">
        <v>2019</v>
      </c>
      <c r="K63" s="106">
        <v>2020</v>
      </c>
      <c r="L63" s="106">
        <v>2021</v>
      </c>
      <c r="M63" s="106">
        <v>2022</v>
      </c>
      <c r="N63" s="106">
        <v>2023</v>
      </c>
      <c r="O63" s="106">
        <v>2024</v>
      </c>
      <c r="P63" s="106">
        <v>2025</v>
      </c>
      <c r="Q63" s="106">
        <v>2026</v>
      </c>
      <c r="R63" s="106">
        <v>2027</v>
      </c>
      <c r="S63" s="106">
        <v>2028</v>
      </c>
      <c r="T63" s="106">
        <v>2029</v>
      </c>
      <c r="U63" s="106">
        <v>2030</v>
      </c>
    </row>
    <row r="64" spans="2:21" x14ac:dyDescent="0.35">
      <c r="B64" s="360" t="s">
        <v>16</v>
      </c>
      <c r="C64" s="360"/>
      <c r="D64" s="98" t="s">
        <v>33</v>
      </c>
      <c r="E64" s="98"/>
      <c r="F64" s="98">
        <f t="shared" ref="F64:T69" si="0">0.1*$D$16</f>
        <v>0.11180000000000001</v>
      </c>
      <c r="G64" s="98">
        <f t="shared" si="0"/>
        <v>0.11180000000000001</v>
      </c>
      <c r="H64" s="98">
        <f t="shared" si="0"/>
        <v>0.11180000000000001</v>
      </c>
      <c r="I64" s="95">
        <f t="shared" si="0"/>
        <v>0.11180000000000001</v>
      </c>
      <c r="J64" s="95">
        <f t="shared" si="0"/>
        <v>0.11180000000000001</v>
      </c>
      <c r="K64" s="98">
        <f t="shared" si="0"/>
        <v>0.11180000000000001</v>
      </c>
      <c r="L64" s="98">
        <f t="shared" si="0"/>
        <v>0.11180000000000001</v>
      </c>
      <c r="M64" s="98">
        <f t="shared" si="0"/>
        <v>0.11180000000000001</v>
      </c>
      <c r="N64" s="98">
        <f t="shared" si="0"/>
        <v>0.11180000000000001</v>
      </c>
      <c r="O64" s="98">
        <f t="shared" si="0"/>
        <v>0.11180000000000001</v>
      </c>
      <c r="P64" s="98">
        <f t="shared" si="0"/>
        <v>0.11180000000000001</v>
      </c>
      <c r="Q64" s="98"/>
      <c r="R64" s="98"/>
      <c r="S64" s="98"/>
      <c r="T64" s="98"/>
      <c r="U64" s="98"/>
    </row>
    <row r="65" spans="2:21" x14ac:dyDescent="0.35">
      <c r="B65" s="361" t="s">
        <v>17</v>
      </c>
      <c r="C65" s="361"/>
      <c r="D65" s="108" t="s">
        <v>33</v>
      </c>
      <c r="E65" s="108"/>
      <c r="F65" s="108">
        <f t="shared" si="0"/>
        <v>0.11180000000000001</v>
      </c>
      <c r="G65" s="108">
        <f t="shared" si="0"/>
        <v>0.11180000000000001</v>
      </c>
      <c r="H65" s="108">
        <f t="shared" si="0"/>
        <v>0.11180000000000001</v>
      </c>
      <c r="I65" s="107">
        <f t="shared" si="0"/>
        <v>0.11180000000000001</v>
      </c>
      <c r="J65" s="107">
        <f t="shared" si="0"/>
        <v>0.11180000000000001</v>
      </c>
      <c r="K65" s="108">
        <f t="shared" si="0"/>
        <v>0.11180000000000001</v>
      </c>
      <c r="L65" s="108">
        <f t="shared" si="0"/>
        <v>0.11180000000000001</v>
      </c>
      <c r="M65" s="108">
        <f t="shared" si="0"/>
        <v>0.11180000000000001</v>
      </c>
      <c r="N65" s="108">
        <f t="shared" si="0"/>
        <v>0.11180000000000001</v>
      </c>
      <c r="O65" s="108">
        <f t="shared" si="0"/>
        <v>0.11180000000000001</v>
      </c>
      <c r="P65" s="108">
        <f t="shared" si="0"/>
        <v>0.11180000000000001</v>
      </c>
      <c r="Q65" s="108"/>
      <c r="R65" s="108"/>
      <c r="S65" s="108"/>
      <c r="T65" s="108"/>
      <c r="U65" s="108"/>
    </row>
    <row r="66" spans="2:21" x14ac:dyDescent="0.35">
      <c r="B66" s="360" t="s">
        <v>18</v>
      </c>
      <c r="C66" s="360"/>
      <c r="D66" s="98" t="s">
        <v>33</v>
      </c>
      <c r="E66" s="98"/>
      <c r="F66" s="98"/>
      <c r="G66" s="98">
        <f t="shared" si="0"/>
        <v>0.11180000000000001</v>
      </c>
      <c r="H66" s="98">
        <f t="shared" si="0"/>
        <v>0.11180000000000001</v>
      </c>
      <c r="I66" s="95">
        <f t="shared" si="0"/>
        <v>0.11180000000000001</v>
      </c>
      <c r="J66" s="95">
        <f t="shared" si="0"/>
        <v>0.11180000000000001</v>
      </c>
      <c r="K66" s="98">
        <f t="shared" si="0"/>
        <v>0.11180000000000001</v>
      </c>
      <c r="L66" s="98">
        <f t="shared" si="0"/>
        <v>0.11180000000000001</v>
      </c>
      <c r="M66" s="98">
        <f t="shared" si="0"/>
        <v>0.11180000000000001</v>
      </c>
      <c r="N66" s="98">
        <f t="shared" si="0"/>
        <v>0.11180000000000001</v>
      </c>
      <c r="O66" s="98">
        <f t="shared" si="0"/>
        <v>0.11180000000000001</v>
      </c>
      <c r="P66" s="98">
        <f t="shared" si="0"/>
        <v>0.11180000000000001</v>
      </c>
      <c r="Q66" s="98">
        <f t="shared" si="0"/>
        <v>0.11180000000000001</v>
      </c>
      <c r="R66" s="98"/>
      <c r="S66" s="98"/>
      <c r="T66" s="98"/>
      <c r="U66" s="98"/>
    </row>
    <row r="67" spans="2:21" x14ac:dyDescent="0.35">
      <c r="B67" s="361" t="s">
        <v>27</v>
      </c>
      <c r="C67" s="361"/>
      <c r="D67" s="108" t="s">
        <v>33</v>
      </c>
      <c r="E67" s="108"/>
      <c r="F67" s="108"/>
      <c r="G67" s="108"/>
      <c r="H67" s="108">
        <f t="shared" si="0"/>
        <v>0.11180000000000001</v>
      </c>
      <c r="I67" s="107">
        <f t="shared" si="0"/>
        <v>0.11180000000000001</v>
      </c>
      <c r="J67" s="107">
        <f t="shared" si="0"/>
        <v>0.11180000000000001</v>
      </c>
      <c r="K67" s="108">
        <f t="shared" si="0"/>
        <v>0.11180000000000001</v>
      </c>
      <c r="L67" s="108">
        <f t="shared" si="0"/>
        <v>0.11180000000000001</v>
      </c>
      <c r="M67" s="108">
        <f t="shared" si="0"/>
        <v>0.11180000000000001</v>
      </c>
      <c r="N67" s="108">
        <f t="shared" si="0"/>
        <v>0.11180000000000001</v>
      </c>
      <c r="O67" s="108">
        <f t="shared" si="0"/>
        <v>0.11180000000000001</v>
      </c>
      <c r="P67" s="108">
        <f t="shared" si="0"/>
        <v>0.11180000000000001</v>
      </c>
      <c r="Q67" s="108">
        <f t="shared" si="0"/>
        <v>0.11180000000000001</v>
      </c>
      <c r="R67" s="108">
        <f t="shared" si="0"/>
        <v>0.11180000000000001</v>
      </c>
      <c r="S67" s="108"/>
      <c r="T67" s="108"/>
      <c r="U67" s="108"/>
    </row>
    <row r="68" spans="2:21" x14ac:dyDescent="0.35">
      <c r="B68" s="360" t="s">
        <v>28</v>
      </c>
      <c r="C68" s="360"/>
      <c r="D68" s="98" t="s">
        <v>33</v>
      </c>
      <c r="E68" s="98"/>
      <c r="F68" s="98"/>
      <c r="G68" s="98"/>
      <c r="H68" s="98"/>
      <c r="I68" s="95">
        <f t="shared" si="0"/>
        <v>0.11180000000000001</v>
      </c>
      <c r="J68" s="95">
        <f t="shared" si="0"/>
        <v>0.11180000000000001</v>
      </c>
      <c r="K68" s="98">
        <f t="shared" si="0"/>
        <v>0.11180000000000001</v>
      </c>
      <c r="L68" s="98">
        <f t="shared" si="0"/>
        <v>0.11180000000000001</v>
      </c>
      <c r="M68" s="98">
        <f t="shared" si="0"/>
        <v>0.11180000000000001</v>
      </c>
      <c r="N68" s="98">
        <f t="shared" si="0"/>
        <v>0.11180000000000001</v>
      </c>
      <c r="O68" s="98">
        <f t="shared" si="0"/>
        <v>0.11180000000000001</v>
      </c>
      <c r="P68" s="98">
        <f t="shared" si="0"/>
        <v>0.11180000000000001</v>
      </c>
      <c r="Q68" s="98">
        <f t="shared" si="0"/>
        <v>0.11180000000000001</v>
      </c>
      <c r="R68" s="98">
        <f t="shared" si="0"/>
        <v>0.11180000000000001</v>
      </c>
      <c r="S68" s="98">
        <f t="shared" si="0"/>
        <v>0.11180000000000001</v>
      </c>
      <c r="T68" s="98"/>
      <c r="U68" s="98"/>
    </row>
    <row r="69" spans="2:21" x14ac:dyDescent="0.35">
      <c r="B69" s="361" t="s">
        <v>20</v>
      </c>
      <c r="C69" s="361"/>
      <c r="D69" s="108" t="s">
        <v>33</v>
      </c>
      <c r="E69" s="108"/>
      <c r="F69" s="108"/>
      <c r="G69" s="108"/>
      <c r="H69" s="108"/>
      <c r="I69" s="107"/>
      <c r="J69" s="107">
        <f t="shared" si="0"/>
        <v>0.11180000000000001</v>
      </c>
      <c r="K69" s="108">
        <f t="shared" si="0"/>
        <v>0.11180000000000001</v>
      </c>
      <c r="L69" s="108">
        <f t="shared" si="0"/>
        <v>0.11180000000000001</v>
      </c>
      <c r="M69" s="108">
        <f t="shared" si="0"/>
        <v>0.11180000000000001</v>
      </c>
      <c r="N69" s="108">
        <f t="shared" si="0"/>
        <v>0.11180000000000001</v>
      </c>
      <c r="O69" s="108">
        <f t="shared" si="0"/>
        <v>0.11180000000000001</v>
      </c>
      <c r="P69" s="108">
        <f t="shared" si="0"/>
        <v>0.11180000000000001</v>
      </c>
      <c r="Q69" s="108">
        <f t="shared" si="0"/>
        <v>0.11180000000000001</v>
      </c>
      <c r="R69" s="108">
        <f t="shared" si="0"/>
        <v>0.11180000000000001</v>
      </c>
      <c r="S69" s="108">
        <f t="shared" si="0"/>
        <v>0.11180000000000001</v>
      </c>
      <c r="T69" s="108">
        <f t="shared" si="0"/>
        <v>0.11180000000000001</v>
      </c>
      <c r="U69" s="108"/>
    </row>
    <row r="70" spans="2:21" x14ac:dyDescent="0.35">
      <c r="B70" s="360" t="s">
        <v>21</v>
      </c>
      <c r="C70" s="360"/>
      <c r="D70" s="98" t="s">
        <v>33</v>
      </c>
      <c r="E70" s="98"/>
      <c r="F70" s="98"/>
      <c r="G70" s="98"/>
      <c r="H70" s="98"/>
      <c r="I70" s="95"/>
      <c r="J70" s="95"/>
      <c r="K70" s="98"/>
      <c r="L70" s="98"/>
      <c r="M70" s="98"/>
      <c r="N70" s="98"/>
      <c r="O70" s="98"/>
      <c r="P70" s="98"/>
      <c r="Q70" s="98">
        <f t="shared" ref="Q70:U71" si="1">0.2*$D$16</f>
        <v>0.22360000000000002</v>
      </c>
      <c r="R70" s="98">
        <f t="shared" si="1"/>
        <v>0.22360000000000002</v>
      </c>
      <c r="S70" s="98">
        <f t="shared" si="1"/>
        <v>0.22360000000000002</v>
      </c>
      <c r="T70" s="98">
        <f t="shared" si="1"/>
        <v>0.22360000000000002</v>
      </c>
      <c r="U70" s="98">
        <f t="shared" si="1"/>
        <v>0.22360000000000002</v>
      </c>
    </row>
    <row r="71" spans="2:21" x14ac:dyDescent="0.35">
      <c r="B71" s="361" t="s">
        <v>22</v>
      </c>
      <c r="C71" s="361"/>
      <c r="D71" s="108" t="s">
        <v>33</v>
      </c>
      <c r="E71" s="108"/>
      <c r="F71" s="108"/>
      <c r="G71" s="108"/>
      <c r="H71" s="108"/>
      <c r="I71" s="107"/>
      <c r="J71" s="107"/>
      <c r="K71" s="108"/>
      <c r="L71" s="108"/>
      <c r="M71" s="108"/>
      <c r="N71" s="108"/>
      <c r="O71" s="108"/>
      <c r="P71" s="108"/>
      <c r="Q71" s="108">
        <f t="shared" si="1"/>
        <v>0.22360000000000002</v>
      </c>
      <c r="R71" s="108">
        <f t="shared" si="1"/>
        <v>0.22360000000000002</v>
      </c>
      <c r="S71" s="108">
        <f t="shared" si="1"/>
        <v>0.22360000000000002</v>
      </c>
      <c r="T71" s="108">
        <f t="shared" si="1"/>
        <v>0.22360000000000002</v>
      </c>
      <c r="U71" s="108">
        <f t="shared" si="1"/>
        <v>0.22360000000000002</v>
      </c>
    </row>
    <row r="74" spans="2:21" x14ac:dyDescent="0.35">
      <c r="B74" s="402" t="s">
        <v>152</v>
      </c>
      <c r="C74" s="402"/>
      <c r="D74" s="402"/>
      <c r="E74" s="402"/>
      <c r="F74" s="402"/>
      <c r="G74" s="402"/>
      <c r="H74" s="402"/>
      <c r="I74" s="402"/>
      <c r="J74" s="402"/>
      <c r="K74" s="402"/>
      <c r="L74" s="402"/>
      <c r="M74" s="402"/>
      <c r="N74" s="402"/>
      <c r="O74" s="402"/>
      <c r="P74" s="402"/>
      <c r="Q74" s="402"/>
      <c r="R74" s="402"/>
      <c r="S74" s="402"/>
      <c r="T74" s="402"/>
      <c r="U74" s="402"/>
    </row>
    <row r="75" spans="2:21" x14ac:dyDescent="0.35">
      <c r="B75" s="402"/>
      <c r="C75" s="402"/>
      <c r="D75" s="402"/>
      <c r="E75" s="402"/>
      <c r="F75" s="402"/>
      <c r="G75" s="402"/>
      <c r="H75" s="402"/>
      <c r="I75" s="402"/>
      <c r="J75" s="402"/>
      <c r="K75" s="402"/>
      <c r="L75" s="402"/>
      <c r="M75" s="402"/>
      <c r="N75" s="402"/>
      <c r="O75" s="402"/>
      <c r="P75" s="402"/>
      <c r="Q75" s="402"/>
      <c r="R75" s="402"/>
      <c r="S75" s="402"/>
      <c r="T75" s="402"/>
      <c r="U75" s="402"/>
    </row>
    <row r="76" spans="2:21" x14ac:dyDescent="0.35">
      <c r="B76" s="1"/>
      <c r="C76" s="1"/>
      <c r="I76" s="1"/>
      <c r="J76" s="1"/>
    </row>
    <row r="77" spans="2:21" x14ac:dyDescent="0.35">
      <c r="B77" s="353" t="s">
        <v>4</v>
      </c>
      <c r="C77" s="353"/>
      <c r="D77" s="106" t="s">
        <v>5</v>
      </c>
      <c r="E77" s="106" t="s">
        <v>79</v>
      </c>
      <c r="F77" s="106" t="s">
        <v>80</v>
      </c>
      <c r="G77" s="106" t="s">
        <v>81</v>
      </c>
      <c r="H77" s="106" t="s">
        <v>82</v>
      </c>
      <c r="I77" s="106" t="s">
        <v>83</v>
      </c>
      <c r="J77" s="106" t="s">
        <v>84</v>
      </c>
      <c r="K77" s="106" t="s">
        <v>85</v>
      </c>
      <c r="L77" s="106" t="s">
        <v>86</v>
      </c>
      <c r="M77" s="106" t="s">
        <v>87</v>
      </c>
      <c r="N77" s="106" t="s">
        <v>88</v>
      </c>
      <c r="O77" s="106" t="s">
        <v>89</v>
      </c>
      <c r="P77" s="106" t="s">
        <v>90</v>
      </c>
      <c r="Q77" s="106" t="s">
        <v>91</v>
      </c>
    </row>
    <row r="78" spans="2:21" ht="14.5" x14ac:dyDescent="0.35">
      <c r="B78" s="398" t="s">
        <v>92</v>
      </c>
      <c r="C78" s="398"/>
      <c r="D78" s="100" t="s">
        <v>98</v>
      </c>
      <c r="E78" s="41">
        <v>75.415000000000006</v>
      </c>
      <c r="F78" s="41">
        <v>48.06</v>
      </c>
      <c r="G78" s="41">
        <v>37.295000000000002</v>
      </c>
      <c r="H78" s="41">
        <v>54.84</v>
      </c>
      <c r="I78" s="41">
        <v>116.14</v>
      </c>
      <c r="J78" s="41">
        <v>240.73</v>
      </c>
      <c r="K78" s="41">
        <v>254</v>
      </c>
      <c r="L78" s="41">
        <v>259.36</v>
      </c>
      <c r="M78" s="41">
        <v>189.69</v>
      </c>
      <c r="N78" s="41">
        <v>209.34</v>
      </c>
      <c r="O78" s="41">
        <v>232.99</v>
      </c>
      <c r="P78" s="41">
        <v>156.94999999999999</v>
      </c>
      <c r="Q78" s="39" t="s">
        <v>93</v>
      </c>
    </row>
    <row r="79" spans="2:21" x14ac:dyDescent="0.35">
      <c r="B79" s="399" t="s">
        <v>94</v>
      </c>
      <c r="C79" s="399"/>
      <c r="D79" s="28" t="s">
        <v>95</v>
      </c>
      <c r="E79" s="28">
        <v>31</v>
      </c>
      <c r="F79" s="28">
        <v>28</v>
      </c>
      <c r="G79" s="28">
        <v>31</v>
      </c>
      <c r="H79" s="28">
        <v>30</v>
      </c>
      <c r="I79" s="28">
        <v>31</v>
      </c>
      <c r="J79" s="28">
        <v>30</v>
      </c>
      <c r="K79" s="28">
        <v>31</v>
      </c>
      <c r="L79" s="28">
        <v>31</v>
      </c>
      <c r="M79" s="28">
        <v>30</v>
      </c>
      <c r="N79" s="28">
        <v>31</v>
      </c>
      <c r="O79" s="28">
        <v>30</v>
      </c>
      <c r="P79" s="28">
        <v>31</v>
      </c>
      <c r="Q79" s="28" t="s">
        <v>93</v>
      </c>
    </row>
    <row r="80" spans="2:21" ht="30.75" customHeight="1" x14ac:dyDescent="0.35">
      <c r="B80" s="403" t="s">
        <v>112</v>
      </c>
      <c r="C80" s="403"/>
      <c r="D80" s="100" t="s">
        <v>99</v>
      </c>
      <c r="E80" s="41">
        <f t="shared" ref="E80:P80" si="2">E78*$K$24*$D$28/1000</f>
        <v>113.12250000000002</v>
      </c>
      <c r="F80" s="41">
        <f t="shared" si="2"/>
        <v>72.090000000000018</v>
      </c>
      <c r="G80" s="41">
        <f t="shared" si="2"/>
        <v>55.94250000000001</v>
      </c>
      <c r="H80" s="41">
        <f t="shared" si="2"/>
        <v>82.260000000000019</v>
      </c>
      <c r="I80" s="41">
        <f t="shared" si="2"/>
        <v>174.21</v>
      </c>
      <c r="J80" s="41">
        <f t="shared" si="2"/>
        <v>361.09500000000003</v>
      </c>
      <c r="K80" s="41">
        <f t="shared" si="2"/>
        <v>381.00000000000006</v>
      </c>
      <c r="L80" s="41">
        <f t="shared" si="2"/>
        <v>389.04000000000008</v>
      </c>
      <c r="M80" s="41">
        <f t="shared" si="2"/>
        <v>284.53500000000003</v>
      </c>
      <c r="N80" s="41">
        <f t="shared" si="2"/>
        <v>314.01</v>
      </c>
      <c r="O80" s="41">
        <f t="shared" si="2"/>
        <v>349.48500000000007</v>
      </c>
      <c r="P80" s="41">
        <f t="shared" si="2"/>
        <v>235.42500000000001</v>
      </c>
      <c r="Q80" s="39">
        <f>SUM(E80:P80)</f>
        <v>2812.2150000000006</v>
      </c>
    </row>
    <row r="81" spans="2:22" s="101" customFormat="1" ht="14.5" x14ac:dyDescent="0.35"/>
    <row r="82" spans="2:22" x14ac:dyDescent="0.35">
      <c r="B82" s="1"/>
      <c r="C82" s="1"/>
      <c r="I82" s="1"/>
      <c r="J82" s="1"/>
    </row>
    <row r="83" spans="2:22" x14ac:dyDescent="0.35">
      <c r="B83" s="353" t="s">
        <v>4</v>
      </c>
      <c r="C83" s="353"/>
      <c r="D83" s="106" t="s">
        <v>5</v>
      </c>
      <c r="E83" s="106">
        <v>2014</v>
      </c>
      <c r="F83" s="106">
        <v>2015</v>
      </c>
      <c r="G83" s="106">
        <v>2016</v>
      </c>
      <c r="H83" s="106">
        <v>2017</v>
      </c>
      <c r="I83" s="106">
        <v>2018</v>
      </c>
      <c r="J83" s="106">
        <v>2019</v>
      </c>
      <c r="K83" s="106">
        <v>2020</v>
      </c>
      <c r="L83" s="106">
        <v>2021</v>
      </c>
      <c r="M83" s="106">
        <v>2022</v>
      </c>
      <c r="N83" s="106">
        <v>2023</v>
      </c>
      <c r="O83" s="106">
        <v>2024</v>
      </c>
      <c r="P83" s="106">
        <v>2025</v>
      </c>
      <c r="Q83" s="106">
        <v>2026</v>
      </c>
      <c r="R83" s="106">
        <v>2027</v>
      </c>
      <c r="S83" s="106">
        <v>2028</v>
      </c>
      <c r="T83" s="106">
        <v>2029</v>
      </c>
      <c r="U83" s="106">
        <v>2030</v>
      </c>
    </row>
    <row r="84" spans="2:22" x14ac:dyDescent="0.35">
      <c r="B84" s="359" t="s">
        <v>36</v>
      </c>
      <c r="C84" s="359"/>
      <c r="D84" s="98" t="s">
        <v>1</v>
      </c>
      <c r="E84" s="98">
        <f>D22*D26</f>
        <v>115050</v>
      </c>
      <c r="F84" s="10"/>
      <c r="G84" s="10"/>
      <c r="H84" s="10"/>
      <c r="I84" s="10"/>
      <c r="J84" s="10"/>
      <c r="K84" s="10"/>
      <c r="L84" s="10"/>
      <c r="M84" s="10"/>
      <c r="N84" s="10"/>
      <c r="O84" s="10"/>
      <c r="P84" s="10"/>
      <c r="Q84" s="10"/>
      <c r="R84" s="10"/>
      <c r="S84" s="10"/>
      <c r="T84" s="10"/>
      <c r="U84" s="10"/>
    </row>
    <row r="85" spans="2:22" x14ac:dyDescent="0.35">
      <c r="B85" s="399" t="s">
        <v>37</v>
      </c>
      <c r="C85" s="399"/>
      <c r="D85" s="108" t="s">
        <v>1</v>
      </c>
      <c r="E85" s="28">
        <f t="shared" ref="E85:U85" si="3">$D$24*$K$26</f>
        <v>1243.75</v>
      </c>
      <c r="F85" s="28">
        <f t="shared" si="3"/>
        <v>1243.75</v>
      </c>
      <c r="G85" s="28">
        <f t="shared" si="3"/>
        <v>1243.75</v>
      </c>
      <c r="H85" s="28">
        <f t="shared" si="3"/>
        <v>1243.75</v>
      </c>
      <c r="I85" s="28">
        <f t="shared" si="3"/>
        <v>1243.75</v>
      </c>
      <c r="J85" s="28">
        <f t="shared" si="3"/>
        <v>1243.75</v>
      </c>
      <c r="K85" s="28">
        <f t="shared" si="3"/>
        <v>1243.75</v>
      </c>
      <c r="L85" s="28">
        <f t="shared" si="3"/>
        <v>1243.75</v>
      </c>
      <c r="M85" s="28">
        <f t="shared" si="3"/>
        <v>1243.75</v>
      </c>
      <c r="N85" s="28">
        <f t="shared" si="3"/>
        <v>1243.75</v>
      </c>
      <c r="O85" s="28">
        <f t="shared" si="3"/>
        <v>1243.75</v>
      </c>
      <c r="P85" s="28">
        <f t="shared" si="3"/>
        <v>1243.75</v>
      </c>
      <c r="Q85" s="28">
        <f t="shared" si="3"/>
        <v>1243.75</v>
      </c>
      <c r="R85" s="28">
        <f t="shared" si="3"/>
        <v>1243.75</v>
      </c>
      <c r="S85" s="28">
        <f t="shared" si="3"/>
        <v>1243.75</v>
      </c>
      <c r="T85" s="28">
        <f t="shared" si="3"/>
        <v>1243.75</v>
      </c>
      <c r="U85" s="28">
        <f t="shared" si="3"/>
        <v>1243.75</v>
      </c>
    </row>
    <row r="86" spans="2:22" x14ac:dyDescent="0.35">
      <c r="B86" s="359" t="s">
        <v>100</v>
      </c>
      <c r="C86" s="359"/>
      <c r="D86" s="98" t="s">
        <v>101</v>
      </c>
      <c r="E86" s="98">
        <v>2</v>
      </c>
      <c r="F86" s="10">
        <v>2</v>
      </c>
      <c r="G86" s="10">
        <v>2</v>
      </c>
      <c r="H86" s="10">
        <v>2</v>
      </c>
      <c r="I86" s="10">
        <v>2</v>
      </c>
      <c r="J86" s="10">
        <v>2</v>
      </c>
      <c r="K86" s="10">
        <v>2</v>
      </c>
      <c r="L86" s="10">
        <v>2</v>
      </c>
      <c r="M86" s="10">
        <v>2</v>
      </c>
      <c r="N86" s="10">
        <v>2</v>
      </c>
      <c r="O86" s="10">
        <v>2</v>
      </c>
      <c r="P86" s="10">
        <v>2</v>
      </c>
      <c r="Q86" s="10">
        <v>2</v>
      </c>
      <c r="R86" s="10">
        <v>2</v>
      </c>
      <c r="S86" s="10">
        <v>2</v>
      </c>
      <c r="T86" s="10">
        <v>2</v>
      </c>
      <c r="U86" s="10">
        <v>2</v>
      </c>
    </row>
    <row r="87" spans="2:22" ht="14.5" x14ac:dyDescent="0.35">
      <c r="B87" s="399" t="s">
        <v>96</v>
      </c>
      <c r="C87" s="399"/>
      <c r="D87" s="28" t="s">
        <v>99</v>
      </c>
      <c r="E87" s="28">
        <f t="shared" ref="E87:U87" si="4">$Q$80</f>
        <v>2812.2150000000006</v>
      </c>
      <c r="F87" s="28">
        <f t="shared" si="4"/>
        <v>2812.2150000000006</v>
      </c>
      <c r="G87" s="28">
        <f t="shared" si="4"/>
        <v>2812.2150000000006</v>
      </c>
      <c r="H87" s="28">
        <f t="shared" si="4"/>
        <v>2812.2150000000006</v>
      </c>
      <c r="I87" s="28">
        <f t="shared" si="4"/>
        <v>2812.2150000000006</v>
      </c>
      <c r="J87" s="28">
        <f t="shared" si="4"/>
        <v>2812.2150000000006</v>
      </c>
      <c r="K87" s="28">
        <f t="shared" si="4"/>
        <v>2812.2150000000006</v>
      </c>
      <c r="L87" s="28">
        <f t="shared" si="4"/>
        <v>2812.2150000000006</v>
      </c>
      <c r="M87" s="28">
        <f t="shared" si="4"/>
        <v>2812.2150000000006</v>
      </c>
      <c r="N87" s="28">
        <f t="shared" si="4"/>
        <v>2812.2150000000006</v>
      </c>
      <c r="O87" s="28">
        <f t="shared" si="4"/>
        <v>2812.2150000000006</v>
      </c>
      <c r="P87" s="28">
        <f t="shared" si="4"/>
        <v>2812.2150000000006</v>
      </c>
      <c r="Q87" s="28">
        <f t="shared" si="4"/>
        <v>2812.2150000000006</v>
      </c>
      <c r="R87" s="28">
        <f t="shared" si="4"/>
        <v>2812.2150000000006</v>
      </c>
      <c r="S87" s="28">
        <f t="shared" si="4"/>
        <v>2812.2150000000006</v>
      </c>
      <c r="T87" s="28">
        <f t="shared" si="4"/>
        <v>2812.2150000000006</v>
      </c>
      <c r="U87" s="28">
        <f t="shared" si="4"/>
        <v>2812.2150000000006</v>
      </c>
    </row>
    <row r="88" spans="2:22" ht="14.5" x14ac:dyDescent="0.35">
      <c r="B88" s="359" t="s">
        <v>97</v>
      </c>
      <c r="C88" s="359"/>
      <c r="D88" s="40" t="s">
        <v>99</v>
      </c>
      <c r="E88" s="10">
        <f t="shared" ref="E88:U88" si="5">E87*E86</f>
        <v>5624.4300000000012</v>
      </c>
      <c r="F88" s="10">
        <f t="shared" si="5"/>
        <v>5624.4300000000012</v>
      </c>
      <c r="G88" s="10">
        <f t="shared" si="5"/>
        <v>5624.4300000000012</v>
      </c>
      <c r="H88" s="10">
        <f t="shared" si="5"/>
        <v>5624.4300000000012</v>
      </c>
      <c r="I88" s="10">
        <f t="shared" si="5"/>
        <v>5624.4300000000012</v>
      </c>
      <c r="J88" s="10">
        <f t="shared" si="5"/>
        <v>5624.4300000000012</v>
      </c>
      <c r="K88" s="10">
        <f t="shared" si="5"/>
        <v>5624.4300000000012</v>
      </c>
      <c r="L88" s="10">
        <f t="shared" si="5"/>
        <v>5624.4300000000012</v>
      </c>
      <c r="M88" s="10">
        <f t="shared" si="5"/>
        <v>5624.4300000000012</v>
      </c>
      <c r="N88" s="10">
        <f t="shared" si="5"/>
        <v>5624.4300000000012</v>
      </c>
      <c r="O88" s="10">
        <f t="shared" si="5"/>
        <v>5624.4300000000012</v>
      </c>
      <c r="P88" s="10">
        <f t="shared" si="5"/>
        <v>5624.4300000000012</v>
      </c>
      <c r="Q88" s="10">
        <f t="shared" si="5"/>
        <v>5624.4300000000012</v>
      </c>
      <c r="R88" s="10">
        <f t="shared" si="5"/>
        <v>5624.4300000000012</v>
      </c>
      <c r="S88" s="10">
        <f t="shared" si="5"/>
        <v>5624.4300000000012</v>
      </c>
      <c r="T88" s="10">
        <f t="shared" si="5"/>
        <v>5624.4300000000012</v>
      </c>
      <c r="U88" s="10">
        <f t="shared" si="5"/>
        <v>5624.4300000000012</v>
      </c>
    </row>
    <row r="91" spans="2:22" x14ac:dyDescent="0.35">
      <c r="B91" s="402" t="s">
        <v>153</v>
      </c>
      <c r="C91" s="402"/>
      <c r="D91" s="402"/>
      <c r="E91" s="402"/>
      <c r="F91" s="402"/>
      <c r="G91" s="402"/>
      <c r="H91" s="402"/>
      <c r="I91" s="402"/>
      <c r="J91" s="402"/>
      <c r="K91" s="402"/>
      <c r="L91" s="402"/>
      <c r="M91" s="402"/>
      <c r="N91" s="402"/>
      <c r="O91" s="402"/>
      <c r="P91" s="402"/>
      <c r="Q91" s="402"/>
      <c r="R91" s="402"/>
      <c r="S91" s="402"/>
      <c r="T91" s="402"/>
      <c r="U91" s="402"/>
    </row>
    <row r="92" spans="2:22" x14ac:dyDescent="0.35">
      <c r="B92" s="402"/>
      <c r="C92" s="402"/>
      <c r="D92" s="402"/>
      <c r="E92" s="402"/>
      <c r="F92" s="402"/>
      <c r="G92" s="402"/>
      <c r="H92" s="402"/>
      <c r="I92" s="402"/>
      <c r="J92" s="402"/>
      <c r="K92" s="402"/>
      <c r="L92" s="402"/>
      <c r="M92" s="402"/>
      <c r="N92" s="402"/>
      <c r="O92" s="402"/>
      <c r="P92" s="402"/>
      <c r="Q92" s="402"/>
      <c r="R92" s="402"/>
      <c r="S92" s="402"/>
      <c r="T92" s="402"/>
      <c r="U92" s="402"/>
    </row>
    <row r="94" spans="2:22" x14ac:dyDescent="0.35">
      <c r="B94" s="349" t="s">
        <v>4</v>
      </c>
      <c r="C94" s="349"/>
      <c r="D94" s="106" t="s">
        <v>5</v>
      </c>
      <c r="E94" s="106">
        <v>2014</v>
      </c>
      <c r="F94" s="106">
        <v>2015</v>
      </c>
      <c r="G94" s="106">
        <v>2016</v>
      </c>
      <c r="H94" s="106">
        <v>2017</v>
      </c>
      <c r="I94" s="105">
        <v>2018</v>
      </c>
      <c r="J94" s="105">
        <v>2019</v>
      </c>
      <c r="K94" s="106">
        <v>2020</v>
      </c>
      <c r="L94" s="106">
        <v>2021</v>
      </c>
      <c r="M94" s="106">
        <v>2022</v>
      </c>
      <c r="N94" s="106">
        <v>2023</v>
      </c>
      <c r="O94" s="106">
        <v>2024</v>
      </c>
      <c r="P94" s="106">
        <v>2025</v>
      </c>
      <c r="Q94" s="106">
        <v>2026</v>
      </c>
      <c r="R94" s="106">
        <v>2027</v>
      </c>
      <c r="S94" s="106">
        <v>2028</v>
      </c>
      <c r="T94" s="106">
        <v>2029</v>
      </c>
      <c r="U94" s="106">
        <v>2030</v>
      </c>
      <c r="V94" s="53"/>
    </row>
    <row r="95" spans="2:22" x14ac:dyDescent="0.35">
      <c r="B95" s="360" t="s">
        <v>67</v>
      </c>
      <c r="C95" s="360"/>
      <c r="E95" s="98">
        <v>2</v>
      </c>
      <c r="F95" s="98">
        <v>2</v>
      </c>
      <c r="G95" s="98">
        <v>2</v>
      </c>
      <c r="H95" s="98">
        <v>2</v>
      </c>
      <c r="I95" s="95"/>
      <c r="J95" s="95"/>
      <c r="K95" s="98"/>
      <c r="L95" s="98"/>
      <c r="M95" s="98"/>
      <c r="N95" s="98"/>
      <c r="O95" s="98"/>
      <c r="P95" s="98"/>
      <c r="Q95" s="98"/>
      <c r="R95" s="98"/>
      <c r="S95" s="98"/>
      <c r="T95" s="98"/>
      <c r="U95" s="98"/>
    </row>
    <row r="96" spans="2:22" x14ac:dyDescent="0.35">
      <c r="B96" s="361" t="s">
        <v>66</v>
      </c>
      <c r="C96" s="361"/>
      <c r="D96" s="108"/>
      <c r="E96" s="108">
        <f>E95</f>
        <v>2</v>
      </c>
      <c r="F96" s="108">
        <f t="shared" ref="F96:U96" si="6">E96+F95</f>
        <v>4</v>
      </c>
      <c r="G96" s="108">
        <f t="shared" si="6"/>
        <v>6</v>
      </c>
      <c r="H96" s="108">
        <f t="shared" si="6"/>
        <v>8</v>
      </c>
      <c r="I96" s="107">
        <f t="shared" si="6"/>
        <v>8</v>
      </c>
      <c r="J96" s="107">
        <f t="shared" si="6"/>
        <v>8</v>
      </c>
      <c r="K96" s="108">
        <f t="shared" si="6"/>
        <v>8</v>
      </c>
      <c r="L96" s="108">
        <f t="shared" si="6"/>
        <v>8</v>
      </c>
      <c r="M96" s="108">
        <f t="shared" si="6"/>
        <v>8</v>
      </c>
      <c r="N96" s="108">
        <f t="shared" si="6"/>
        <v>8</v>
      </c>
      <c r="O96" s="108">
        <f t="shared" si="6"/>
        <v>8</v>
      </c>
      <c r="P96" s="108">
        <f t="shared" si="6"/>
        <v>8</v>
      </c>
      <c r="Q96" s="108">
        <f t="shared" si="6"/>
        <v>8</v>
      </c>
      <c r="R96" s="108">
        <f t="shared" si="6"/>
        <v>8</v>
      </c>
      <c r="S96" s="108">
        <f t="shared" si="6"/>
        <v>8</v>
      </c>
      <c r="T96" s="108">
        <f t="shared" si="6"/>
        <v>8</v>
      </c>
      <c r="U96" s="108">
        <f t="shared" si="6"/>
        <v>8</v>
      </c>
    </row>
    <row r="97" spans="2:22" ht="14.5" x14ac:dyDescent="0.35">
      <c r="B97" s="360" t="s">
        <v>68</v>
      </c>
      <c r="C97" s="360"/>
      <c r="D97" s="98" t="s">
        <v>48</v>
      </c>
      <c r="E97" s="10">
        <f>$K$34*0.25</f>
        <v>291.97500000000002</v>
      </c>
      <c r="F97" s="10">
        <f>$K$34*0.25</f>
        <v>291.97500000000002</v>
      </c>
      <c r="G97" s="10">
        <f>$K$34*0.25</f>
        <v>291.97500000000002</v>
      </c>
      <c r="H97" s="10">
        <f>$K$34*0.25</f>
        <v>291.97500000000002</v>
      </c>
      <c r="I97" s="62"/>
      <c r="J97" s="62"/>
      <c r="K97" s="10"/>
      <c r="L97" s="10"/>
      <c r="M97" s="10"/>
      <c r="N97" s="10"/>
      <c r="O97" s="10"/>
      <c r="P97" s="10"/>
      <c r="Q97" s="10"/>
      <c r="R97" s="10"/>
      <c r="S97" s="10"/>
      <c r="T97" s="10"/>
      <c r="U97" s="10"/>
    </row>
    <row r="98" spans="2:22" ht="14.5" x14ac:dyDescent="0.35">
      <c r="B98" s="361" t="s">
        <v>69</v>
      </c>
      <c r="C98" s="361"/>
      <c r="D98" s="108" t="s">
        <v>48</v>
      </c>
      <c r="E98" s="28">
        <f>E97</f>
        <v>291.97500000000002</v>
      </c>
      <c r="F98" s="28">
        <f t="shared" ref="F98:U98" si="7">E98+F97</f>
        <v>583.95000000000005</v>
      </c>
      <c r="G98" s="28">
        <f t="shared" si="7"/>
        <v>875.92500000000007</v>
      </c>
      <c r="H98" s="28">
        <f t="shared" si="7"/>
        <v>1167.9000000000001</v>
      </c>
      <c r="I98" s="63">
        <f t="shared" si="7"/>
        <v>1167.9000000000001</v>
      </c>
      <c r="J98" s="63">
        <f t="shared" si="7"/>
        <v>1167.9000000000001</v>
      </c>
      <c r="K98" s="28">
        <f t="shared" si="7"/>
        <v>1167.9000000000001</v>
      </c>
      <c r="L98" s="28">
        <f t="shared" si="7"/>
        <v>1167.9000000000001</v>
      </c>
      <c r="M98" s="28">
        <f t="shared" si="7"/>
        <v>1167.9000000000001</v>
      </c>
      <c r="N98" s="28">
        <f t="shared" si="7"/>
        <v>1167.9000000000001</v>
      </c>
      <c r="O98" s="28">
        <f t="shared" si="7"/>
        <v>1167.9000000000001</v>
      </c>
      <c r="P98" s="28">
        <f t="shared" si="7"/>
        <v>1167.9000000000001</v>
      </c>
      <c r="Q98" s="28">
        <f t="shared" si="7"/>
        <v>1167.9000000000001</v>
      </c>
      <c r="R98" s="28">
        <f t="shared" si="7"/>
        <v>1167.9000000000001</v>
      </c>
      <c r="S98" s="28">
        <f t="shared" si="7"/>
        <v>1167.9000000000001</v>
      </c>
      <c r="T98" s="28">
        <f t="shared" si="7"/>
        <v>1167.9000000000001</v>
      </c>
      <c r="U98" s="28">
        <f t="shared" si="7"/>
        <v>1167.9000000000001</v>
      </c>
    </row>
    <row r="99" spans="2:22" x14ac:dyDescent="0.35">
      <c r="B99" s="360"/>
      <c r="C99" s="360"/>
      <c r="D99" s="110"/>
      <c r="E99" s="110"/>
      <c r="F99" s="110"/>
      <c r="G99" s="110"/>
      <c r="H99" s="110"/>
      <c r="I99" s="109"/>
      <c r="J99" s="109"/>
      <c r="K99" s="110"/>
      <c r="L99" s="110"/>
      <c r="M99" s="110"/>
      <c r="N99" s="110"/>
      <c r="O99" s="110"/>
      <c r="P99" s="110"/>
      <c r="Q99" s="110"/>
      <c r="R99" s="110"/>
      <c r="S99" s="110"/>
      <c r="T99" s="110"/>
      <c r="U99" s="110"/>
    </row>
    <row r="100" spans="2:22" s="86" customFormat="1" x14ac:dyDescent="0.35">
      <c r="B100" s="87"/>
      <c r="C100" s="87"/>
      <c r="E100" s="86">
        <v>7</v>
      </c>
      <c r="F100" s="88">
        <f t="shared" ref="F100:U100" si="8">E100+1</f>
        <v>8</v>
      </c>
      <c r="G100" s="88">
        <f t="shared" si="8"/>
        <v>9</v>
      </c>
      <c r="H100" s="88">
        <f t="shared" si="8"/>
        <v>10</v>
      </c>
      <c r="I100" s="89">
        <f t="shared" si="8"/>
        <v>11</v>
      </c>
      <c r="J100" s="89">
        <f t="shared" si="8"/>
        <v>12</v>
      </c>
      <c r="K100" s="88">
        <f t="shared" si="8"/>
        <v>13</v>
      </c>
      <c r="L100" s="88">
        <f t="shared" si="8"/>
        <v>14</v>
      </c>
      <c r="M100" s="88">
        <f t="shared" si="8"/>
        <v>15</v>
      </c>
      <c r="N100" s="88">
        <f t="shared" si="8"/>
        <v>16</v>
      </c>
      <c r="O100" s="88">
        <f t="shared" si="8"/>
        <v>17</v>
      </c>
      <c r="P100" s="88">
        <f t="shared" si="8"/>
        <v>18</v>
      </c>
      <c r="Q100" s="88">
        <f t="shared" si="8"/>
        <v>19</v>
      </c>
      <c r="R100" s="88">
        <f t="shared" si="8"/>
        <v>20</v>
      </c>
      <c r="S100" s="88">
        <f t="shared" si="8"/>
        <v>21</v>
      </c>
      <c r="T100" s="88">
        <f t="shared" si="8"/>
        <v>22</v>
      </c>
      <c r="U100" s="88">
        <f t="shared" si="8"/>
        <v>23</v>
      </c>
      <c r="V100" s="88"/>
    </row>
    <row r="101" spans="2:22" x14ac:dyDescent="0.35">
      <c r="B101" s="402" t="s">
        <v>121</v>
      </c>
      <c r="C101" s="402"/>
      <c r="D101" s="402"/>
      <c r="E101" s="402"/>
      <c r="F101" s="402"/>
      <c r="G101" s="402"/>
      <c r="H101" s="402"/>
      <c r="I101" s="402"/>
      <c r="J101" s="402"/>
      <c r="K101" s="402"/>
      <c r="L101" s="402"/>
      <c r="M101" s="402"/>
      <c r="N101" s="402"/>
      <c r="O101" s="402"/>
      <c r="P101" s="402"/>
      <c r="Q101" s="402"/>
      <c r="R101" s="402"/>
      <c r="S101" s="402"/>
      <c r="T101" s="402"/>
      <c r="U101" s="402"/>
    </row>
    <row r="102" spans="2:22" x14ac:dyDescent="0.35">
      <c r="B102" s="402"/>
      <c r="C102" s="402"/>
      <c r="D102" s="402"/>
      <c r="E102" s="402"/>
      <c r="F102" s="402"/>
      <c r="G102" s="402"/>
      <c r="H102" s="402"/>
      <c r="I102" s="402"/>
      <c r="J102" s="402"/>
      <c r="K102" s="402"/>
      <c r="L102" s="402"/>
      <c r="M102" s="402"/>
      <c r="N102" s="402"/>
      <c r="O102" s="402"/>
      <c r="P102" s="402"/>
      <c r="Q102" s="402"/>
      <c r="R102" s="402"/>
      <c r="S102" s="402"/>
      <c r="T102" s="402"/>
      <c r="U102" s="402"/>
    </row>
    <row r="103" spans="2:22" s="34" customFormat="1" x14ac:dyDescent="0.35">
      <c r="B103" s="85"/>
      <c r="C103" s="85"/>
      <c r="D103" s="85"/>
      <c r="E103" s="85"/>
      <c r="F103" s="85"/>
      <c r="G103" s="85"/>
      <c r="H103" s="85"/>
      <c r="I103" s="85"/>
      <c r="J103" s="85"/>
      <c r="K103" s="85"/>
      <c r="L103" s="85"/>
      <c r="M103" s="85"/>
      <c r="N103" s="85"/>
      <c r="O103" s="85"/>
      <c r="P103" s="85"/>
      <c r="Q103" s="85"/>
      <c r="R103" s="85"/>
      <c r="S103" s="85"/>
      <c r="T103" s="85"/>
      <c r="U103" s="85"/>
    </row>
    <row r="104" spans="2:22" x14ac:dyDescent="0.35">
      <c r="B104" s="349" t="s">
        <v>4</v>
      </c>
      <c r="C104" s="349"/>
      <c r="D104" s="106" t="s">
        <v>5</v>
      </c>
      <c r="E104" s="106">
        <v>2014</v>
      </c>
      <c r="F104" s="106">
        <v>2015</v>
      </c>
      <c r="G104" s="106">
        <v>2016</v>
      </c>
      <c r="H104" s="106">
        <v>2017</v>
      </c>
      <c r="I104" s="105">
        <v>2018</v>
      </c>
      <c r="J104" s="105">
        <v>2019</v>
      </c>
      <c r="K104" s="106">
        <v>2020</v>
      </c>
      <c r="L104" s="106">
        <v>2021</v>
      </c>
      <c r="M104" s="106">
        <v>2022</v>
      </c>
      <c r="N104" s="106">
        <v>2023</v>
      </c>
      <c r="O104" s="106">
        <v>2024</v>
      </c>
      <c r="P104" s="106">
        <v>2025</v>
      </c>
      <c r="Q104" s="106">
        <v>2026</v>
      </c>
      <c r="R104" s="106">
        <v>2027</v>
      </c>
      <c r="S104" s="106">
        <v>2028</v>
      </c>
      <c r="T104" s="106">
        <v>2029</v>
      </c>
      <c r="U104" s="106">
        <v>2030</v>
      </c>
      <c r="V104" s="53"/>
    </row>
    <row r="105" spans="2:22" x14ac:dyDescent="0.35">
      <c r="B105" s="360" t="s">
        <v>104</v>
      </c>
      <c r="C105" s="360"/>
      <c r="D105" s="98" t="s">
        <v>105</v>
      </c>
      <c r="E105" s="11">
        <f t="shared" ref="E105:U105" si="9">$D$51*(1+$K$51)^E99</f>
        <v>4448</v>
      </c>
      <c r="F105" s="11">
        <f t="shared" si="9"/>
        <v>4448</v>
      </c>
      <c r="G105" s="11">
        <f t="shared" si="9"/>
        <v>4448</v>
      </c>
      <c r="H105" s="11">
        <f t="shared" si="9"/>
        <v>4448</v>
      </c>
      <c r="I105" s="11">
        <f t="shared" si="9"/>
        <v>4448</v>
      </c>
      <c r="J105" s="11">
        <f t="shared" si="9"/>
        <v>4448</v>
      </c>
      <c r="K105" s="11">
        <f t="shared" si="9"/>
        <v>4448</v>
      </c>
      <c r="L105" s="11">
        <f t="shared" si="9"/>
        <v>4448</v>
      </c>
      <c r="M105" s="11">
        <f t="shared" si="9"/>
        <v>4448</v>
      </c>
      <c r="N105" s="11">
        <f t="shared" si="9"/>
        <v>4448</v>
      </c>
      <c r="O105" s="11">
        <f t="shared" si="9"/>
        <v>4448</v>
      </c>
      <c r="P105" s="11">
        <f t="shared" si="9"/>
        <v>4448</v>
      </c>
      <c r="Q105" s="11">
        <f t="shared" si="9"/>
        <v>4448</v>
      </c>
      <c r="R105" s="11">
        <f t="shared" si="9"/>
        <v>4448</v>
      </c>
      <c r="S105" s="11">
        <f t="shared" si="9"/>
        <v>4448</v>
      </c>
      <c r="T105" s="11">
        <f t="shared" si="9"/>
        <v>4448</v>
      </c>
      <c r="U105" s="11">
        <f t="shared" si="9"/>
        <v>4448</v>
      </c>
      <c r="V105" s="48"/>
    </row>
    <row r="106" spans="2:22" ht="14.5" x14ac:dyDescent="0.35">
      <c r="B106" s="361" t="s">
        <v>118</v>
      </c>
      <c r="C106" s="361"/>
      <c r="D106" s="108" t="s">
        <v>108</v>
      </c>
      <c r="E106" s="49">
        <f>(($K$53)*E100)</f>
        <v>3.418333333333333</v>
      </c>
      <c r="F106" s="49">
        <f t="shared" ref="F106:U106" si="10">(($K$53)*F100)</f>
        <v>3.9066666666666663</v>
      </c>
      <c r="G106" s="49">
        <f t="shared" si="10"/>
        <v>4.3949999999999996</v>
      </c>
      <c r="H106" s="49">
        <f t="shared" si="10"/>
        <v>4.8833333333333329</v>
      </c>
      <c r="I106" s="49">
        <f t="shared" si="10"/>
        <v>5.3716666666666661</v>
      </c>
      <c r="J106" s="49">
        <f t="shared" si="10"/>
        <v>5.8599999999999994</v>
      </c>
      <c r="K106" s="49">
        <f t="shared" si="10"/>
        <v>6.3483333333333327</v>
      </c>
      <c r="L106" s="49">
        <f t="shared" si="10"/>
        <v>6.836666666666666</v>
      </c>
      <c r="M106" s="49">
        <f t="shared" si="10"/>
        <v>7.3249999999999993</v>
      </c>
      <c r="N106" s="49">
        <f t="shared" si="10"/>
        <v>7.8133333333333326</v>
      </c>
      <c r="O106" s="49">
        <f t="shared" si="10"/>
        <v>8.3016666666666659</v>
      </c>
      <c r="P106" s="49">
        <f t="shared" si="10"/>
        <v>8.7899999999999991</v>
      </c>
      <c r="Q106" s="49">
        <f t="shared" si="10"/>
        <v>9.2783333333333324</v>
      </c>
      <c r="R106" s="49">
        <f t="shared" si="10"/>
        <v>9.7666666666666657</v>
      </c>
      <c r="S106" s="49">
        <f t="shared" si="10"/>
        <v>10.254999999999999</v>
      </c>
      <c r="T106" s="49">
        <f t="shared" si="10"/>
        <v>10.743333333333332</v>
      </c>
      <c r="U106" s="49">
        <f t="shared" si="10"/>
        <v>11.231666666666666</v>
      </c>
      <c r="V106" s="101"/>
    </row>
    <row r="107" spans="2:22" x14ac:dyDescent="0.35">
      <c r="B107" s="360" t="s">
        <v>119</v>
      </c>
      <c r="C107" s="360"/>
      <c r="D107" s="98" t="s">
        <v>75</v>
      </c>
      <c r="E107" s="10">
        <f t="shared" ref="E107:U107" si="11">E106*E105</f>
        <v>15204.746666666666</v>
      </c>
      <c r="F107" s="10">
        <f t="shared" si="11"/>
        <v>17376.853333333333</v>
      </c>
      <c r="G107" s="10">
        <f t="shared" si="11"/>
        <v>19548.96</v>
      </c>
      <c r="H107" s="10">
        <f t="shared" si="11"/>
        <v>21721.066666666666</v>
      </c>
      <c r="I107" s="62">
        <f t="shared" si="11"/>
        <v>23893.173333333332</v>
      </c>
      <c r="J107" s="62">
        <f t="shared" si="11"/>
        <v>26065.279999999999</v>
      </c>
      <c r="K107" s="10">
        <f t="shared" si="11"/>
        <v>28237.386666666665</v>
      </c>
      <c r="L107" s="10">
        <f t="shared" si="11"/>
        <v>30409.493333333332</v>
      </c>
      <c r="M107" s="10">
        <f t="shared" si="11"/>
        <v>32581.599999999999</v>
      </c>
      <c r="N107" s="10">
        <f t="shared" si="11"/>
        <v>34753.706666666665</v>
      </c>
      <c r="O107" s="10">
        <f t="shared" si="11"/>
        <v>36925.813333333332</v>
      </c>
      <c r="P107" s="10">
        <f t="shared" si="11"/>
        <v>39097.919999999998</v>
      </c>
      <c r="Q107" s="10">
        <f t="shared" si="11"/>
        <v>41270.026666666665</v>
      </c>
      <c r="R107" s="10">
        <f t="shared" si="11"/>
        <v>43442.133333333331</v>
      </c>
      <c r="S107" s="10">
        <f t="shared" si="11"/>
        <v>45614.239999999998</v>
      </c>
      <c r="T107" s="10">
        <f t="shared" si="11"/>
        <v>47786.346666666665</v>
      </c>
      <c r="U107" s="10">
        <f t="shared" si="11"/>
        <v>49958.453333333331</v>
      </c>
      <c r="V107" s="11"/>
    </row>
    <row r="108" spans="2:22" s="34" customFormat="1" x14ac:dyDescent="0.35">
      <c r="B108" s="348"/>
      <c r="C108" s="348"/>
      <c r="D108" s="99"/>
      <c r="E108" s="99"/>
      <c r="F108" s="99"/>
      <c r="G108" s="99"/>
      <c r="H108" s="99"/>
      <c r="I108" s="97"/>
      <c r="J108" s="97"/>
      <c r="K108" s="99"/>
      <c r="L108" s="99"/>
      <c r="M108" s="99"/>
      <c r="N108" s="99"/>
      <c r="O108" s="99"/>
      <c r="P108" s="99"/>
      <c r="Q108" s="99"/>
      <c r="R108" s="99"/>
      <c r="S108" s="99"/>
      <c r="T108" s="99"/>
      <c r="U108" s="99"/>
    </row>
    <row r="110" spans="2:22" x14ac:dyDescent="0.35">
      <c r="B110" s="402" t="s">
        <v>154</v>
      </c>
      <c r="C110" s="402"/>
      <c r="D110" s="402"/>
      <c r="E110" s="402"/>
      <c r="F110" s="402"/>
      <c r="G110" s="402"/>
      <c r="H110" s="402"/>
      <c r="I110" s="402"/>
      <c r="J110" s="402"/>
      <c r="K110" s="402"/>
      <c r="L110" s="402"/>
      <c r="M110" s="402"/>
      <c r="N110" s="402"/>
      <c r="O110" s="402"/>
      <c r="P110" s="402"/>
      <c r="Q110" s="402"/>
      <c r="R110" s="402"/>
      <c r="S110" s="402"/>
      <c r="T110" s="402"/>
      <c r="U110" s="402"/>
    </row>
    <row r="111" spans="2:22" x14ac:dyDescent="0.35">
      <c r="B111" s="402"/>
      <c r="C111" s="402"/>
      <c r="D111" s="402"/>
      <c r="E111" s="402"/>
      <c r="F111" s="402"/>
      <c r="G111" s="402"/>
      <c r="H111" s="402"/>
      <c r="I111" s="402"/>
      <c r="J111" s="402"/>
      <c r="K111" s="402"/>
      <c r="L111" s="402"/>
      <c r="M111" s="402"/>
      <c r="N111" s="402"/>
      <c r="O111" s="402"/>
      <c r="P111" s="402"/>
      <c r="Q111" s="402"/>
      <c r="R111" s="402"/>
      <c r="S111" s="402"/>
      <c r="T111" s="402"/>
      <c r="U111" s="402"/>
    </row>
    <row r="113" spans="1:21" ht="15" customHeight="1" x14ac:dyDescent="0.35">
      <c r="A113" s="3"/>
      <c r="B113" s="368" t="s">
        <v>45</v>
      </c>
      <c r="C113" s="370" t="s">
        <v>7</v>
      </c>
      <c r="D113" s="370"/>
      <c r="E113" s="106">
        <v>2014</v>
      </c>
      <c r="F113" s="106">
        <v>2015</v>
      </c>
      <c r="G113" s="106">
        <v>2016</v>
      </c>
      <c r="H113" s="106">
        <v>2017</v>
      </c>
      <c r="I113" s="105">
        <v>2018</v>
      </c>
      <c r="J113" s="105">
        <v>2019</v>
      </c>
      <c r="K113" s="106">
        <v>2020</v>
      </c>
      <c r="L113" s="106">
        <v>2021</v>
      </c>
      <c r="M113" s="106">
        <v>2022</v>
      </c>
      <c r="N113" s="106">
        <v>2023</v>
      </c>
      <c r="O113" s="106">
        <v>2024</v>
      </c>
      <c r="P113" s="106">
        <v>2025</v>
      </c>
      <c r="Q113" s="106">
        <v>2026</v>
      </c>
      <c r="R113" s="106">
        <v>2027</v>
      </c>
      <c r="S113" s="106">
        <v>2028</v>
      </c>
      <c r="T113" s="106">
        <v>2029</v>
      </c>
      <c r="U113" s="103">
        <v>2030</v>
      </c>
    </row>
    <row r="114" spans="1:21" ht="15" customHeight="1" x14ac:dyDescent="0.35">
      <c r="A114" s="3"/>
      <c r="B114" s="369"/>
      <c r="C114" s="371"/>
      <c r="D114" s="371"/>
      <c r="E114" s="104">
        <v>0</v>
      </c>
      <c r="F114" s="104">
        <v>1</v>
      </c>
      <c r="G114" s="104">
        <v>2</v>
      </c>
      <c r="H114" s="104">
        <v>3</v>
      </c>
      <c r="I114" s="102">
        <v>4</v>
      </c>
      <c r="J114" s="102">
        <v>5</v>
      </c>
      <c r="K114" s="104">
        <v>6</v>
      </c>
      <c r="L114" s="104">
        <v>7</v>
      </c>
      <c r="M114" s="104">
        <v>8</v>
      </c>
      <c r="N114" s="104">
        <v>9</v>
      </c>
      <c r="O114" s="104">
        <v>10</v>
      </c>
      <c r="P114" s="104">
        <v>11</v>
      </c>
      <c r="Q114" s="104">
        <v>12</v>
      </c>
      <c r="R114" s="104">
        <v>13</v>
      </c>
      <c r="S114" s="104">
        <v>14</v>
      </c>
      <c r="T114" s="104">
        <v>15</v>
      </c>
      <c r="U114" s="104">
        <v>16</v>
      </c>
    </row>
    <row r="115" spans="1:21" x14ac:dyDescent="0.35">
      <c r="A115" s="25"/>
      <c r="B115" s="387" t="s">
        <v>12</v>
      </c>
      <c r="C115" s="404" t="s">
        <v>15</v>
      </c>
      <c r="D115" s="405"/>
      <c r="E115" s="23">
        <v>100000</v>
      </c>
      <c r="F115" s="23"/>
      <c r="G115" s="23"/>
      <c r="H115" s="23"/>
      <c r="I115" s="23"/>
      <c r="J115" s="23"/>
      <c r="K115" s="23"/>
      <c r="L115" s="23"/>
      <c r="M115" s="23"/>
      <c r="N115" s="23"/>
      <c r="O115" s="23"/>
      <c r="P115" s="23"/>
      <c r="Q115" s="23"/>
      <c r="R115" s="23"/>
      <c r="S115" s="23"/>
      <c r="T115" s="23"/>
      <c r="U115" s="24"/>
    </row>
    <row r="116" spans="1:21" x14ac:dyDescent="0.35">
      <c r="A116" s="25"/>
      <c r="B116" s="388"/>
      <c r="C116" s="346" t="s">
        <v>16</v>
      </c>
      <c r="D116" s="347"/>
      <c r="E116" s="23">
        <f t="shared" ref="E116:U116" si="12">E64*$D$8</f>
        <v>0</v>
      </c>
      <c r="F116" s="23">
        <f t="shared" si="12"/>
        <v>165.75132600000001</v>
      </c>
      <c r="G116" s="23">
        <f t="shared" si="12"/>
        <v>165.75132600000001</v>
      </c>
      <c r="H116" s="23">
        <f t="shared" si="12"/>
        <v>165.75132600000001</v>
      </c>
      <c r="I116" s="23">
        <f t="shared" si="12"/>
        <v>165.75132600000001</v>
      </c>
      <c r="J116" s="23">
        <f t="shared" si="12"/>
        <v>165.75132600000001</v>
      </c>
      <c r="K116" s="23">
        <f t="shared" si="12"/>
        <v>165.75132600000001</v>
      </c>
      <c r="L116" s="23">
        <f t="shared" si="12"/>
        <v>165.75132600000001</v>
      </c>
      <c r="M116" s="23">
        <f t="shared" si="12"/>
        <v>165.75132600000001</v>
      </c>
      <c r="N116" s="23">
        <f t="shared" si="12"/>
        <v>165.75132600000001</v>
      </c>
      <c r="O116" s="23">
        <f t="shared" si="12"/>
        <v>165.75132600000001</v>
      </c>
      <c r="P116" s="23">
        <f t="shared" si="12"/>
        <v>165.75132600000001</v>
      </c>
      <c r="Q116" s="23">
        <f t="shared" si="12"/>
        <v>0</v>
      </c>
      <c r="R116" s="23">
        <f t="shared" si="12"/>
        <v>0</v>
      </c>
      <c r="S116" s="23">
        <f t="shared" si="12"/>
        <v>0</v>
      </c>
      <c r="T116" s="23">
        <f t="shared" si="12"/>
        <v>0</v>
      </c>
      <c r="U116" s="24">
        <f t="shared" si="12"/>
        <v>0</v>
      </c>
    </row>
    <row r="117" spans="1:21" x14ac:dyDescent="0.35">
      <c r="A117" s="25"/>
      <c r="B117" s="388"/>
      <c r="C117" s="344" t="s">
        <v>17</v>
      </c>
      <c r="D117" s="345"/>
      <c r="E117" s="23">
        <f t="shared" ref="E117:U117" si="13">E66*$D$10</f>
        <v>0</v>
      </c>
      <c r="F117" s="23">
        <f t="shared" si="13"/>
        <v>0</v>
      </c>
      <c r="G117" s="23">
        <f t="shared" si="13"/>
        <v>7019.0298360000006</v>
      </c>
      <c r="H117" s="23">
        <f t="shared" si="13"/>
        <v>7019.0298360000006</v>
      </c>
      <c r="I117" s="23">
        <f t="shared" si="13"/>
        <v>7019.0298360000006</v>
      </c>
      <c r="J117" s="23">
        <f t="shared" si="13"/>
        <v>7019.0298360000006</v>
      </c>
      <c r="K117" s="23">
        <f t="shared" si="13"/>
        <v>7019.0298360000006</v>
      </c>
      <c r="L117" s="23">
        <f t="shared" si="13"/>
        <v>7019.0298360000006</v>
      </c>
      <c r="M117" s="23">
        <f t="shared" si="13"/>
        <v>7019.0298360000006</v>
      </c>
      <c r="N117" s="23">
        <f t="shared" si="13"/>
        <v>7019.0298360000006</v>
      </c>
      <c r="O117" s="23">
        <f t="shared" si="13"/>
        <v>7019.0298360000006</v>
      </c>
      <c r="P117" s="23">
        <f t="shared" si="13"/>
        <v>7019.0298360000006</v>
      </c>
      <c r="Q117" s="23">
        <f t="shared" si="13"/>
        <v>7019.0298360000006</v>
      </c>
      <c r="R117" s="23">
        <f t="shared" si="13"/>
        <v>0</v>
      </c>
      <c r="S117" s="23">
        <f t="shared" si="13"/>
        <v>0</v>
      </c>
      <c r="T117" s="23">
        <f t="shared" si="13"/>
        <v>0</v>
      </c>
      <c r="U117" s="24">
        <f t="shared" si="13"/>
        <v>0</v>
      </c>
    </row>
    <row r="118" spans="1:21" x14ac:dyDescent="0.35">
      <c r="A118" s="25"/>
      <c r="B118" s="388"/>
      <c r="C118" s="344" t="s">
        <v>18</v>
      </c>
      <c r="D118" s="345"/>
      <c r="E118" s="23">
        <f t="shared" ref="E118:U118" si="14">E66*$D$12</f>
        <v>0</v>
      </c>
      <c r="F118" s="23">
        <f t="shared" si="14"/>
        <v>0</v>
      </c>
      <c r="G118" s="23">
        <f t="shared" si="14"/>
        <v>8422.8364739999997</v>
      </c>
      <c r="H118" s="23">
        <f t="shared" si="14"/>
        <v>8422.8364739999997</v>
      </c>
      <c r="I118" s="23">
        <f t="shared" si="14"/>
        <v>8422.8364739999997</v>
      </c>
      <c r="J118" s="23">
        <f t="shared" si="14"/>
        <v>8422.8364739999997</v>
      </c>
      <c r="K118" s="23">
        <f t="shared" si="14"/>
        <v>8422.8364739999997</v>
      </c>
      <c r="L118" s="23">
        <f t="shared" si="14"/>
        <v>8422.8364739999997</v>
      </c>
      <c r="M118" s="23">
        <f t="shared" si="14"/>
        <v>8422.8364739999997</v>
      </c>
      <c r="N118" s="23">
        <f t="shared" si="14"/>
        <v>8422.8364739999997</v>
      </c>
      <c r="O118" s="23">
        <f t="shared" si="14"/>
        <v>8422.8364739999997</v>
      </c>
      <c r="P118" s="23">
        <f t="shared" si="14"/>
        <v>8422.8364739999997</v>
      </c>
      <c r="Q118" s="23">
        <f t="shared" si="14"/>
        <v>8422.8364739999997</v>
      </c>
      <c r="R118" s="23">
        <f t="shared" si="14"/>
        <v>0</v>
      </c>
      <c r="S118" s="23">
        <f t="shared" si="14"/>
        <v>0</v>
      </c>
      <c r="T118" s="23">
        <f t="shared" si="14"/>
        <v>0</v>
      </c>
      <c r="U118" s="24">
        <f t="shared" si="14"/>
        <v>0</v>
      </c>
    </row>
    <row r="119" spans="1:21" x14ac:dyDescent="0.35">
      <c r="A119" s="25"/>
      <c r="B119" s="388"/>
      <c r="C119" s="344" t="s">
        <v>38</v>
      </c>
      <c r="D119" s="345"/>
      <c r="E119" s="23">
        <f t="shared" ref="E119:U119" si="15">E67*$D$14</f>
        <v>0</v>
      </c>
      <c r="F119" s="23">
        <f t="shared" si="15"/>
        <v>0</v>
      </c>
      <c r="G119" s="23">
        <f t="shared" si="15"/>
        <v>0</v>
      </c>
      <c r="H119" s="23">
        <f t="shared" si="15"/>
        <v>205966.06326400003</v>
      </c>
      <c r="I119" s="23">
        <f t="shared" si="15"/>
        <v>205966.06326400003</v>
      </c>
      <c r="J119" s="23">
        <f t="shared" si="15"/>
        <v>205966.06326400003</v>
      </c>
      <c r="K119" s="23">
        <f t="shared" si="15"/>
        <v>205966.06326400003</v>
      </c>
      <c r="L119" s="23">
        <f t="shared" si="15"/>
        <v>205966.06326400003</v>
      </c>
      <c r="M119" s="23">
        <f t="shared" si="15"/>
        <v>205966.06326400003</v>
      </c>
      <c r="N119" s="23">
        <f t="shared" si="15"/>
        <v>205966.06326400003</v>
      </c>
      <c r="O119" s="23">
        <f t="shared" si="15"/>
        <v>205966.06326400003</v>
      </c>
      <c r="P119" s="23">
        <f t="shared" si="15"/>
        <v>205966.06326400003</v>
      </c>
      <c r="Q119" s="23">
        <f t="shared" si="15"/>
        <v>205966.06326400003</v>
      </c>
      <c r="R119" s="23">
        <f t="shared" si="15"/>
        <v>205966.06326400003</v>
      </c>
      <c r="S119" s="23">
        <f t="shared" si="15"/>
        <v>0</v>
      </c>
      <c r="T119" s="23">
        <f t="shared" si="15"/>
        <v>0</v>
      </c>
      <c r="U119" s="24">
        <f t="shared" si="15"/>
        <v>0</v>
      </c>
    </row>
    <row r="120" spans="1:21" x14ac:dyDescent="0.35">
      <c r="A120" s="25"/>
      <c r="B120" s="388"/>
      <c r="C120" s="344" t="s">
        <v>19</v>
      </c>
      <c r="D120" s="345"/>
      <c r="E120" s="23">
        <f t="shared" ref="E120:U120" si="16">E68*$K$8</f>
        <v>0</v>
      </c>
      <c r="F120" s="23">
        <f t="shared" si="16"/>
        <v>0</v>
      </c>
      <c r="G120" s="23">
        <f t="shared" si="16"/>
        <v>0</v>
      </c>
      <c r="H120" s="23">
        <f t="shared" si="16"/>
        <v>0</v>
      </c>
      <c r="I120" s="23">
        <f t="shared" si="16"/>
        <v>48462.602266000002</v>
      </c>
      <c r="J120" s="23">
        <f t="shared" si="16"/>
        <v>48462.602266000002</v>
      </c>
      <c r="K120" s="23">
        <f t="shared" si="16"/>
        <v>48462.602266000002</v>
      </c>
      <c r="L120" s="23">
        <f t="shared" si="16"/>
        <v>48462.602266000002</v>
      </c>
      <c r="M120" s="23">
        <f t="shared" si="16"/>
        <v>48462.602266000002</v>
      </c>
      <c r="N120" s="23">
        <f t="shared" si="16"/>
        <v>48462.602266000002</v>
      </c>
      <c r="O120" s="23">
        <f t="shared" si="16"/>
        <v>48462.602266000002</v>
      </c>
      <c r="P120" s="23">
        <f t="shared" si="16"/>
        <v>48462.602266000002</v>
      </c>
      <c r="Q120" s="23">
        <f t="shared" si="16"/>
        <v>48462.602266000002</v>
      </c>
      <c r="R120" s="23">
        <f t="shared" si="16"/>
        <v>48462.602266000002</v>
      </c>
      <c r="S120" s="23">
        <f t="shared" si="16"/>
        <v>48462.602266000002</v>
      </c>
      <c r="T120" s="23">
        <f t="shared" si="16"/>
        <v>0</v>
      </c>
      <c r="U120" s="24">
        <f t="shared" si="16"/>
        <v>0</v>
      </c>
    </row>
    <row r="121" spans="1:21" x14ac:dyDescent="0.35">
      <c r="A121" s="25"/>
      <c r="B121" s="388"/>
      <c r="C121" s="344" t="s">
        <v>20</v>
      </c>
      <c r="D121" s="345"/>
      <c r="E121" s="23">
        <f t="shared" ref="E121:U121" si="17">E69*$K$10</f>
        <v>0</v>
      </c>
      <c r="F121" s="23">
        <f t="shared" si="17"/>
        <v>0</v>
      </c>
      <c r="G121" s="23">
        <f t="shared" si="17"/>
        <v>0</v>
      </c>
      <c r="H121" s="23">
        <f t="shared" si="17"/>
        <v>0</v>
      </c>
      <c r="I121" s="23">
        <f t="shared" si="17"/>
        <v>0</v>
      </c>
      <c r="J121" s="23">
        <f t="shared" si="17"/>
        <v>88848.10508600001</v>
      </c>
      <c r="K121" s="23">
        <f t="shared" si="17"/>
        <v>88848.10508600001</v>
      </c>
      <c r="L121" s="23">
        <f t="shared" si="17"/>
        <v>88848.10508600001</v>
      </c>
      <c r="M121" s="23">
        <f t="shared" si="17"/>
        <v>88848.10508600001</v>
      </c>
      <c r="N121" s="23">
        <f t="shared" si="17"/>
        <v>88848.10508600001</v>
      </c>
      <c r="O121" s="23">
        <f t="shared" si="17"/>
        <v>88848.10508600001</v>
      </c>
      <c r="P121" s="23">
        <f t="shared" si="17"/>
        <v>88848.10508600001</v>
      </c>
      <c r="Q121" s="23">
        <f t="shared" si="17"/>
        <v>88848.10508600001</v>
      </c>
      <c r="R121" s="23">
        <f t="shared" si="17"/>
        <v>88848.10508600001</v>
      </c>
      <c r="S121" s="23">
        <f t="shared" si="17"/>
        <v>88848.10508600001</v>
      </c>
      <c r="T121" s="23">
        <f t="shared" si="17"/>
        <v>88848.10508600001</v>
      </c>
      <c r="U121" s="24">
        <f t="shared" si="17"/>
        <v>0</v>
      </c>
    </row>
    <row r="122" spans="1:21" x14ac:dyDescent="0.35">
      <c r="A122" s="25"/>
      <c r="B122" s="388"/>
      <c r="C122" s="344" t="s">
        <v>21</v>
      </c>
      <c r="D122" s="345"/>
      <c r="E122" s="23">
        <f t="shared" ref="E122:U122" si="18">E70*$K$12</f>
        <v>0</v>
      </c>
      <c r="F122" s="23">
        <f t="shared" si="18"/>
        <v>0</v>
      </c>
      <c r="G122" s="23">
        <f t="shared" si="18"/>
        <v>0</v>
      </c>
      <c r="H122" s="23">
        <f t="shared" si="18"/>
        <v>0</v>
      </c>
      <c r="I122" s="23">
        <f t="shared" si="18"/>
        <v>0</v>
      </c>
      <c r="J122" s="23">
        <f t="shared" si="18"/>
        <v>0</v>
      </c>
      <c r="K122" s="23">
        <f t="shared" si="18"/>
        <v>0</v>
      </c>
      <c r="L122" s="23">
        <f t="shared" si="18"/>
        <v>0</v>
      </c>
      <c r="M122" s="23">
        <f t="shared" si="18"/>
        <v>0</v>
      </c>
      <c r="N122" s="23">
        <f t="shared" si="18"/>
        <v>0</v>
      </c>
      <c r="O122" s="23">
        <f t="shared" si="18"/>
        <v>0</v>
      </c>
      <c r="P122" s="23">
        <f t="shared" si="18"/>
        <v>0</v>
      </c>
      <c r="Q122" s="23">
        <f t="shared" si="18"/>
        <v>455.26525200000003</v>
      </c>
      <c r="R122" s="23">
        <f t="shared" si="18"/>
        <v>455.26525200000003</v>
      </c>
      <c r="S122" s="23">
        <f t="shared" si="18"/>
        <v>455.26525200000003</v>
      </c>
      <c r="T122" s="23">
        <f t="shared" si="18"/>
        <v>455.26525200000003</v>
      </c>
      <c r="U122" s="24">
        <f t="shared" si="18"/>
        <v>455.26525200000003</v>
      </c>
    </row>
    <row r="123" spans="1:21" x14ac:dyDescent="0.35">
      <c r="A123" s="25"/>
      <c r="B123" s="388"/>
      <c r="C123" s="362" t="s">
        <v>22</v>
      </c>
      <c r="D123" s="363"/>
      <c r="E123" s="23">
        <f t="shared" ref="E123:U123" si="19">E70*$K$14</f>
        <v>0</v>
      </c>
      <c r="F123" s="23">
        <f t="shared" si="19"/>
        <v>0</v>
      </c>
      <c r="G123" s="23">
        <f t="shared" si="19"/>
        <v>0</v>
      </c>
      <c r="H123" s="23">
        <f t="shared" si="19"/>
        <v>0</v>
      </c>
      <c r="I123" s="23">
        <f t="shared" si="19"/>
        <v>0</v>
      </c>
      <c r="J123" s="23">
        <f t="shared" si="19"/>
        <v>0</v>
      </c>
      <c r="K123" s="23">
        <f t="shared" si="19"/>
        <v>0</v>
      </c>
      <c r="L123" s="23">
        <f t="shared" si="19"/>
        <v>0</v>
      </c>
      <c r="M123" s="23">
        <f t="shared" si="19"/>
        <v>0</v>
      </c>
      <c r="N123" s="23">
        <f t="shared" si="19"/>
        <v>0</v>
      </c>
      <c r="O123" s="23">
        <f t="shared" si="19"/>
        <v>0</v>
      </c>
      <c r="P123" s="23">
        <f t="shared" si="19"/>
        <v>0</v>
      </c>
      <c r="Q123" s="23">
        <f t="shared" si="19"/>
        <v>156.02808000000002</v>
      </c>
      <c r="R123" s="23">
        <f t="shared" si="19"/>
        <v>156.02808000000002</v>
      </c>
      <c r="S123" s="23">
        <f t="shared" si="19"/>
        <v>156.02808000000002</v>
      </c>
      <c r="T123" s="23">
        <f t="shared" si="19"/>
        <v>156.02808000000002</v>
      </c>
      <c r="U123" s="24">
        <f t="shared" si="19"/>
        <v>156.02808000000002</v>
      </c>
    </row>
    <row r="124" spans="1:21" s="12" customFormat="1" x14ac:dyDescent="0.35">
      <c r="A124" s="83"/>
      <c r="B124" s="389"/>
      <c r="C124" s="381" t="s">
        <v>11</v>
      </c>
      <c r="D124" s="382"/>
      <c r="E124" s="84">
        <f t="shared" ref="E124:U124" si="20">SUM(E115:E123)</f>
        <v>100000</v>
      </c>
      <c r="F124" s="84">
        <f t="shared" si="20"/>
        <v>165.75132600000001</v>
      </c>
      <c r="G124" s="84">
        <f t="shared" si="20"/>
        <v>15607.617635999999</v>
      </c>
      <c r="H124" s="84">
        <f t="shared" si="20"/>
        <v>221573.68090000004</v>
      </c>
      <c r="I124" s="84">
        <f t="shared" si="20"/>
        <v>270036.28316600004</v>
      </c>
      <c r="J124" s="84">
        <f t="shared" si="20"/>
        <v>358884.38825200003</v>
      </c>
      <c r="K124" s="84">
        <f t="shared" si="20"/>
        <v>358884.38825200003</v>
      </c>
      <c r="L124" s="84">
        <f t="shared" si="20"/>
        <v>358884.38825200003</v>
      </c>
      <c r="M124" s="84">
        <f t="shared" si="20"/>
        <v>358884.38825200003</v>
      </c>
      <c r="N124" s="84">
        <f t="shared" si="20"/>
        <v>358884.38825200003</v>
      </c>
      <c r="O124" s="84">
        <f t="shared" si="20"/>
        <v>358884.38825200003</v>
      </c>
      <c r="P124" s="84">
        <f t="shared" si="20"/>
        <v>358884.38825200003</v>
      </c>
      <c r="Q124" s="84">
        <f t="shared" si="20"/>
        <v>359329.93025800009</v>
      </c>
      <c r="R124" s="84">
        <f t="shared" si="20"/>
        <v>343888.06394800008</v>
      </c>
      <c r="S124" s="84">
        <f t="shared" si="20"/>
        <v>137922.000684</v>
      </c>
      <c r="T124" s="84">
        <f t="shared" si="20"/>
        <v>89459.398418000012</v>
      </c>
      <c r="U124" s="91">
        <f t="shared" si="20"/>
        <v>611.29333200000008</v>
      </c>
    </row>
    <row r="126" spans="1:21" x14ac:dyDescent="0.35">
      <c r="B126" s="1"/>
      <c r="C126" s="1"/>
      <c r="I126" s="1"/>
      <c r="J126" s="1"/>
    </row>
    <row r="127" spans="1:21" ht="15" customHeight="1" x14ac:dyDescent="0.35">
      <c r="A127" s="3"/>
      <c r="B127" s="353" t="s">
        <v>46</v>
      </c>
      <c r="C127" s="353" t="s">
        <v>7</v>
      </c>
      <c r="D127" s="353"/>
      <c r="E127" s="106">
        <v>2014</v>
      </c>
      <c r="F127" s="106">
        <v>2015</v>
      </c>
      <c r="G127" s="106">
        <v>2016</v>
      </c>
      <c r="H127" s="106">
        <v>2017</v>
      </c>
      <c r="I127" s="106">
        <v>2018</v>
      </c>
      <c r="J127" s="106">
        <v>2019</v>
      </c>
      <c r="K127" s="106">
        <v>2020</v>
      </c>
      <c r="L127" s="106">
        <v>2021</v>
      </c>
      <c r="M127" s="106">
        <v>2022</v>
      </c>
      <c r="N127" s="106">
        <v>2023</v>
      </c>
      <c r="O127" s="106">
        <v>2024</v>
      </c>
      <c r="P127" s="106">
        <v>2025</v>
      </c>
      <c r="Q127" s="106">
        <v>2026</v>
      </c>
      <c r="R127" s="106">
        <v>2027</v>
      </c>
      <c r="S127" s="106">
        <v>2028</v>
      </c>
      <c r="T127" s="106">
        <v>2029</v>
      </c>
      <c r="U127" s="103">
        <v>2030</v>
      </c>
    </row>
    <row r="128" spans="1:21" ht="15" customHeight="1" x14ac:dyDescent="0.35">
      <c r="A128" s="3"/>
      <c r="B128" s="353"/>
      <c r="C128" s="353"/>
      <c r="D128" s="353"/>
      <c r="E128" s="106">
        <v>0</v>
      </c>
      <c r="F128" s="106">
        <v>1</v>
      </c>
      <c r="G128" s="106">
        <v>2</v>
      </c>
      <c r="H128" s="106">
        <v>3</v>
      </c>
      <c r="I128" s="106">
        <v>4</v>
      </c>
      <c r="J128" s="106">
        <v>5</v>
      </c>
      <c r="K128" s="106">
        <v>6</v>
      </c>
      <c r="L128" s="106">
        <v>7</v>
      </c>
      <c r="M128" s="106">
        <v>8</v>
      </c>
      <c r="N128" s="106">
        <v>9</v>
      </c>
      <c r="O128" s="106">
        <v>10</v>
      </c>
      <c r="P128" s="106">
        <v>11</v>
      </c>
      <c r="Q128" s="106">
        <v>12</v>
      </c>
      <c r="R128" s="106">
        <v>13</v>
      </c>
      <c r="S128" s="106">
        <v>14</v>
      </c>
      <c r="T128" s="106">
        <v>15</v>
      </c>
      <c r="U128" s="103">
        <v>16</v>
      </c>
    </row>
    <row r="129" spans="1:21" x14ac:dyDescent="0.35">
      <c r="A129" s="3"/>
      <c r="B129" s="354" t="s">
        <v>12</v>
      </c>
      <c r="C129" s="357" t="s">
        <v>39</v>
      </c>
      <c r="D129" s="358"/>
      <c r="E129" s="23">
        <f>2*E84</f>
        <v>230100</v>
      </c>
      <c r="F129" s="23"/>
      <c r="G129" s="23"/>
      <c r="H129" s="23"/>
      <c r="I129" s="23"/>
      <c r="J129" s="23"/>
      <c r="K129" s="23"/>
      <c r="L129" s="23"/>
      <c r="M129" s="23"/>
      <c r="N129" s="23"/>
      <c r="O129" s="23"/>
      <c r="P129" s="23"/>
      <c r="Q129" s="23"/>
      <c r="R129" s="23"/>
      <c r="S129" s="23"/>
      <c r="T129" s="23"/>
      <c r="U129" s="24"/>
    </row>
    <row r="130" spans="1:21" x14ac:dyDescent="0.35">
      <c r="A130" s="3"/>
      <c r="B130" s="355"/>
      <c r="C130" s="357" t="s">
        <v>40</v>
      </c>
      <c r="D130" s="358"/>
      <c r="E130" s="23"/>
      <c r="F130" s="23">
        <f t="shared" ref="F130:U130" si="21">2*F85</f>
        <v>2487.5</v>
      </c>
      <c r="G130" s="23">
        <f t="shared" si="21"/>
        <v>2487.5</v>
      </c>
      <c r="H130" s="23">
        <f t="shared" si="21"/>
        <v>2487.5</v>
      </c>
      <c r="I130" s="23">
        <f t="shared" si="21"/>
        <v>2487.5</v>
      </c>
      <c r="J130" s="23">
        <f t="shared" si="21"/>
        <v>2487.5</v>
      </c>
      <c r="K130" s="23">
        <f t="shared" si="21"/>
        <v>2487.5</v>
      </c>
      <c r="L130" s="23">
        <f t="shared" si="21"/>
        <v>2487.5</v>
      </c>
      <c r="M130" s="23">
        <f t="shared" si="21"/>
        <v>2487.5</v>
      </c>
      <c r="N130" s="23">
        <f t="shared" si="21"/>
        <v>2487.5</v>
      </c>
      <c r="O130" s="23">
        <f t="shared" si="21"/>
        <v>2487.5</v>
      </c>
      <c r="P130" s="29">
        <f t="shared" si="21"/>
        <v>2487.5</v>
      </c>
      <c r="Q130" s="22">
        <f t="shared" si="21"/>
        <v>2487.5</v>
      </c>
      <c r="R130" s="23">
        <f t="shared" si="21"/>
        <v>2487.5</v>
      </c>
      <c r="S130" s="23">
        <f t="shared" si="21"/>
        <v>2487.5</v>
      </c>
      <c r="T130" s="23">
        <f t="shared" si="21"/>
        <v>2487.5</v>
      </c>
      <c r="U130" s="24">
        <f t="shared" si="21"/>
        <v>2487.5</v>
      </c>
    </row>
    <row r="131" spans="1:21" x14ac:dyDescent="0.35">
      <c r="A131" s="3"/>
      <c r="B131" s="356"/>
      <c r="C131" s="383" t="s">
        <v>11</v>
      </c>
      <c r="D131" s="384"/>
      <c r="E131" s="26">
        <f t="shared" ref="E131:U131" si="22">SUM(E129:E130)</f>
        <v>230100</v>
      </c>
      <c r="F131" s="26">
        <f t="shared" si="22"/>
        <v>2487.5</v>
      </c>
      <c r="G131" s="26">
        <f t="shared" si="22"/>
        <v>2487.5</v>
      </c>
      <c r="H131" s="26">
        <f t="shared" si="22"/>
        <v>2487.5</v>
      </c>
      <c r="I131" s="26">
        <f t="shared" si="22"/>
        <v>2487.5</v>
      </c>
      <c r="J131" s="26">
        <f t="shared" si="22"/>
        <v>2487.5</v>
      </c>
      <c r="K131" s="26">
        <f t="shared" si="22"/>
        <v>2487.5</v>
      </c>
      <c r="L131" s="26">
        <f t="shared" si="22"/>
        <v>2487.5</v>
      </c>
      <c r="M131" s="26">
        <f t="shared" si="22"/>
        <v>2487.5</v>
      </c>
      <c r="N131" s="26">
        <f t="shared" si="22"/>
        <v>2487.5</v>
      </c>
      <c r="O131" s="26">
        <f t="shared" si="22"/>
        <v>2487.5</v>
      </c>
      <c r="P131" s="26">
        <f t="shared" si="22"/>
        <v>2487.5</v>
      </c>
      <c r="Q131" s="26">
        <f t="shared" si="22"/>
        <v>2487.5</v>
      </c>
      <c r="R131" s="26">
        <f t="shared" si="22"/>
        <v>2487.5</v>
      </c>
      <c r="S131" s="26">
        <f t="shared" si="22"/>
        <v>2487.5</v>
      </c>
      <c r="T131" s="26">
        <f t="shared" si="22"/>
        <v>2487.5</v>
      </c>
      <c r="U131" s="27">
        <f t="shared" si="22"/>
        <v>2487.5</v>
      </c>
    </row>
    <row r="134" spans="1:21" x14ac:dyDescent="0.35">
      <c r="A134" s="3"/>
      <c r="B134" s="368" t="s">
        <v>49</v>
      </c>
      <c r="C134" s="370" t="s">
        <v>7</v>
      </c>
      <c r="D134" s="370"/>
      <c r="E134" s="106">
        <v>2014</v>
      </c>
      <c r="F134" s="106">
        <v>2015</v>
      </c>
      <c r="G134" s="106">
        <v>2016</v>
      </c>
      <c r="H134" s="106">
        <v>2017</v>
      </c>
      <c r="I134" s="105">
        <v>2018</v>
      </c>
      <c r="J134" s="105">
        <v>2019</v>
      </c>
      <c r="K134" s="106">
        <v>2020</v>
      </c>
      <c r="L134" s="106">
        <v>2021</v>
      </c>
      <c r="M134" s="106">
        <v>2022</v>
      </c>
      <c r="N134" s="106">
        <v>2023</v>
      </c>
      <c r="O134" s="106">
        <v>2024</v>
      </c>
      <c r="P134" s="106">
        <v>2025</v>
      </c>
      <c r="Q134" s="106">
        <v>2026</v>
      </c>
      <c r="R134" s="106">
        <v>2027</v>
      </c>
      <c r="S134" s="106">
        <v>2028</v>
      </c>
      <c r="T134" s="106">
        <v>2029</v>
      </c>
      <c r="U134" s="103">
        <v>2030</v>
      </c>
    </row>
    <row r="135" spans="1:21" x14ac:dyDescent="0.35">
      <c r="A135" s="3"/>
      <c r="B135" s="369"/>
      <c r="C135" s="371"/>
      <c r="D135" s="371"/>
      <c r="E135" s="104">
        <v>0</v>
      </c>
      <c r="F135" s="104">
        <v>1</v>
      </c>
      <c r="G135" s="104">
        <v>2</v>
      </c>
      <c r="H135" s="104">
        <v>3</v>
      </c>
      <c r="I135" s="102">
        <v>4</v>
      </c>
      <c r="J135" s="102">
        <v>5</v>
      </c>
      <c r="K135" s="104">
        <v>6</v>
      </c>
      <c r="L135" s="104">
        <v>7</v>
      </c>
      <c r="M135" s="104">
        <v>8</v>
      </c>
      <c r="N135" s="104">
        <v>9</v>
      </c>
      <c r="O135" s="104">
        <v>10</v>
      </c>
      <c r="P135" s="104">
        <v>11</v>
      </c>
      <c r="Q135" s="104">
        <v>12</v>
      </c>
      <c r="R135" s="104">
        <v>13</v>
      </c>
      <c r="S135" s="104">
        <v>14</v>
      </c>
      <c r="T135" s="104">
        <v>15</v>
      </c>
      <c r="U135" s="104">
        <v>16</v>
      </c>
    </row>
    <row r="136" spans="1:21" x14ac:dyDescent="0.35">
      <c r="A136" s="25"/>
      <c r="B136" s="387" t="s">
        <v>12</v>
      </c>
      <c r="C136" s="385" t="s">
        <v>52</v>
      </c>
      <c r="D136" s="386"/>
      <c r="E136" s="23">
        <f t="shared" ref="E136:U136" si="23">E95*$D$36*$D$38</f>
        <v>383.40000000000003</v>
      </c>
      <c r="F136" s="23">
        <f t="shared" si="23"/>
        <v>383.40000000000003</v>
      </c>
      <c r="G136" s="23">
        <f t="shared" si="23"/>
        <v>383.40000000000003</v>
      </c>
      <c r="H136" s="23">
        <f t="shared" si="23"/>
        <v>383.40000000000003</v>
      </c>
      <c r="I136" s="23">
        <f t="shared" si="23"/>
        <v>0</v>
      </c>
      <c r="J136" s="23">
        <f t="shared" si="23"/>
        <v>0</v>
      </c>
      <c r="K136" s="23">
        <f t="shared" si="23"/>
        <v>0</v>
      </c>
      <c r="L136" s="23">
        <f t="shared" si="23"/>
        <v>0</v>
      </c>
      <c r="M136" s="23">
        <f t="shared" si="23"/>
        <v>0</v>
      </c>
      <c r="N136" s="23">
        <f t="shared" si="23"/>
        <v>0</v>
      </c>
      <c r="O136" s="23">
        <f t="shared" si="23"/>
        <v>0</v>
      </c>
      <c r="P136" s="23">
        <f t="shared" si="23"/>
        <v>0</v>
      </c>
      <c r="Q136" s="23">
        <f t="shared" si="23"/>
        <v>0</v>
      </c>
      <c r="R136" s="23">
        <f t="shared" si="23"/>
        <v>0</v>
      </c>
      <c r="S136" s="23">
        <f t="shared" si="23"/>
        <v>0</v>
      </c>
      <c r="T136" s="23">
        <f t="shared" si="23"/>
        <v>0</v>
      </c>
      <c r="U136" s="24">
        <f t="shared" si="23"/>
        <v>0</v>
      </c>
    </row>
    <row r="137" spans="1:21" x14ac:dyDescent="0.35">
      <c r="A137" s="25"/>
      <c r="B137" s="388"/>
      <c r="C137" s="453" t="s">
        <v>53</v>
      </c>
      <c r="D137" s="454"/>
      <c r="E137" s="23">
        <f t="shared" ref="E137:U137" si="24">$D$40*E96</f>
        <v>0.3</v>
      </c>
      <c r="F137" s="23">
        <f t="shared" si="24"/>
        <v>0.6</v>
      </c>
      <c r="G137" s="23">
        <f t="shared" si="24"/>
        <v>0.89999999999999991</v>
      </c>
      <c r="H137" s="23">
        <f t="shared" si="24"/>
        <v>1.2</v>
      </c>
      <c r="I137" s="23">
        <f t="shared" si="24"/>
        <v>1.2</v>
      </c>
      <c r="J137" s="23">
        <f t="shared" si="24"/>
        <v>1.2</v>
      </c>
      <c r="K137" s="23">
        <f t="shared" si="24"/>
        <v>1.2</v>
      </c>
      <c r="L137" s="23">
        <f t="shared" si="24"/>
        <v>1.2</v>
      </c>
      <c r="M137" s="23">
        <f t="shared" si="24"/>
        <v>1.2</v>
      </c>
      <c r="N137" s="23">
        <f t="shared" si="24"/>
        <v>1.2</v>
      </c>
      <c r="O137" s="23">
        <f t="shared" si="24"/>
        <v>1.2</v>
      </c>
      <c r="P137" s="23">
        <f t="shared" si="24"/>
        <v>1.2</v>
      </c>
      <c r="Q137" s="23">
        <f t="shared" si="24"/>
        <v>1.2</v>
      </c>
      <c r="R137" s="23">
        <f t="shared" si="24"/>
        <v>1.2</v>
      </c>
      <c r="S137" s="23">
        <f t="shared" si="24"/>
        <v>1.2</v>
      </c>
      <c r="T137" s="23">
        <f t="shared" si="24"/>
        <v>1.2</v>
      </c>
      <c r="U137" s="24">
        <f t="shared" si="24"/>
        <v>1.2</v>
      </c>
    </row>
    <row r="138" spans="1:21" x14ac:dyDescent="0.35">
      <c r="A138" s="25"/>
      <c r="B138" s="388"/>
      <c r="C138" s="344" t="s">
        <v>54</v>
      </c>
      <c r="D138" s="345"/>
      <c r="E138" s="23">
        <v>0</v>
      </c>
      <c r="F138" s="23">
        <v>0</v>
      </c>
      <c r="G138" s="23">
        <v>0</v>
      </c>
      <c r="H138" s="23">
        <v>0</v>
      </c>
      <c r="I138" s="23">
        <v>0</v>
      </c>
      <c r="J138" s="23">
        <v>0</v>
      </c>
      <c r="K138" s="23">
        <v>0</v>
      </c>
      <c r="L138" s="23">
        <v>0</v>
      </c>
      <c r="M138" s="23">
        <v>0</v>
      </c>
      <c r="O138" s="23">
        <f>D42</f>
        <v>3000</v>
      </c>
      <c r="P138" s="23">
        <v>0</v>
      </c>
      <c r="Q138" s="23">
        <v>0</v>
      </c>
      <c r="R138" s="23">
        <v>0</v>
      </c>
      <c r="S138" s="23">
        <v>0</v>
      </c>
      <c r="T138" s="23">
        <v>0</v>
      </c>
      <c r="U138" s="24">
        <v>0</v>
      </c>
    </row>
    <row r="139" spans="1:21" x14ac:dyDescent="0.35">
      <c r="A139" s="25"/>
      <c r="B139" s="388"/>
      <c r="C139" s="344" t="s">
        <v>55</v>
      </c>
      <c r="D139" s="345"/>
      <c r="E139" s="23">
        <f t="shared" ref="E139:U139" si="25">E97*$K$36</f>
        <v>67189.287000000011</v>
      </c>
      <c r="F139" s="23">
        <f t="shared" si="25"/>
        <v>67189.287000000011</v>
      </c>
      <c r="G139" s="23">
        <f t="shared" si="25"/>
        <v>67189.287000000011</v>
      </c>
      <c r="H139" s="23">
        <f t="shared" si="25"/>
        <v>67189.287000000011</v>
      </c>
      <c r="I139" s="23">
        <f t="shared" si="25"/>
        <v>0</v>
      </c>
      <c r="J139" s="23">
        <f t="shared" si="25"/>
        <v>0</v>
      </c>
      <c r="K139" s="23">
        <f t="shared" si="25"/>
        <v>0</v>
      </c>
      <c r="L139" s="23">
        <f t="shared" si="25"/>
        <v>0</v>
      </c>
      <c r="M139" s="23">
        <f t="shared" si="25"/>
        <v>0</v>
      </c>
      <c r="N139" s="23">
        <f t="shared" si="25"/>
        <v>0</v>
      </c>
      <c r="O139" s="23">
        <f t="shared" si="25"/>
        <v>0</v>
      </c>
      <c r="P139" s="23">
        <f t="shared" si="25"/>
        <v>0</v>
      </c>
      <c r="Q139" s="23">
        <f t="shared" si="25"/>
        <v>0</v>
      </c>
      <c r="R139" s="23">
        <f t="shared" si="25"/>
        <v>0</v>
      </c>
      <c r="S139" s="23">
        <f t="shared" si="25"/>
        <v>0</v>
      </c>
      <c r="T139" s="23">
        <f t="shared" si="25"/>
        <v>0</v>
      </c>
      <c r="U139" s="24">
        <f t="shared" si="25"/>
        <v>0</v>
      </c>
    </row>
    <row r="140" spans="1:21" x14ac:dyDescent="0.35">
      <c r="A140" s="25"/>
      <c r="B140" s="388"/>
      <c r="C140" s="344" t="s">
        <v>56</v>
      </c>
      <c r="D140" s="345"/>
      <c r="E140" s="23">
        <f t="shared" ref="E140:U140" si="26">E98*$K$38</f>
        <v>356.20950000000005</v>
      </c>
      <c r="F140" s="23">
        <f t="shared" si="26"/>
        <v>712.4190000000001</v>
      </c>
      <c r="G140" s="23">
        <f t="shared" si="26"/>
        <v>1068.6285</v>
      </c>
      <c r="H140" s="23">
        <f t="shared" si="26"/>
        <v>1424.8380000000002</v>
      </c>
      <c r="I140" s="23">
        <f t="shared" si="26"/>
        <v>1424.8380000000002</v>
      </c>
      <c r="J140" s="23">
        <f t="shared" si="26"/>
        <v>1424.8380000000002</v>
      </c>
      <c r="K140" s="23">
        <f t="shared" si="26"/>
        <v>1424.8380000000002</v>
      </c>
      <c r="L140" s="23">
        <f t="shared" si="26"/>
        <v>1424.8380000000002</v>
      </c>
      <c r="M140" s="23">
        <f t="shared" si="26"/>
        <v>1424.8380000000002</v>
      </c>
      <c r="N140" s="23">
        <f t="shared" si="26"/>
        <v>1424.8380000000002</v>
      </c>
      <c r="O140" s="23">
        <f t="shared" si="26"/>
        <v>1424.8380000000002</v>
      </c>
      <c r="P140" s="23">
        <f t="shared" si="26"/>
        <v>1424.8380000000002</v>
      </c>
      <c r="Q140" s="23">
        <f t="shared" si="26"/>
        <v>1424.8380000000002</v>
      </c>
      <c r="R140" s="23">
        <f t="shared" si="26"/>
        <v>1424.8380000000002</v>
      </c>
      <c r="S140" s="23">
        <f t="shared" si="26"/>
        <v>1424.8380000000002</v>
      </c>
      <c r="T140" s="23">
        <f t="shared" si="26"/>
        <v>1424.8380000000002</v>
      </c>
      <c r="U140" s="24">
        <f t="shared" si="26"/>
        <v>1424.8380000000002</v>
      </c>
    </row>
    <row r="141" spans="1:21" x14ac:dyDescent="0.35">
      <c r="A141" s="25"/>
      <c r="B141" s="388"/>
      <c r="C141" s="344" t="s">
        <v>57</v>
      </c>
      <c r="D141" s="345"/>
      <c r="E141" s="23">
        <f>K40</f>
        <v>32796</v>
      </c>
      <c r="F141" s="23">
        <v>0</v>
      </c>
      <c r="G141" s="23">
        <v>0</v>
      </c>
      <c r="H141" s="23">
        <v>0</v>
      </c>
      <c r="I141" s="23">
        <v>0</v>
      </c>
      <c r="J141" s="23">
        <v>0</v>
      </c>
      <c r="K141" s="23">
        <v>0</v>
      </c>
      <c r="L141" s="23">
        <v>0</v>
      </c>
      <c r="M141" s="23">
        <v>0</v>
      </c>
      <c r="N141" s="23">
        <v>0</v>
      </c>
      <c r="O141" s="23">
        <v>0</v>
      </c>
      <c r="P141" s="23">
        <v>0</v>
      </c>
      <c r="Q141" s="23">
        <v>0</v>
      </c>
      <c r="R141" s="23">
        <v>0</v>
      </c>
      <c r="S141" s="23">
        <v>0</v>
      </c>
      <c r="T141" s="23">
        <v>0</v>
      </c>
      <c r="U141" s="24">
        <v>0</v>
      </c>
    </row>
    <row r="142" spans="1:21" x14ac:dyDescent="0.35">
      <c r="A142" s="25"/>
      <c r="B142" s="388"/>
      <c r="C142" s="344" t="s">
        <v>58</v>
      </c>
      <c r="D142" s="345"/>
      <c r="E142" s="23">
        <f t="shared" ref="E142:U142" si="27">12*$K$42</f>
        <v>1224</v>
      </c>
      <c r="F142" s="23">
        <f t="shared" si="27"/>
        <v>1224</v>
      </c>
      <c r="G142" s="23">
        <f t="shared" si="27"/>
        <v>1224</v>
      </c>
      <c r="H142" s="23">
        <f t="shared" si="27"/>
        <v>1224</v>
      </c>
      <c r="I142" s="23">
        <f t="shared" si="27"/>
        <v>1224</v>
      </c>
      <c r="J142" s="23">
        <f t="shared" si="27"/>
        <v>1224</v>
      </c>
      <c r="K142" s="23">
        <f t="shared" si="27"/>
        <v>1224</v>
      </c>
      <c r="L142" s="23">
        <f t="shared" si="27"/>
        <v>1224</v>
      </c>
      <c r="M142" s="23">
        <f t="shared" si="27"/>
        <v>1224</v>
      </c>
      <c r="N142" s="23">
        <f t="shared" si="27"/>
        <v>1224</v>
      </c>
      <c r="O142" s="23">
        <f t="shared" si="27"/>
        <v>1224</v>
      </c>
      <c r="P142" s="23">
        <f t="shared" si="27"/>
        <v>1224</v>
      </c>
      <c r="Q142" s="23">
        <f t="shared" si="27"/>
        <v>1224</v>
      </c>
      <c r="R142" s="23">
        <f t="shared" si="27"/>
        <v>1224</v>
      </c>
      <c r="S142" s="23">
        <f t="shared" si="27"/>
        <v>1224</v>
      </c>
      <c r="T142" s="23">
        <f t="shared" si="27"/>
        <v>1224</v>
      </c>
      <c r="U142" s="24">
        <f t="shared" si="27"/>
        <v>1224</v>
      </c>
    </row>
    <row r="143" spans="1:21" x14ac:dyDescent="0.35">
      <c r="A143" s="25"/>
      <c r="B143" s="388"/>
      <c r="C143" s="455" t="s">
        <v>159</v>
      </c>
      <c r="D143" s="345"/>
      <c r="E143" s="23" t="e">
        <f>$D$44*1000*#REF!*$K$44/5</f>
        <v>#REF!</v>
      </c>
      <c r="F143" s="23" t="e">
        <f>$D$44*1000*#REF!*$K$44/5</f>
        <v>#REF!</v>
      </c>
      <c r="G143" s="23" t="e">
        <f>$D$44*1000*#REF!*$K$44/5</f>
        <v>#REF!</v>
      </c>
      <c r="H143" s="23" t="e">
        <f>$D$44*1000*#REF!*$K$44/5</f>
        <v>#REF!</v>
      </c>
      <c r="I143" s="23" t="e">
        <f>$D$44*1000*#REF!*$K$44/5</f>
        <v>#REF!</v>
      </c>
      <c r="J143" s="23"/>
      <c r="K143" s="23"/>
      <c r="L143" s="23"/>
      <c r="M143" s="23"/>
      <c r="N143" s="23"/>
      <c r="O143" s="23"/>
      <c r="P143" s="23"/>
      <c r="Q143" s="23"/>
      <c r="R143" s="23"/>
      <c r="S143" s="23"/>
      <c r="T143" s="23"/>
      <c r="U143" s="24"/>
    </row>
    <row r="144" spans="1:21" x14ac:dyDescent="0.35">
      <c r="A144" s="25"/>
      <c r="B144" s="388"/>
      <c r="C144" s="453" t="s">
        <v>162</v>
      </c>
      <c r="D144" s="454"/>
      <c r="E144" s="23">
        <f>$D$40*$D$44</f>
        <v>0.89610000000000001</v>
      </c>
      <c r="F144" s="23">
        <f t="shared" ref="F144:U144" si="28">$D$40*$D$44</f>
        <v>0.89610000000000001</v>
      </c>
      <c r="G144" s="23">
        <f t="shared" si="28"/>
        <v>0.89610000000000001</v>
      </c>
      <c r="H144" s="23">
        <f t="shared" si="28"/>
        <v>0.89610000000000001</v>
      </c>
      <c r="I144" s="23">
        <f t="shared" si="28"/>
        <v>0.89610000000000001</v>
      </c>
      <c r="J144" s="23">
        <f t="shared" si="28"/>
        <v>0.89610000000000001</v>
      </c>
      <c r="K144" s="23">
        <f t="shared" si="28"/>
        <v>0.89610000000000001</v>
      </c>
      <c r="L144" s="23">
        <f t="shared" si="28"/>
        <v>0.89610000000000001</v>
      </c>
      <c r="M144" s="23">
        <f t="shared" si="28"/>
        <v>0.89610000000000001</v>
      </c>
      <c r="N144" s="23">
        <f t="shared" si="28"/>
        <v>0.89610000000000001</v>
      </c>
      <c r="O144" s="23">
        <f t="shared" si="28"/>
        <v>0.89610000000000001</v>
      </c>
      <c r="P144" s="23">
        <f t="shared" si="28"/>
        <v>0.89610000000000001</v>
      </c>
      <c r="Q144" s="23">
        <f t="shared" si="28"/>
        <v>0.89610000000000001</v>
      </c>
      <c r="R144" s="23">
        <f t="shared" si="28"/>
        <v>0.89610000000000001</v>
      </c>
      <c r="S144" s="23">
        <f t="shared" si="28"/>
        <v>0.89610000000000001</v>
      </c>
      <c r="T144" s="23">
        <f t="shared" si="28"/>
        <v>0.89610000000000001</v>
      </c>
      <c r="U144" s="23">
        <f t="shared" si="28"/>
        <v>0.89610000000000001</v>
      </c>
    </row>
    <row r="145" spans="1:55" x14ac:dyDescent="0.35">
      <c r="A145" s="25"/>
      <c r="B145" s="388"/>
      <c r="C145" s="344" t="s">
        <v>163</v>
      </c>
      <c r="D145" s="345"/>
      <c r="E145" s="23">
        <v>0</v>
      </c>
      <c r="F145" s="23">
        <v>0</v>
      </c>
      <c r="G145" s="23">
        <v>0</v>
      </c>
      <c r="H145" s="23">
        <v>0</v>
      </c>
      <c r="I145" s="23">
        <v>0</v>
      </c>
      <c r="J145" s="23">
        <v>0</v>
      </c>
      <c r="K145" s="23">
        <v>0</v>
      </c>
      <c r="L145" s="23">
        <v>0</v>
      </c>
      <c r="M145" s="23">
        <v>0</v>
      </c>
      <c r="O145" s="23">
        <f>K46</f>
        <v>3000</v>
      </c>
      <c r="P145" s="23">
        <v>0</v>
      </c>
      <c r="Q145" s="23">
        <v>0</v>
      </c>
      <c r="R145" s="23">
        <v>0</v>
      </c>
      <c r="S145" s="23">
        <v>0</v>
      </c>
      <c r="T145" s="23">
        <v>0</v>
      </c>
      <c r="U145" s="24">
        <v>0</v>
      </c>
    </row>
    <row r="146" spans="1:55" s="12" customFormat="1" x14ac:dyDescent="0.35">
      <c r="A146" s="83"/>
      <c r="B146" s="389"/>
      <c r="C146" s="381" t="s">
        <v>11</v>
      </c>
      <c r="D146" s="382"/>
      <c r="E146" s="84">
        <f t="shared" ref="E146:U146" si="29">SUM(E136:E142)</f>
        <v>101949.19650000001</v>
      </c>
      <c r="F146" s="84">
        <f t="shared" si="29"/>
        <v>69509.706000000006</v>
      </c>
      <c r="G146" s="84">
        <f t="shared" si="29"/>
        <v>69866.21550000002</v>
      </c>
      <c r="H146" s="84">
        <f t="shared" si="29"/>
        <v>70222.72500000002</v>
      </c>
      <c r="I146" s="84">
        <f t="shared" si="29"/>
        <v>2650.0380000000005</v>
      </c>
      <c r="J146" s="84">
        <f t="shared" si="29"/>
        <v>2650.0380000000005</v>
      </c>
      <c r="K146" s="84">
        <f t="shared" si="29"/>
        <v>2650.0380000000005</v>
      </c>
      <c r="L146" s="84">
        <f t="shared" si="29"/>
        <v>2650.0380000000005</v>
      </c>
      <c r="M146" s="84">
        <f t="shared" si="29"/>
        <v>2650.0380000000005</v>
      </c>
      <c r="N146" s="84">
        <f t="shared" si="29"/>
        <v>2650.0380000000005</v>
      </c>
      <c r="O146" s="84">
        <f t="shared" si="29"/>
        <v>5650.0380000000005</v>
      </c>
      <c r="P146" s="84">
        <f t="shared" si="29"/>
        <v>2650.0380000000005</v>
      </c>
      <c r="Q146" s="84">
        <f t="shared" si="29"/>
        <v>2650.0380000000005</v>
      </c>
      <c r="R146" s="84">
        <f t="shared" si="29"/>
        <v>2650.0380000000005</v>
      </c>
      <c r="S146" s="84">
        <f t="shared" si="29"/>
        <v>2650.0380000000005</v>
      </c>
      <c r="T146" s="84">
        <f t="shared" si="29"/>
        <v>2650.0380000000005</v>
      </c>
      <c r="U146" s="91">
        <f t="shared" si="29"/>
        <v>2650.0380000000005</v>
      </c>
    </row>
    <row r="147" spans="1:55" s="12" customFormat="1" x14ac:dyDescent="0.35">
      <c r="A147" s="43"/>
      <c r="B147" s="68"/>
      <c r="C147" s="68"/>
      <c r="D147" s="96"/>
      <c r="E147" s="4"/>
      <c r="F147" s="4"/>
      <c r="G147" s="4"/>
      <c r="H147" s="4"/>
      <c r="I147" s="65"/>
      <c r="J147" s="65"/>
      <c r="K147" s="4"/>
      <c r="L147" s="4"/>
      <c r="M147" s="4"/>
      <c r="N147" s="4"/>
      <c r="O147" s="4"/>
      <c r="P147" s="4"/>
      <c r="Q147" s="4"/>
      <c r="R147" s="4"/>
      <c r="S147" s="4"/>
      <c r="T147" s="4"/>
      <c r="U147" s="4"/>
    </row>
    <row r="148" spans="1:55" x14ac:dyDescent="0.35">
      <c r="A148" s="3"/>
      <c r="B148" s="368" t="s">
        <v>140</v>
      </c>
      <c r="C148" s="370" t="s">
        <v>7</v>
      </c>
      <c r="D148" s="370"/>
      <c r="E148" s="106">
        <v>2014</v>
      </c>
      <c r="F148" s="106">
        <v>2015</v>
      </c>
      <c r="G148" s="106">
        <v>2016</v>
      </c>
      <c r="H148" s="106">
        <v>2017</v>
      </c>
      <c r="I148" s="105">
        <v>2018</v>
      </c>
      <c r="J148" s="105">
        <v>2019</v>
      </c>
      <c r="K148" s="106">
        <v>2020</v>
      </c>
      <c r="L148" s="106">
        <v>2021</v>
      </c>
      <c r="M148" s="106">
        <v>2022</v>
      </c>
      <c r="N148" s="106">
        <v>2023</v>
      </c>
      <c r="O148" s="106">
        <v>2024</v>
      </c>
      <c r="P148" s="106">
        <v>2025</v>
      </c>
      <c r="Q148" s="106">
        <v>2026</v>
      </c>
      <c r="R148" s="106">
        <v>2027</v>
      </c>
      <c r="S148" s="106">
        <v>2028</v>
      </c>
      <c r="T148" s="106">
        <v>2029</v>
      </c>
      <c r="U148" s="103">
        <v>2030</v>
      </c>
    </row>
    <row r="149" spans="1:55" x14ac:dyDescent="0.35">
      <c r="A149" s="3"/>
      <c r="B149" s="369"/>
      <c r="C149" s="371"/>
      <c r="D149" s="371"/>
      <c r="E149" s="104">
        <v>0</v>
      </c>
      <c r="F149" s="104">
        <v>1</v>
      </c>
      <c r="G149" s="104">
        <v>2</v>
      </c>
      <c r="H149" s="104">
        <v>3</v>
      </c>
      <c r="I149" s="102">
        <v>4</v>
      </c>
      <c r="J149" s="102">
        <v>5</v>
      </c>
      <c r="K149" s="104">
        <v>6</v>
      </c>
      <c r="L149" s="104">
        <v>7</v>
      </c>
      <c r="M149" s="104">
        <v>8</v>
      </c>
      <c r="N149" s="104">
        <v>9</v>
      </c>
      <c r="O149" s="104">
        <v>10</v>
      </c>
      <c r="P149" s="104">
        <v>11</v>
      </c>
      <c r="Q149" s="104">
        <v>12</v>
      </c>
      <c r="R149" s="104">
        <v>13</v>
      </c>
      <c r="S149" s="104">
        <v>14</v>
      </c>
      <c r="T149" s="104">
        <v>15</v>
      </c>
      <c r="U149" s="104">
        <v>16</v>
      </c>
    </row>
    <row r="150" spans="1:55" s="82" customFormat="1" ht="15" customHeight="1" x14ac:dyDescent="0.35">
      <c r="A150" s="81"/>
      <c r="B150" s="90" t="s">
        <v>12</v>
      </c>
      <c r="C150" s="379" t="s">
        <v>120</v>
      </c>
      <c r="D150" s="380"/>
      <c r="E150" s="23">
        <f t="shared" ref="E150:U150" si="30">E146+E124+E131</f>
        <v>432049.19650000002</v>
      </c>
      <c r="F150" s="23">
        <f t="shared" si="30"/>
        <v>72162.957326000003</v>
      </c>
      <c r="G150" s="23">
        <f t="shared" si="30"/>
        <v>87961.333136000016</v>
      </c>
      <c r="H150" s="23">
        <f t="shared" si="30"/>
        <v>294283.90590000007</v>
      </c>
      <c r="I150" s="23">
        <f t="shared" si="30"/>
        <v>275173.82116600004</v>
      </c>
      <c r="J150" s="23">
        <f t="shared" si="30"/>
        <v>364021.92625200003</v>
      </c>
      <c r="K150" s="23">
        <f t="shared" si="30"/>
        <v>364021.92625200003</v>
      </c>
      <c r="L150" s="23">
        <f t="shared" si="30"/>
        <v>364021.92625200003</v>
      </c>
      <c r="M150" s="23">
        <f t="shared" si="30"/>
        <v>364021.92625200003</v>
      </c>
      <c r="N150" s="23">
        <f t="shared" si="30"/>
        <v>364021.92625200003</v>
      </c>
      <c r="O150" s="23">
        <f t="shared" si="30"/>
        <v>367021.92625200003</v>
      </c>
      <c r="P150" s="23">
        <f t="shared" si="30"/>
        <v>364021.92625200003</v>
      </c>
      <c r="Q150" s="23">
        <f t="shared" si="30"/>
        <v>364467.4682580001</v>
      </c>
      <c r="R150" s="23">
        <f t="shared" si="30"/>
        <v>349025.60194800008</v>
      </c>
      <c r="S150" s="23">
        <f t="shared" si="30"/>
        <v>143059.538684</v>
      </c>
      <c r="T150" s="23">
        <f t="shared" si="30"/>
        <v>94596.936418000012</v>
      </c>
      <c r="U150" s="23">
        <f t="shared" si="30"/>
        <v>5748.8313320000007</v>
      </c>
      <c r="V150" s="92"/>
    </row>
    <row r="151" spans="1:55" x14ac:dyDescent="0.35">
      <c r="A151" s="3"/>
      <c r="B151" s="372" t="s">
        <v>47</v>
      </c>
      <c r="C151" s="373" t="s">
        <v>135</v>
      </c>
      <c r="D151" s="374"/>
      <c r="E151" s="18">
        <v>0</v>
      </c>
      <c r="F151" s="18">
        <v>0</v>
      </c>
      <c r="G151" s="18">
        <v>0</v>
      </c>
      <c r="H151" s="18">
        <v>0</v>
      </c>
      <c r="I151" s="18">
        <v>0</v>
      </c>
      <c r="J151" s="18">
        <v>0</v>
      </c>
      <c r="K151" s="18">
        <f>K107*$D$53*$D$55</f>
        <v>2117.8040000000001</v>
      </c>
      <c r="L151" s="18">
        <f t="shared" ref="L151:U151" si="31">L107*$D$53*$D$55</f>
        <v>2280.712</v>
      </c>
      <c r="M151" s="18">
        <f t="shared" si="31"/>
        <v>2443.62</v>
      </c>
      <c r="N151" s="18">
        <f t="shared" si="31"/>
        <v>2606.5280000000002</v>
      </c>
      <c r="O151" s="18">
        <f t="shared" si="31"/>
        <v>2769.4360000000001</v>
      </c>
      <c r="P151" s="18">
        <f t="shared" si="31"/>
        <v>2932.3440000000001</v>
      </c>
      <c r="Q151" s="18">
        <f t="shared" si="31"/>
        <v>3095.2519999999995</v>
      </c>
      <c r="R151" s="18">
        <f t="shared" si="31"/>
        <v>3258.16</v>
      </c>
      <c r="S151" s="18">
        <f t="shared" si="31"/>
        <v>3421.0680000000002</v>
      </c>
      <c r="T151" s="18">
        <f t="shared" si="31"/>
        <v>3583.9760000000001</v>
      </c>
      <c r="U151" s="18">
        <f t="shared" si="31"/>
        <v>3746.884</v>
      </c>
    </row>
    <row r="152" spans="1:55" x14ac:dyDescent="0.35">
      <c r="A152" s="3"/>
      <c r="B152" s="372"/>
      <c r="C152" s="373" t="s">
        <v>136</v>
      </c>
      <c r="D152" s="374"/>
      <c r="E152" s="18">
        <v>0</v>
      </c>
      <c r="F152" s="18">
        <f>F107*$D$53*$D$57</f>
        <v>173.76853333333335</v>
      </c>
      <c r="G152" s="18">
        <f t="shared" ref="G152:U152" si="32">G107*$D$53*$D$57</f>
        <v>195.4896</v>
      </c>
      <c r="H152" s="18">
        <f t="shared" si="32"/>
        <v>217.21066666666667</v>
      </c>
      <c r="I152" s="18">
        <f t="shared" si="32"/>
        <v>238.93173333333334</v>
      </c>
      <c r="J152" s="18">
        <f t="shared" si="32"/>
        <v>260.65280000000001</v>
      </c>
      <c r="K152" s="18">
        <f t="shared" si="32"/>
        <v>282.37386666666669</v>
      </c>
      <c r="L152" s="18">
        <f t="shared" si="32"/>
        <v>304.09493333333336</v>
      </c>
      <c r="M152" s="18">
        <f t="shared" si="32"/>
        <v>325.81600000000003</v>
      </c>
      <c r="N152" s="18">
        <f t="shared" si="32"/>
        <v>347.5370666666667</v>
      </c>
      <c r="O152" s="18">
        <f t="shared" si="32"/>
        <v>369.25813333333338</v>
      </c>
      <c r="P152" s="18">
        <f t="shared" si="32"/>
        <v>390.97919999999999</v>
      </c>
      <c r="Q152" s="18">
        <f t="shared" si="32"/>
        <v>412.70026666666666</v>
      </c>
      <c r="R152" s="18">
        <f t="shared" si="32"/>
        <v>434.42133333333334</v>
      </c>
      <c r="S152" s="18">
        <f t="shared" si="32"/>
        <v>456.14240000000001</v>
      </c>
      <c r="T152" s="18">
        <f t="shared" si="32"/>
        <v>477.86346666666668</v>
      </c>
      <c r="U152" s="18">
        <f t="shared" si="32"/>
        <v>499.58453333333341</v>
      </c>
    </row>
    <row r="153" spans="1:55" x14ac:dyDescent="0.35">
      <c r="A153" s="3"/>
      <c r="B153" s="372"/>
      <c r="C153" s="373" t="s">
        <v>137</v>
      </c>
      <c r="D153" s="374"/>
      <c r="E153" s="18">
        <v>0</v>
      </c>
      <c r="F153" s="18">
        <v>0</v>
      </c>
      <c r="G153" s="18">
        <f t="shared" ref="G153:U153" si="33">G107*$D$53*$K$57</f>
        <v>293.23439999999999</v>
      </c>
      <c r="H153" s="18">
        <f t="shared" si="33"/>
        <v>325.81599999999997</v>
      </c>
      <c r="I153" s="18">
        <f t="shared" si="33"/>
        <v>358.39760000000001</v>
      </c>
      <c r="J153" s="18">
        <f t="shared" si="33"/>
        <v>390.97920000000005</v>
      </c>
      <c r="K153" s="18">
        <f t="shared" si="33"/>
        <v>423.56079999999997</v>
      </c>
      <c r="L153" s="18">
        <f t="shared" si="33"/>
        <v>456.14240000000001</v>
      </c>
      <c r="M153" s="18">
        <f t="shared" si="33"/>
        <v>488.72399999999993</v>
      </c>
      <c r="N153" s="18">
        <f t="shared" si="33"/>
        <v>521.30560000000003</v>
      </c>
      <c r="O153" s="18">
        <f t="shared" si="33"/>
        <v>553.88720000000001</v>
      </c>
      <c r="P153" s="18">
        <f t="shared" si="33"/>
        <v>586.46879999999999</v>
      </c>
      <c r="Q153" s="18">
        <f t="shared" si="33"/>
        <v>619.05039999999997</v>
      </c>
      <c r="R153" s="18">
        <f t="shared" si="33"/>
        <v>651.63199999999995</v>
      </c>
      <c r="S153" s="18">
        <f t="shared" si="33"/>
        <v>684.21359999999993</v>
      </c>
      <c r="T153" s="18">
        <f t="shared" si="33"/>
        <v>716.79520000000002</v>
      </c>
      <c r="U153" s="18">
        <f t="shared" si="33"/>
        <v>749.3768</v>
      </c>
    </row>
    <row r="154" spans="1:55" x14ac:dyDescent="0.35">
      <c r="A154" s="3"/>
      <c r="B154" s="372"/>
      <c r="C154" s="377" t="s">
        <v>134</v>
      </c>
      <c r="D154" s="378"/>
      <c r="E154" s="18">
        <v>0</v>
      </c>
      <c r="F154" s="18" t="e">
        <f>E88*$K$22/#REF!</f>
        <v>#REF!</v>
      </c>
      <c r="G154" s="18" t="e">
        <f>F88*$K$22/#REF!</f>
        <v>#REF!</v>
      </c>
      <c r="H154" s="18" t="e">
        <f>G88*$K$22/#REF!</f>
        <v>#REF!</v>
      </c>
      <c r="I154" s="18" t="e">
        <f>H88*$K$22/#REF!</f>
        <v>#REF!</v>
      </c>
      <c r="J154" s="18" t="e">
        <f>I88*$K$22/#REF!</f>
        <v>#REF!</v>
      </c>
      <c r="K154" s="18" t="e">
        <f>J88*$K$22/#REF!</f>
        <v>#REF!</v>
      </c>
      <c r="L154" s="18" t="e">
        <f>K88*$K$22/#REF!</f>
        <v>#REF!</v>
      </c>
      <c r="M154" s="18" t="e">
        <f>L88*$K$22/#REF!</f>
        <v>#REF!</v>
      </c>
      <c r="N154" s="18" t="e">
        <f>M88*$K$22/#REF!</f>
        <v>#REF!</v>
      </c>
      <c r="O154" s="18" t="e">
        <f>N88*$K$22/#REF!</f>
        <v>#REF!</v>
      </c>
      <c r="P154" s="18" t="e">
        <f>O88*$K$22/#REF!</f>
        <v>#REF!</v>
      </c>
      <c r="Q154" s="18" t="e">
        <f>P88*$K$22/#REF!</f>
        <v>#REF!</v>
      </c>
      <c r="R154" s="18" t="e">
        <f>Q88*$K$22/#REF!</f>
        <v>#REF!</v>
      </c>
      <c r="S154" s="18" t="e">
        <f>R88*$K$22/#REF!</f>
        <v>#REF!</v>
      </c>
      <c r="T154" s="18" t="e">
        <f>S88*$K$22/#REF!</f>
        <v>#REF!</v>
      </c>
      <c r="U154" s="18" t="e">
        <f>T88*$K$22/#REF!</f>
        <v>#REF!</v>
      </c>
    </row>
    <row r="155" spans="1:55" x14ac:dyDescent="0.35">
      <c r="A155" s="3"/>
      <c r="B155" s="372"/>
      <c r="C155" s="375" t="s">
        <v>14</v>
      </c>
      <c r="D155" s="375"/>
      <c r="E155" s="18">
        <f t="shared" ref="E155:U155" si="34">SUM(E151:E154)</f>
        <v>0</v>
      </c>
      <c r="F155" s="18" t="e">
        <f t="shared" si="34"/>
        <v>#REF!</v>
      </c>
      <c r="G155" s="18" t="e">
        <f t="shared" si="34"/>
        <v>#REF!</v>
      </c>
      <c r="H155" s="18" t="e">
        <f t="shared" si="34"/>
        <v>#REF!</v>
      </c>
      <c r="I155" s="18" t="e">
        <f t="shared" si="34"/>
        <v>#REF!</v>
      </c>
      <c r="J155" s="18" t="e">
        <f t="shared" si="34"/>
        <v>#REF!</v>
      </c>
      <c r="K155" s="18" t="e">
        <f t="shared" si="34"/>
        <v>#REF!</v>
      </c>
      <c r="L155" s="18" t="e">
        <f t="shared" si="34"/>
        <v>#REF!</v>
      </c>
      <c r="M155" s="18" t="e">
        <f t="shared" si="34"/>
        <v>#REF!</v>
      </c>
      <c r="N155" s="18" t="e">
        <f t="shared" si="34"/>
        <v>#REF!</v>
      </c>
      <c r="O155" s="18" t="e">
        <f t="shared" si="34"/>
        <v>#REF!</v>
      </c>
      <c r="P155" s="18" t="e">
        <f t="shared" si="34"/>
        <v>#REF!</v>
      </c>
      <c r="Q155" s="18" t="e">
        <f t="shared" si="34"/>
        <v>#REF!</v>
      </c>
      <c r="R155" s="18" t="e">
        <f t="shared" si="34"/>
        <v>#REF!</v>
      </c>
      <c r="S155" s="18" t="e">
        <f t="shared" si="34"/>
        <v>#REF!</v>
      </c>
      <c r="T155" s="18" t="e">
        <f t="shared" si="34"/>
        <v>#REF!</v>
      </c>
      <c r="U155" s="18" t="e">
        <f t="shared" si="34"/>
        <v>#REF!</v>
      </c>
    </row>
    <row r="156" spans="1:55" x14ac:dyDescent="0.35">
      <c r="A156" s="3"/>
      <c r="B156" s="376" t="s">
        <v>9</v>
      </c>
      <c r="C156" s="376"/>
      <c r="D156" s="376"/>
      <c r="E156" s="21">
        <f t="shared" ref="E156:U156" si="35">E155-E150</f>
        <v>-432049.19650000002</v>
      </c>
      <c r="F156" s="21" t="e">
        <f t="shared" si="35"/>
        <v>#REF!</v>
      </c>
      <c r="G156" s="21" t="e">
        <f t="shared" si="35"/>
        <v>#REF!</v>
      </c>
      <c r="H156" s="21" t="e">
        <f t="shared" si="35"/>
        <v>#REF!</v>
      </c>
      <c r="I156" s="66" t="e">
        <f t="shared" si="35"/>
        <v>#REF!</v>
      </c>
      <c r="J156" s="66" t="e">
        <f t="shared" si="35"/>
        <v>#REF!</v>
      </c>
      <c r="K156" s="21" t="e">
        <f t="shared" si="35"/>
        <v>#REF!</v>
      </c>
      <c r="L156" s="21" t="e">
        <f t="shared" si="35"/>
        <v>#REF!</v>
      </c>
      <c r="M156" s="21" t="e">
        <f t="shared" si="35"/>
        <v>#REF!</v>
      </c>
      <c r="N156" s="21" t="e">
        <f t="shared" si="35"/>
        <v>#REF!</v>
      </c>
      <c r="O156" s="21" t="e">
        <f t="shared" si="35"/>
        <v>#REF!</v>
      </c>
      <c r="P156" s="21" t="e">
        <f t="shared" si="35"/>
        <v>#REF!</v>
      </c>
      <c r="Q156" s="21" t="e">
        <f t="shared" si="35"/>
        <v>#REF!</v>
      </c>
      <c r="R156" s="21" t="e">
        <f t="shared" si="35"/>
        <v>#REF!</v>
      </c>
      <c r="S156" s="21" t="e">
        <f t="shared" si="35"/>
        <v>#REF!</v>
      </c>
      <c r="T156" s="21" t="e">
        <f t="shared" si="35"/>
        <v>#REF!</v>
      </c>
      <c r="U156" s="21" t="e">
        <f t="shared" si="35"/>
        <v>#REF!</v>
      </c>
      <c r="V156" s="5"/>
    </row>
    <row r="157" spans="1:55" ht="14.5" x14ac:dyDescent="0.35">
      <c r="A157" s="3"/>
      <c r="B157" s="376" t="s">
        <v>142</v>
      </c>
      <c r="C157" s="376"/>
      <c r="D157" s="376"/>
      <c r="E157" s="21">
        <f>E156</f>
        <v>-432049.19650000002</v>
      </c>
      <c r="F157" s="21" t="e">
        <f>E157+F156</f>
        <v>#REF!</v>
      </c>
      <c r="G157" s="21" t="e">
        <f t="shared" ref="G157:U157" si="36">F157+G156</f>
        <v>#REF!</v>
      </c>
      <c r="H157" s="21" t="e">
        <f t="shared" si="36"/>
        <v>#REF!</v>
      </c>
      <c r="I157" s="66" t="e">
        <f t="shared" si="36"/>
        <v>#REF!</v>
      </c>
      <c r="J157" s="66" t="e">
        <f t="shared" si="36"/>
        <v>#REF!</v>
      </c>
      <c r="K157" s="21" t="e">
        <f t="shared" si="36"/>
        <v>#REF!</v>
      </c>
      <c r="L157" s="21" t="e">
        <f t="shared" si="36"/>
        <v>#REF!</v>
      </c>
      <c r="M157" s="21" t="e">
        <f t="shared" si="36"/>
        <v>#REF!</v>
      </c>
      <c r="N157" s="21" t="e">
        <f t="shared" si="36"/>
        <v>#REF!</v>
      </c>
      <c r="O157" s="21" t="e">
        <f t="shared" si="36"/>
        <v>#REF!</v>
      </c>
      <c r="P157" s="21" t="e">
        <f t="shared" si="36"/>
        <v>#REF!</v>
      </c>
      <c r="Q157" s="21" t="e">
        <f t="shared" si="36"/>
        <v>#REF!</v>
      </c>
      <c r="R157" s="21" t="e">
        <f t="shared" si="36"/>
        <v>#REF!</v>
      </c>
      <c r="S157" s="21" t="e">
        <f t="shared" si="36"/>
        <v>#REF!</v>
      </c>
      <c r="T157" s="21" t="e">
        <f t="shared" si="36"/>
        <v>#REF!</v>
      </c>
      <c r="U157" s="21" t="e">
        <f t="shared" si="36"/>
        <v>#REF!</v>
      </c>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c r="BC157" s="101"/>
    </row>
    <row r="158" spans="1:55" ht="14.5" hidden="1" x14ac:dyDescent="0.35">
      <c r="A158" s="3"/>
      <c r="B158" s="376" t="s">
        <v>143</v>
      </c>
      <c r="C158" s="376"/>
      <c r="D158" s="376"/>
      <c r="E158" s="21">
        <f t="shared" ref="E158:U158" si="37">E155-E142-E137-E140-E130</f>
        <v>-1580.5095000000001</v>
      </c>
      <c r="F158" s="21" t="e">
        <f t="shared" si="37"/>
        <v>#REF!</v>
      </c>
      <c r="G158" s="21" t="e">
        <f t="shared" si="37"/>
        <v>#REF!</v>
      </c>
      <c r="H158" s="21" t="e">
        <f t="shared" si="37"/>
        <v>#REF!</v>
      </c>
      <c r="I158" s="21" t="e">
        <f t="shared" si="37"/>
        <v>#REF!</v>
      </c>
      <c r="J158" s="21" t="e">
        <f t="shared" si="37"/>
        <v>#REF!</v>
      </c>
      <c r="K158" s="21" t="e">
        <f t="shared" si="37"/>
        <v>#REF!</v>
      </c>
      <c r="L158" s="21" t="e">
        <f t="shared" si="37"/>
        <v>#REF!</v>
      </c>
      <c r="M158" s="21" t="e">
        <f t="shared" si="37"/>
        <v>#REF!</v>
      </c>
      <c r="N158" s="21" t="e">
        <f t="shared" si="37"/>
        <v>#REF!</v>
      </c>
      <c r="O158" s="21" t="e">
        <f t="shared" si="37"/>
        <v>#REF!</v>
      </c>
      <c r="P158" s="21" t="e">
        <f t="shared" si="37"/>
        <v>#REF!</v>
      </c>
      <c r="Q158" s="21" t="e">
        <f t="shared" si="37"/>
        <v>#REF!</v>
      </c>
      <c r="R158" s="21" t="e">
        <f t="shared" si="37"/>
        <v>#REF!</v>
      </c>
      <c r="S158" s="21" t="e">
        <f t="shared" si="37"/>
        <v>#REF!</v>
      </c>
      <c r="T158" s="21" t="e">
        <f t="shared" si="37"/>
        <v>#REF!</v>
      </c>
      <c r="U158" s="21" t="e">
        <f t="shared" si="37"/>
        <v>#REF!</v>
      </c>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c r="BC158" s="101"/>
    </row>
    <row r="159" spans="1:55" ht="13.5" x14ac:dyDescent="0.35">
      <c r="B159" s="365" t="s">
        <v>10</v>
      </c>
      <c r="C159" s="365"/>
      <c r="D159" s="365"/>
      <c r="E159" s="364" t="e">
        <f>NPV(CBA!$I$17,F156:U156)+E156</f>
        <v>#REF!</v>
      </c>
      <c r="F159" s="365"/>
      <c r="G159" s="2"/>
      <c r="H159" s="2"/>
      <c r="I159" s="67"/>
      <c r="J159" s="67"/>
      <c r="K159" s="2"/>
      <c r="L159" s="2"/>
      <c r="M159" s="2"/>
      <c r="N159" s="2"/>
      <c r="O159" s="2"/>
      <c r="P159" s="2"/>
      <c r="Q159" s="2"/>
      <c r="R159" s="2"/>
      <c r="S159" s="2"/>
      <c r="T159" s="2"/>
      <c r="U159" s="2"/>
    </row>
    <row r="162" spans="3:5" x14ac:dyDescent="0.35">
      <c r="C162" s="366" t="s">
        <v>131</v>
      </c>
      <c r="D162" s="367"/>
      <c r="E162" s="76">
        <f>NPV(CBA!$I$17,F150:U150)+E150</f>
        <v>2334409.0509549566</v>
      </c>
    </row>
    <row r="163" spans="3:5" x14ac:dyDescent="0.35">
      <c r="C163" s="390" t="s">
        <v>132</v>
      </c>
      <c r="D163" s="391"/>
      <c r="E163" s="77" t="e">
        <f>NPV(CBA!$I$17,F155:U155)+E155</f>
        <v>#REF!</v>
      </c>
    </row>
  </sheetData>
  <mergeCells count="211">
    <mergeCell ref="B10:C10"/>
    <mergeCell ref="D10:E10"/>
    <mergeCell ref="F10:G10"/>
    <mergeCell ref="I10:J10"/>
    <mergeCell ref="K10:L10"/>
    <mergeCell ref="M10:N10"/>
    <mergeCell ref="B2:C3"/>
    <mergeCell ref="D2:O3"/>
    <mergeCell ref="B5:O6"/>
    <mergeCell ref="B8:C8"/>
    <mergeCell ref="D8:E8"/>
    <mergeCell ref="F8:G8"/>
    <mergeCell ref="I8:J8"/>
    <mergeCell ref="K8:L8"/>
    <mergeCell ref="M8:N8"/>
    <mergeCell ref="B14:C14"/>
    <mergeCell ref="D14:E14"/>
    <mergeCell ref="F14:G14"/>
    <mergeCell ref="I14:J14"/>
    <mergeCell ref="K14:L14"/>
    <mergeCell ref="M14:N14"/>
    <mergeCell ref="B12:C12"/>
    <mergeCell ref="D12:E12"/>
    <mergeCell ref="F12:G12"/>
    <mergeCell ref="I12:J12"/>
    <mergeCell ref="K12:L12"/>
    <mergeCell ref="M12:N12"/>
    <mergeCell ref="B18:C18"/>
    <mergeCell ref="B19:O20"/>
    <mergeCell ref="B22:C22"/>
    <mergeCell ref="D22:E22"/>
    <mergeCell ref="F22:G22"/>
    <mergeCell ref="I22:J22"/>
    <mergeCell ref="K22:L22"/>
    <mergeCell ref="M22:N22"/>
    <mergeCell ref="B16:C16"/>
    <mergeCell ref="D16:E16"/>
    <mergeCell ref="F16:G16"/>
    <mergeCell ref="I16:J16"/>
    <mergeCell ref="K16:L16"/>
    <mergeCell ref="M16:N16"/>
    <mergeCell ref="B26:C26"/>
    <mergeCell ref="D26:E26"/>
    <mergeCell ref="F26:G26"/>
    <mergeCell ref="I26:J26"/>
    <mergeCell ref="K26:L26"/>
    <mergeCell ref="M26:N26"/>
    <mergeCell ref="B24:C24"/>
    <mergeCell ref="D24:E24"/>
    <mergeCell ref="F24:G24"/>
    <mergeCell ref="I24:J24"/>
    <mergeCell ref="K24:L24"/>
    <mergeCell ref="M24:N24"/>
    <mergeCell ref="B31:O32"/>
    <mergeCell ref="B34:C34"/>
    <mergeCell ref="D34:E34"/>
    <mergeCell ref="F34:G34"/>
    <mergeCell ref="I34:J34"/>
    <mergeCell ref="K34:L34"/>
    <mergeCell ref="M34:N34"/>
    <mergeCell ref="B28:C28"/>
    <mergeCell ref="D28:E28"/>
    <mergeCell ref="F28:G28"/>
    <mergeCell ref="I28:J28"/>
    <mergeCell ref="K28:L28"/>
    <mergeCell ref="M28:N28"/>
    <mergeCell ref="B38:C38"/>
    <mergeCell ref="D38:E38"/>
    <mergeCell ref="F38:G38"/>
    <mergeCell ref="I38:J38"/>
    <mergeCell ref="K38:L38"/>
    <mergeCell ref="M38:N38"/>
    <mergeCell ref="B36:C36"/>
    <mergeCell ref="D36:E36"/>
    <mergeCell ref="F36:G36"/>
    <mergeCell ref="I36:J36"/>
    <mergeCell ref="K36:L36"/>
    <mergeCell ref="M36:N36"/>
    <mergeCell ref="B42:C42"/>
    <mergeCell ref="D42:E42"/>
    <mergeCell ref="F42:G42"/>
    <mergeCell ref="I42:J42"/>
    <mergeCell ref="K42:L42"/>
    <mergeCell ref="M42:N42"/>
    <mergeCell ref="B40:C40"/>
    <mergeCell ref="D40:E40"/>
    <mergeCell ref="F40:G40"/>
    <mergeCell ref="I40:J40"/>
    <mergeCell ref="K40:L40"/>
    <mergeCell ref="M40:N40"/>
    <mergeCell ref="B53:C53"/>
    <mergeCell ref="D53:E53"/>
    <mergeCell ref="F53:G53"/>
    <mergeCell ref="I53:J53"/>
    <mergeCell ref="K53:L53"/>
    <mergeCell ref="M53:N53"/>
    <mergeCell ref="B48:O49"/>
    <mergeCell ref="B51:C51"/>
    <mergeCell ref="D51:E51"/>
    <mergeCell ref="F51:G51"/>
    <mergeCell ref="I51:J51"/>
    <mergeCell ref="K51:L51"/>
    <mergeCell ref="M51:N51"/>
    <mergeCell ref="B57:C57"/>
    <mergeCell ref="D57:E57"/>
    <mergeCell ref="F57:G57"/>
    <mergeCell ref="I57:J57"/>
    <mergeCell ref="K57:L57"/>
    <mergeCell ref="M57:N57"/>
    <mergeCell ref="B55:C55"/>
    <mergeCell ref="D55:E55"/>
    <mergeCell ref="F55:G55"/>
    <mergeCell ref="I55:J55"/>
    <mergeCell ref="K55:L55"/>
    <mergeCell ref="M55:N55"/>
    <mergeCell ref="B68:C68"/>
    <mergeCell ref="B69:C69"/>
    <mergeCell ref="B70:C70"/>
    <mergeCell ref="B71:C71"/>
    <mergeCell ref="B74:U75"/>
    <mergeCell ref="B77:C77"/>
    <mergeCell ref="B60:U61"/>
    <mergeCell ref="B63:C63"/>
    <mergeCell ref="B64:C64"/>
    <mergeCell ref="B65:C65"/>
    <mergeCell ref="B66:C66"/>
    <mergeCell ref="B67:C67"/>
    <mergeCell ref="B86:C86"/>
    <mergeCell ref="B87:C87"/>
    <mergeCell ref="B88:C88"/>
    <mergeCell ref="B91:U92"/>
    <mergeCell ref="B94:C94"/>
    <mergeCell ref="B95:C95"/>
    <mergeCell ref="B78:C78"/>
    <mergeCell ref="B79:C79"/>
    <mergeCell ref="B80:C80"/>
    <mergeCell ref="B83:C83"/>
    <mergeCell ref="B84:C84"/>
    <mergeCell ref="B85:C85"/>
    <mergeCell ref="B106:C106"/>
    <mergeCell ref="B107:C107"/>
    <mergeCell ref="B108:C108"/>
    <mergeCell ref="B110:U111"/>
    <mergeCell ref="B113:B114"/>
    <mergeCell ref="C113:D114"/>
    <mergeCell ref="B96:C96"/>
    <mergeCell ref="B97:C97"/>
    <mergeCell ref="B98:C98"/>
    <mergeCell ref="B101:U102"/>
    <mergeCell ref="B104:C104"/>
    <mergeCell ref="B105:C105"/>
    <mergeCell ref="B99:C99"/>
    <mergeCell ref="C124:D124"/>
    <mergeCell ref="B127:B128"/>
    <mergeCell ref="C127:D128"/>
    <mergeCell ref="B129:B131"/>
    <mergeCell ref="C129:D129"/>
    <mergeCell ref="C130:D130"/>
    <mergeCell ref="C131:D131"/>
    <mergeCell ref="B115:B124"/>
    <mergeCell ref="C115:D115"/>
    <mergeCell ref="C116:D116"/>
    <mergeCell ref="C117:D117"/>
    <mergeCell ref="C118:D118"/>
    <mergeCell ref="C119:D119"/>
    <mergeCell ref="C120:D120"/>
    <mergeCell ref="C121:D121"/>
    <mergeCell ref="C122:D122"/>
    <mergeCell ref="C123:D123"/>
    <mergeCell ref="B134:B135"/>
    <mergeCell ref="C134:D135"/>
    <mergeCell ref="B136:B146"/>
    <mergeCell ref="C136:D136"/>
    <mergeCell ref="C137:D137"/>
    <mergeCell ref="C138:D138"/>
    <mergeCell ref="C139:D139"/>
    <mergeCell ref="C140:D140"/>
    <mergeCell ref="C141:D141"/>
    <mergeCell ref="C142:D142"/>
    <mergeCell ref="C143:D143"/>
    <mergeCell ref="C144:D144"/>
    <mergeCell ref="C145:D145"/>
    <mergeCell ref="C163:D163"/>
    <mergeCell ref="B156:D156"/>
    <mergeCell ref="B157:D157"/>
    <mergeCell ref="B158:D158"/>
    <mergeCell ref="B159:D159"/>
    <mergeCell ref="E159:F159"/>
    <mergeCell ref="C162:D162"/>
    <mergeCell ref="C146:D146"/>
    <mergeCell ref="B148:B149"/>
    <mergeCell ref="C148:D149"/>
    <mergeCell ref="C150:D150"/>
    <mergeCell ref="B151:B155"/>
    <mergeCell ref="C151:D151"/>
    <mergeCell ref="C152:D152"/>
    <mergeCell ref="C153:D153"/>
    <mergeCell ref="C154:D154"/>
    <mergeCell ref="C155:D155"/>
    <mergeCell ref="M44:N44"/>
    <mergeCell ref="I44:J44"/>
    <mergeCell ref="K44:L44"/>
    <mergeCell ref="B44:C44"/>
    <mergeCell ref="D44:E44"/>
    <mergeCell ref="F44:G44"/>
    <mergeCell ref="B46:C46"/>
    <mergeCell ref="D46:E46"/>
    <mergeCell ref="F46:G46"/>
    <mergeCell ref="I46:J46"/>
    <mergeCell ref="K46:L46"/>
    <mergeCell ref="M46:N46"/>
  </mergeCells>
  <conditionalFormatting sqref="E159:F159">
    <cfRule type="cellIs" dxfId="1" priority="1" operator="lessThan">
      <formula>0</formula>
    </cfRule>
    <cfRule type="cellIs" dxfId="0" priority="2" operator="greaterThan">
      <formula>0</formula>
    </cfRule>
  </conditionalFormatting>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tabColor theme="0" tint="-0.499984740745262"/>
  </sheetPr>
  <dimension ref="A2:T74"/>
  <sheetViews>
    <sheetView showGridLines="0" zoomScale="70" zoomScaleNormal="70" zoomScalePageLayoutView="70" workbookViewId="0">
      <selection activeCell="D23" sqref="D23"/>
    </sheetView>
  </sheetViews>
  <sheetFormatPr defaultColWidth="10.81640625" defaultRowHeight="12.5" x14ac:dyDescent="0.25"/>
  <cols>
    <col min="1" max="1" width="21.26953125" style="60" customWidth="1"/>
    <col min="2" max="2" width="18.453125" style="60" customWidth="1"/>
    <col min="3" max="4" width="16.1796875" style="60" customWidth="1"/>
    <col min="5" max="5" width="23.1796875" style="34" customWidth="1"/>
    <col min="6" max="6" width="23.453125" style="34" customWidth="1"/>
    <col min="7" max="7" width="16.1796875" style="34" customWidth="1"/>
    <col min="8" max="20" width="14.81640625" style="34" bestFit="1" customWidth="1"/>
    <col min="21" max="16384" width="10.81640625" style="60"/>
  </cols>
  <sheetData>
    <row r="2" spans="1:6" x14ac:dyDescent="0.25">
      <c r="B2" s="74" t="e">
        <f>#REF!</f>
        <v>#REF!</v>
      </c>
      <c r="C2" s="74" t="e">
        <f>#REF!</f>
        <v>#REF!</v>
      </c>
      <c r="D2" s="74" t="e">
        <f>#REF!</f>
        <v>#REF!</v>
      </c>
      <c r="E2" s="60"/>
    </row>
    <row r="3" spans="1:6" s="34" customFormat="1" ht="15" customHeight="1" x14ac:dyDescent="0.25">
      <c r="A3" s="60"/>
      <c r="B3" s="14" t="e">
        <f>#REF!</f>
        <v>#REF!</v>
      </c>
      <c r="C3" s="118" t="e">
        <f>#REF!</f>
        <v>#REF!</v>
      </c>
      <c r="D3" s="118" t="e">
        <f>#REF!</f>
        <v>#REF!</v>
      </c>
    </row>
    <row r="4" spans="1:6" s="34" customFormat="1" ht="15" customHeight="1" x14ac:dyDescent="0.25">
      <c r="A4" s="60"/>
      <c r="B4" s="14" t="e">
        <f>#REF!</f>
        <v>#REF!</v>
      </c>
      <c r="C4" s="118" t="e">
        <f>#REF!</f>
        <v>#REF!</v>
      </c>
      <c r="D4" s="118" t="e">
        <f>#REF!</f>
        <v>#REF!</v>
      </c>
    </row>
    <row r="5" spans="1:6" s="34" customFormat="1" ht="15" customHeight="1" x14ac:dyDescent="0.25">
      <c r="A5" s="60"/>
      <c r="B5" s="14" t="e">
        <f>#REF!</f>
        <v>#REF!</v>
      </c>
      <c r="C5" s="118" t="e">
        <f>#REF!</f>
        <v>#REF!</v>
      </c>
      <c r="D5" s="118" t="e">
        <f>#REF!</f>
        <v>#REF!</v>
      </c>
    </row>
    <row r="6" spans="1:6" s="34" customFormat="1" ht="15" customHeight="1" x14ac:dyDescent="0.25">
      <c r="A6" s="60"/>
      <c r="B6" s="14" t="e">
        <f>#REF!</f>
        <v>#REF!</v>
      </c>
      <c r="C6" s="118" t="e">
        <f>#REF!</f>
        <v>#REF!</v>
      </c>
      <c r="D6" s="118" t="e">
        <f>#REF!</f>
        <v>#REF!</v>
      </c>
    </row>
    <row r="7" spans="1:6" s="34" customFormat="1" ht="15" customHeight="1" x14ac:dyDescent="0.25">
      <c r="A7" s="60"/>
      <c r="B7" s="14" t="e">
        <f>#REF!</f>
        <v>#REF!</v>
      </c>
      <c r="C7" s="118" t="e">
        <f>#REF!</f>
        <v>#REF!</v>
      </c>
      <c r="D7" s="118" t="e">
        <f>#REF!</f>
        <v>#REF!</v>
      </c>
    </row>
    <row r="8" spans="1:6" ht="15" customHeight="1" x14ac:dyDescent="0.25">
      <c r="B8" s="14" t="e">
        <f>#REF!</f>
        <v>#REF!</v>
      </c>
      <c r="C8" s="118" t="e">
        <f>#REF!</f>
        <v>#REF!</v>
      </c>
      <c r="D8" s="118" t="e">
        <f>#REF!</f>
        <v>#REF!</v>
      </c>
      <c r="E8" s="60"/>
      <c r="F8" s="60"/>
    </row>
    <row r="9" spans="1:6" s="34" customFormat="1" ht="15" customHeight="1" x14ac:dyDescent="0.25">
      <c r="A9" s="60"/>
      <c r="B9" s="14" t="e">
        <f>#REF!</f>
        <v>#REF!</v>
      </c>
      <c r="C9" s="118" t="e">
        <f>#REF!</f>
        <v>#REF!</v>
      </c>
      <c r="D9" s="118" t="e">
        <f>#REF!</f>
        <v>#REF!</v>
      </c>
      <c r="E9" s="60"/>
      <c r="F9" s="60"/>
    </row>
    <row r="10" spans="1:6" s="34" customFormat="1" ht="15" customHeight="1" x14ac:dyDescent="0.25">
      <c r="A10" s="60"/>
      <c r="B10" s="14" t="e">
        <f>#REF!</f>
        <v>#REF!</v>
      </c>
      <c r="C10" s="118" t="e">
        <f>#REF!</f>
        <v>#REF!</v>
      </c>
      <c r="D10" s="118" t="e">
        <f>#REF!</f>
        <v>#REF!</v>
      </c>
      <c r="E10" s="60"/>
      <c r="F10" s="60"/>
    </row>
    <row r="11" spans="1:6" s="34" customFormat="1" ht="15" customHeight="1" x14ac:dyDescent="0.25">
      <c r="A11" s="60"/>
      <c r="B11" s="14" t="e">
        <f>#REF!</f>
        <v>#REF!</v>
      </c>
      <c r="C11" s="118" t="e">
        <f>#REF!</f>
        <v>#REF!</v>
      </c>
      <c r="D11" s="118" t="e">
        <f>#REF!</f>
        <v>#REF!</v>
      </c>
      <c r="E11" s="60"/>
      <c r="F11" s="60"/>
    </row>
    <row r="12" spans="1:6" s="34" customFormat="1" ht="15" customHeight="1" x14ac:dyDescent="0.25">
      <c r="A12" s="60"/>
      <c r="B12" s="14" t="e">
        <f>#REF!</f>
        <v>#REF!</v>
      </c>
      <c r="C12" s="118" t="e">
        <f>#REF!</f>
        <v>#REF!</v>
      </c>
      <c r="D12" s="118" t="e">
        <f>#REF!</f>
        <v>#REF!</v>
      </c>
      <c r="E12" s="60"/>
      <c r="F12" s="60"/>
    </row>
    <row r="13" spans="1:6" s="34" customFormat="1" x14ac:dyDescent="0.25">
      <c r="A13" s="60"/>
      <c r="B13" s="69" t="s">
        <v>126</v>
      </c>
      <c r="C13" s="70" t="e">
        <f>AVERAGE(C3:C12)</f>
        <v>#REF!</v>
      </c>
      <c r="D13" s="70" t="e">
        <f>AVERAGE($D$3:$D$12)</f>
        <v>#REF!</v>
      </c>
      <c r="E13" s="60"/>
      <c r="F13" s="60"/>
    </row>
    <row r="14" spans="1:6" s="34" customFormat="1" x14ac:dyDescent="0.25">
      <c r="A14" s="60"/>
      <c r="B14" s="72"/>
      <c r="C14" s="47"/>
      <c r="D14" s="47"/>
      <c r="E14" s="60"/>
      <c r="F14" s="60"/>
    </row>
    <row r="15" spans="1:6" s="34" customFormat="1" x14ac:dyDescent="0.25">
      <c r="A15" s="60"/>
      <c r="B15" s="72"/>
      <c r="C15" s="47"/>
      <c r="D15" s="47"/>
    </row>
    <row r="16" spans="1:6" s="34" customFormat="1" x14ac:dyDescent="0.25">
      <c r="A16" s="60"/>
      <c r="B16" s="72"/>
      <c r="C16" s="93" t="e">
        <f>D13</f>
        <v>#REF!</v>
      </c>
      <c r="D16" s="93" t="e">
        <f>D13</f>
        <v>#REF!</v>
      </c>
    </row>
    <row r="17" spans="1:14" s="34" customFormat="1" x14ac:dyDescent="0.25">
      <c r="A17" s="60"/>
      <c r="B17" s="72"/>
      <c r="C17" s="47"/>
      <c r="D17" s="47"/>
    </row>
    <row r="18" spans="1:14" s="34" customFormat="1" x14ac:dyDescent="0.25">
      <c r="A18" s="60"/>
      <c r="B18" s="72"/>
      <c r="C18" s="47"/>
      <c r="D18" s="47"/>
    </row>
    <row r="19" spans="1:14" s="34" customFormat="1" x14ac:dyDescent="0.25">
      <c r="A19" s="60"/>
      <c r="B19" s="72"/>
      <c r="C19" s="47"/>
      <c r="D19" s="47"/>
    </row>
    <row r="20" spans="1:14" s="34" customFormat="1" x14ac:dyDescent="0.25">
      <c r="A20" s="60"/>
      <c r="B20" s="72"/>
      <c r="C20" s="47"/>
      <c r="D20" s="47"/>
    </row>
    <row r="21" spans="1:14" s="34" customFormat="1" x14ac:dyDescent="0.25">
      <c r="A21" s="60"/>
      <c r="B21" s="72"/>
      <c r="C21" s="47"/>
      <c r="D21" s="47"/>
    </row>
    <row r="22" spans="1:14" s="34" customFormat="1" ht="16.5" customHeight="1" x14ac:dyDescent="0.25">
      <c r="B22" s="72"/>
      <c r="C22" s="47"/>
      <c r="D22" s="47"/>
      <c r="E22" s="60"/>
      <c r="F22" s="60"/>
    </row>
    <row r="23" spans="1:14" x14ac:dyDescent="0.25">
      <c r="M23" s="60"/>
      <c r="N23" s="60"/>
    </row>
    <row r="24" spans="1:14" s="34" customFormat="1" x14ac:dyDescent="0.25">
      <c r="A24" s="60"/>
      <c r="B24" s="72"/>
      <c r="C24" s="72"/>
      <c r="D24" s="72"/>
    </row>
    <row r="25" spans="1:14" s="34" customFormat="1" x14ac:dyDescent="0.25">
      <c r="A25" s="60"/>
      <c r="B25" s="72"/>
      <c r="C25" s="72"/>
      <c r="D25" s="72"/>
    </row>
    <row r="26" spans="1:14" s="34" customFormat="1" ht="13.5" customHeight="1" x14ac:dyDescent="0.25">
      <c r="A26" s="60"/>
      <c r="B26" s="60"/>
      <c r="C26" s="72"/>
      <c r="D26" s="72"/>
      <c r="F26" s="34" t="e">
        <f>#REF!</f>
        <v>#REF!</v>
      </c>
      <c r="G26" s="34" t="e">
        <f>#REF!</f>
        <v>#REF!</v>
      </c>
      <c r="H26" s="34" t="e">
        <f>#REF!</f>
        <v>#REF!</v>
      </c>
    </row>
    <row r="27" spans="1:14" s="34" customFormat="1" x14ac:dyDescent="0.25">
      <c r="A27" s="60"/>
      <c r="B27" s="60"/>
      <c r="C27" s="72"/>
      <c r="D27" s="72"/>
      <c r="F27" s="34" t="e">
        <f>#REF!</f>
        <v>#REF!</v>
      </c>
      <c r="G27" s="34" t="e">
        <f>#REF!</f>
        <v>#REF!</v>
      </c>
      <c r="H27" s="34" t="e">
        <f>#REF!</f>
        <v>#REF!</v>
      </c>
    </row>
    <row r="28" spans="1:14" s="34" customFormat="1" ht="14.25" customHeight="1" x14ac:dyDescent="0.25">
      <c r="A28" s="60"/>
      <c r="B28" s="60"/>
      <c r="C28" s="72"/>
      <c r="D28" s="72"/>
      <c r="F28" s="34" t="e">
        <f>#REF!</f>
        <v>#REF!</v>
      </c>
      <c r="G28" s="34" t="e">
        <f>#REF!</f>
        <v>#REF!</v>
      </c>
      <c r="H28" s="34" t="e">
        <f>#REF!</f>
        <v>#REF!</v>
      </c>
    </row>
    <row r="29" spans="1:14" s="34" customFormat="1" x14ac:dyDescent="0.25">
      <c r="A29" s="60"/>
      <c r="B29" s="60"/>
      <c r="C29" s="72"/>
      <c r="D29" s="72"/>
      <c r="F29" s="34" t="e">
        <f>#REF!</f>
        <v>#REF!</v>
      </c>
      <c r="G29" s="34" t="e">
        <f>#REF!</f>
        <v>#REF!</v>
      </c>
      <c r="H29" s="34" t="e">
        <f>#REF!</f>
        <v>#REF!</v>
      </c>
    </row>
    <row r="30" spans="1:14" s="34" customFormat="1" ht="13.5" customHeight="1" x14ac:dyDescent="0.25">
      <c r="A30" s="60"/>
      <c r="B30" s="60"/>
      <c r="C30" s="72"/>
      <c r="D30" s="72"/>
      <c r="F30" s="34" t="e">
        <f>#REF!</f>
        <v>#REF!</v>
      </c>
      <c r="G30" s="34" t="e">
        <f>#REF!</f>
        <v>#REF!</v>
      </c>
      <c r="H30" s="34" t="e">
        <f>#REF!</f>
        <v>#REF!</v>
      </c>
    </row>
    <row r="31" spans="1:14" s="34" customFormat="1" ht="13.5" customHeight="1" x14ac:dyDescent="0.25">
      <c r="A31" s="60"/>
      <c r="C31" s="60"/>
      <c r="D31" s="72"/>
    </row>
    <row r="32" spans="1:14" s="34" customFormat="1" ht="14.25" customHeight="1" x14ac:dyDescent="0.25">
      <c r="A32" s="60"/>
      <c r="B32" s="60"/>
      <c r="C32" s="60"/>
      <c r="D32" s="72"/>
    </row>
    <row r="33" spans="1:18" s="34" customFormat="1" x14ac:dyDescent="0.25">
      <c r="A33" s="60"/>
      <c r="B33" s="60"/>
      <c r="C33" s="60"/>
      <c r="D33" s="72"/>
    </row>
    <row r="34" spans="1:18" s="34" customFormat="1" x14ac:dyDescent="0.25">
      <c r="A34" s="60"/>
      <c r="B34" s="462" t="s">
        <v>166</v>
      </c>
      <c r="C34" s="462"/>
      <c r="D34" s="72"/>
    </row>
    <row r="35" spans="1:18" s="34" customFormat="1" x14ac:dyDescent="0.25">
      <c r="A35" s="60"/>
      <c r="B35" s="121" t="s">
        <v>167</v>
      </c>
      <c r="C35" s="121" t="s">
        <v>168</v>
      </c>
      <c r="D35" s="60"/>
    </row>
    <row r="36" spans="1:18" s="34" customFormat="1" x14ac:dyDescent="0.25">
      <c r="A36" s="60"/>
      <c r="B36" s="120">
        <v>0</v>
      </c>
      <c r="C36" s="37" t="e">
        <f>AVERAGE($D$3:$D$12)</f>
        <v>#REF!</v>
      </c>
      <c r="D36" s="60"/>
    </row>
    <row r="37" spans="1:18" s="34" customFormat="1" x14ac:dyDescent="0.25">
      <c r="A37" s="60"/>
      <c r="B37" s="120">
        <v>100000000</v>
      </c>
      <c r="C37" s="37" t="e">
        <f>AVERAGE($D$3:$D$12)</f>
        <v>#REF!</v>
      </c>
      <c r="D37" s="60"/>
    </row>
    <row r="38" spans="1:18" s="34" customFormat="1" ht="15" x14ac:dyDescent="0.25">
      <c r="A38" s="60"/>
      <c r="B38" s="60"/>
      <c r="C38" s="61"/>
      <c r="D38" s="60"/>
    </row>
    <row r="39" spans="1:18" s="34" customFormat="1" ht="15" x14ac:dyDescent="0.25">
      <c r="A39" s="60"/>
      <c r="B39" s="60"/>
      <c r="C39" s="61"/>
      <c r="D39" s="60"/>
    </row>
    <row r="40" spans="1:18" s="34" customFormat="1" ht="15" x14ac:dyDescent="0.25">
      <c r="A40" s="60"/>
      <c r="B40" s="60"/>
      <c r="C40" s="61"/>
      <c r="D40" s="60"/>
    </row>
    <row r="41" spans="1:18" s="34" customFormat="1" ht="15" x14ac:dyDescent="0.25">
      <c r="A41" s="60"/>
      <c r="B41" s="60"/>
      <c r="C41" s="61"/>
      <c r="D41" s="60"/>
    </row>
    <row r="43" spans="1:18" s="34" customFormat="1" x14ac:dyDescent="0.25">
      <c r="A43" s="60"/>
      <c r="B43" s="60"/>
      <c r="C43" s="60"/>
      <c r="D43" s="60"/>
    </row>
    <row r="44" spans="1:18" s="34" customFormat="1" x14ac:dyDescent="0.25">
      <c r="A44" s="60"/>
      <c r="B44" s="60"/>
      <c r="C44" s="60"/>
      <c r="D44" s="60"/>
      <c r="R44" s="72"/>
    </row>
    <row r="45" spans="1:18" s="34" customFormat="1" x14ac:dyDescent="0.25">
      <c r="A45" s="60"/>
      <c r="B45" s="60"/>
      <c r="C45" s="60"/>
      <c r="D45" s="60"/>
    </row>
    <row r="46" spans="1:18" s="34" customFormat="1" x14ac:dyDescent="0.25">
      <c r="A46" s="60"/>
      <c r="B46" s="60"/>
      <c r="C46" s="60"/>
      <c r="D46" s="60"/>
    </row>
    <row r="47" spans="1:18" s="34" customFormat="1" x14ac:dyDescent="0.25">
      <c r="A47" s="60"/>
      <c r="B47" s="60"/>
      <c r="C47" s="60"/>
      <c r="D47" s="60"/>
    </row>
    <row r="48" spans="1:18" s="34" customFormat="1" x14ac:dyDescent="0.25">
      <c r="A48" s="60"/>
      <c r="B48" s="60"/>
      <c r="C48" s="60"/>
      <c r="D48" s="60"/>
    </row>
    <row r="49" spans="1:4" s="34" customFormat="1" x14ac:dyDescent="0.25">
      <c r="A49" s="60"/>
      <c r="B49" s="60"/>
      <c r="C49" s="60"/>
      <c r="D49" s="60"/>
    </row>
    <row r="50" spans="1:4" s="34" customFormat="1" x14ac:dyDescent="0.25">
      <c r="A50" s="60"/>
      <c r="B50" s="60"/>
      <c r="C50" s="60"/>
      <c r="D50" s="60"/>
    </row>
    <row r="52" spans="1:4" s="34" customFormat="1" x14ac:dyDescent="0.25">
      <c r="A52" s="60"/>
      <c r="B52" s="60"/>
      <c r="C52" s="60"/>
      <c r="D52" s="60"/>
    </row>
    <row r="54" spans="1:4" s="34" customFormat="1" x14ac:dyDescent="0.25">
      <c r="A54" s="60"/>
      <c r="B54" s="60"/>
      <c r="C54" s="60"/>
      <c r="D54" s="60"/>
    </row>
    <row r="55" spans="1:4" s="34" customFormat="1" x14ac:dyDescent="0.25">
      <c r="A55" s="60"/>
      <c r="B55" s="60"/>
      <c r="C55" s="60"/>
      <c r="D55" s="60"/>
    </row>
    <row r="56" spans="1:4" s="34" customFormat="1" x14ac:dyDescent="0.25">
      <c r="A56" s="60"/>
      <c r="B56" s="60"/>
      <c r="C56" s="60"/>
      <c r="D56" s="60"/>
    </row>
    <row r="57" spans="1:4" s="34" customFormat="1" x14ac:dyDescent="0.25">
      <c r="A57" s="60"/>
      <c r="B57" s="60"/>
      <c r="C57" s="60"/>
      <c r="D57" s="60"/>
    </row>
    <row r="58" spans="1:4" s="34" customFormat="1" x14ac:dyDescent="0.25">
      <c r="A58" s="60"/>
      <c r="B58" s="60"/>
      <c r="C58" s="60"/>
      <c r="D58" s="60"/>
    </row>
    <row r="59" spans="1:4" s="34" customFormat="1" x14ac:dyDescent="0.25">
      <c r="A59" s="60"/>
      <c r="B59" s="60"/>
      <c r="C59" s="60"/>
      <c r="D59" s="60"/>
    </row>
    <row r="60" spans="1:4" s="34" customFormat="1" x14ac:dyDescent="0.25">
      <c r="A60" s="60"/>
      <c r="B60" s="60"/>
      <c r="C60" s="60"/>
      <c r="D60" s="60"/>
    </row>
    <row r="61" spans="1:4" s="34" customFormat="1" x14ac:dyDescent="0.25">
      <c r="A61" s="60"/>
      <c r="B61" s="60"/>
      <c r="C61" s="60"/>
      <c r="D61" s="60"/>
    </row>
    <row r="62" spans="1:4" s="34" customFormat="1" x14ac:dyDescent="0.25">
      <c r="A62" s="60"/>
      <c r="B62" s="60"/>
      <c r="C62" s="60"/>
      <c r="D62" s="60"/>
    </row>
    <row r="63" spans="1:4" s="34" customFormat="1" x14ac:dyDescent="0.25">
      <c r="A63" s="60"/>
      <c r="B63" s="60"/>
      <c r="C63" s="60"/>
      <c r="D63" s="60"/>
    </row>
    <row r="64" spans="1:4" s="34" customFormat="1" x14ac:dyDescent="0.25">
      <c r="A64" s="60"/>
      <c r="B64" s="60"/>
      <c r="C64" s="60"/>
      <c r="D64" s="60"/>
    </row>
    <row r="65" spans="1:4" s="34" customFormat="1" x14ac:dyDescent="0.25">
      <c r="A65" s="60"/>
      <c r="B65" s="60"/>
      <c r="C65" s="60"/>
      <c r="D65" s="60"/>
    </row>
    <row r="66" spans="1:4" s="34" customFormat="1" x14ac:dyDescent="0.25">
      <c r="A66" s="60"/>
      <c r="B66" s="60"/>
      <c r="C66" s="60"/>
      <c r="D66" s="60"/>
    </row>
    <row r="67" spans="1:4" s="34" customFormat="1" x14ac:dyDescent="0.25">
      <c r="A67" s="60"/>
      <c r="B67" s="60"/>
      <c r="C67" s="60"/>
      <c r="D67" s="60"/>
    </row>
    <row r="68" spans="1:4" s="34" customFormat="1" x14ac:dyDescent="0.25">
      <c r="A68" s="60"/>
      <c r="B68" s="60"/>
      <c r="C68" s="60"/>
      <c r="D68" s="60"/>
    </row>
    <row r="69" spans="1:4" s="34" customFormat="1" x14ac:dyDescent="0.25">
      <c r="A69" s="60"/>
      <c r="B69" s="60"/>
      <c r="C69" s="60"/>
      <c r="D69" s="60"/>
    </row>
    <row r="71" spans="1:4" s="34" customFormat="1" x14ac:dyDescent="0.25">
      <c r="A71" s="60"/>
      <c r="B71" s="60"/>
      <c r="C71" s="60"/>
      <c r="D71" s="60"/>
    </row>
    <row r="72" spans="1:4" s="34" customFormat="1" x14ac:dyDescent="0.25">
      <c r="A72" s="60"/>
      <c r="B72" s="60"/>
      <c r="C72" s="60"/>
      <c r="D72" s="60"/>
    </row>
    <row r="73" spans="1:4" s="34" customFormat="1" x14ac:dyDescent="0.25">
      <c r="A73" s="60"/>
      <c r="B73" s="60"/>
      <c r="C73" s="60"/>
      <c r="D73" s="60"/>
    </row>
    <row r="74" spans="1:4" s="34" customFormat="1" x14ac:dyDescent="0.25">
      <c r="A74" s="60"/>
      <c r="B74" s="60"/>
      <c r="C74" s="60"/>
      <c r="D74" s="60"/>
    </row>
  </sheetData>
  <mergeCells count="1">
    <mergeCell ref="B34:C3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7"/>
  <sheetViews>
    <sheetView zoomScale="130" zoomScaleNormal="130" workbookViewId="0">
      <selection activeCell="H7" sqref="H7"/>
    </sheetView>
  </sheetViews>
  <sheetFormatPr defaultColWidth="10.90625" defaultRowHeight="14.5" x14ac:dyDescent="0.35"/>
  <cols>
    <col min="3" max="3" width="72.81640625" customWidth="1"/>
    <col min="4" max="5" width="10.7265625" bestFit="1" customWidth="1"/>
    <col min="6" max="6" width="14.1796875" customWidth="1"/>
    <col min="7" max="7" width="9.54296875" customWidth="1"/>
  </cols>
  <sheetData>
    <row r="2" spans="2:9" ht="15" thickBot="1" x14ac:dyDescent="0.4"/>
    <row r="3" spans="2:9" ht="60.5" thickBot="1" x14ac:dyDescent="0.5">
      <c r="D3" s="169" t="s">
        <v>273</v>
      </c>
      <c r="E3" s="178" t="s">
        <v>272</v>
      </c>
      <c r="F3" s="170" t="s">
        <v>271</v>
      </c>
      <c r="H3" s="169" t="s">
        <v>274</v>
      </c>
      <c r="I3" s="182" t="s">
        <v>275</v>
      </c>
    </row>
    <row r="4" spans="2:9" x14ac:dyDescent="0.35">
      <c r="B4" s="166" t="s">
        <v>209</v>
      </c>
      <c r="C4" s="200" t="s">
        <v>231</v>
      </c>
      <c r="D4" s="171" t="e">
        <f>SUM(#REF!)</f>
        <v>#REF!</v>
      </c>
      <c r="E4" s="179">
        <v>0</v>
      </c>
      <c r="F4" s="175" t="e">
        <f>SUM(D4:E4)</f>
        <v>#REF!</v>
      </c>
      <c r="G4" s="192" t="e">
        <f>F4/$F$14</f>
        <v>#REF!</v>
      </c>
      <c r="H4" s="189" t="e">
        <f>#REF!</f>
        <v>#REF!</v>
      </c>
      <c r="I4" s="190" t="e">
        <f>#REF!</f>
        <v>#REF!</v>
      </c>
    </row>
    <row r="5" spans="2:9" x14ac:dyDescent="0.35">
      <c r="B5" s="167" t="s">
        <v>234</v>
      </c>
      <c r="C5" s="205" t="s">
        <v>227</v>
      </c>
      <c r="D5" s="172" t="e">
        <f>SUM(#REF!)</f>
        <v>#REF!</v>
      </c>
      <c r="E5" s="180">
        <v>0</v>
      </c>
      <c r="F5" s="176" t="e">
        <f t="shared" ref="F5:F13" si="0">SUM(D5:E5)</f>
        <v>#REF!</v>
      </c>
      <c r="G5" s="192" t="e">
        <f t="shared" ref="G5:G13" si="1">F5/$F$14</f>
        <v>#REF!</v>
      </c>
      <c r="H5" s="183" t="e">
        <f>#REF!</f>
        <v>#REF!</v>
      </c>
      <c r="I5" s="184" t="e">
        <f>#REF!</f>
        <v>#REF!</v>
      </c>
    </row>
    <row r="6" spans="2:9" ht="29" x14ac:dyDescent="0.35">
      <c r="B6" s="167" t="s">
        <v>208</v>
      </c>
      <c r="C6" s="205" t="s">
        <v>213</v>
      </c>
      <c r="D6" s="172" t="e">
        <f>SUM(#REF!)</f>
        <v>#REF!</v>
      </c>
      <c r="E6" s="180">
        <v>0</v>
      </c>
      <c r="F6" s="176" t="e">
        <f t="shared" si="0"/>
        <v>#REF!</v>
      </c>
      <c r="G6" s="192" t="e">
        <f t="shared" si="1"/>
        <v>#REF!</v>
      </c>
      <c r="H6" s="183" t="e">
        <f>#REF!</f>
        <v>#REF!</v>
      </c>
      <c r="I6" s="184" t="e">
        <f>#REF!</f>
        <v>#REF!</v>
      </c>
    </row>
    <row r="7" spans="2:9" x14ac:dyDescent="0.35">
      <c r="B7" s="167" t="s">
        <v>258</v>
      </c>
      <c r="C7" s="201" t="s">
        <v>264</v>
      </c>
      <c r="D7" s="172">
        <f>SUM(CBA!E7:M7)</f>
        <v>48080000</v>
      </c>
      <c r="E7" s="180">
        <v>0</v>
      </c>
      <c r="F7" s="176">
        <f t="shared" si="0"/>
        <v>48080000</v>
      </c>
      <c r="G7" s="192" t="e">
        <f t="shared" si="1"/>
        <v>#REF!</v>
      </c>
      <c r="H7" s="183" t="e">
        <f>Costs!#REF!</f>
        <v>#REF!</v>
      </c>
      <c r="I7" s="184" t="e">
        <f>Costs!#REF!</f>
        <v>#REF!</v>
      </c>
    </row>
    <row r="8" spans="2:9" x14ac:dyDescent="0.35">
      <c r="B8" s="167" t="s">
        <v>259</v>
      </c>
      <c r="C8" s="205" t="s">
        <v>265</v>
      </c>
      <c r="D8" s="172" t="e">
        <f>SUM(#REF!)</f>
        <v>#REF!</v>
      </c>
      <c r="E8" s="180">
        <v>0</v>
      </c>
      <c r="F8" s="176" t="e">
        <f t="shared" si="0"/>
        <v>#REF!</v>
      </c>
      <c r="G8" s="192" t="e">
        <f t="shared" si="1"/>
        <v>#REF!</v>
      </c>
      <c r="H8" s="193" t="s">
        <v>183</v>
      </c>
      <c r="I8" s="194" t="s">
        <v>183</v>
      </c>
    </row>
    <row r="9" spans="2:9" x14ac:dyDescent="0.35">
      <c r="B9" s="167" t="s">
        <v>206</v>
      </c>
      <c r="C9" s="204" t="s">
        <v>266</v>
      </c>
      <c r="D9" s="172" t="e">
        <f>SUM(#REF!)</f>
        <v>#REF!</v>
      </c>
      <c r="E9" s="180">
        <v>0</v>
      </c>
      <c r="F9" s="176" t="e">
        <f t="shared" si="0"/>
        <v>#REF!</v>
      </c>
      <c r="G9" s="192" t="e">
        <f t="shared" si="1"/>
        <v>#REF!</v>
      </c>
      <c r="H9" s="183" t="e">
        <f>#REF!</f>
        <v>#REF!</v>
      </c>
      <c r="I9" s="184" t="e">
        <f>#REF!</f>
        <v>#REF!</v>
      </c>
    </row>
    <row r="10" spans="2:9" ht="29" x14ac:dyDescent="0.35">
      <c r="B10" s="167" t="s">
        <v>207</v>
      </c>
      <c r="C10" s="204" t="s">
        <v>267</v>
      </c>
      <c r="D10" s="172" t="e">
        <f>SUM(#REF!)</f>
        <v>#REF!</v>
      </c>
      <c r="E10" s="180">
        <v>0</v>
      </c>
      <c r="F10" s="176" t="e">
        <f t="shared" si="0"/>
        <v>#REF!</v>
      </c>
      <c r="G10" s="192" t="e">
        <f t="shared" si="1"/>
        <v>#REF!</v>
      </c>
      <c r="H10" s="183" t="e">
        <f>#REF!*1000000</f>
        <v>#REF!</v>
      </c>
      <c r="I10" s="184" t="e">
        <f>#REF!</f>
        <v>#REF!</v>
      </c>
    </row>
    <row r="11" spans="2:9" x14ac:dyDescent="0.35">
      <c r="B11" s="167" t="s">
        <v>205</v>
      </c>
      <c r="C11" s="204" t="s">
        <v>268</v>
      </c>
      <c r="D11" s="172" t="e">
        <f>SUM(#REF!)</f>
        <v>#REF!</v>
      </c>
      <c r="E11" s="180" t="e">
        <f>SUM(#REF!)</f>
        <v>#REF!</v>
      </c>
      <c r="F11" s="176" t="e">
        <f>SUM(D11:E11)</f>
        <v>#REF!</v>
      </c>
      <c r="G11" s="192" t="e">
        <f t="shared" si="1"/>
        <v>#REF!</v>
      </c>
      <c r="H11" s="183" t="e">
        <f>#REF!</f>
        <v>#REF!</v>
      </c>
      <c r="I11" s="184" t="e">
        <f>#REF!</f>
        <v>#REF!</v>
      </c>
    </row>
    <row r="12" spans="2:9" x14ac:dyDescent="0.35">
      <c r="B12" s="167" t="s">
        <v>232</v>
      </c>
      <c r="C12" s="201" t="s">
        <v>269</v>
      </c>
      <c r="D12" s="172">
        <v>0</v>
      </c>
      <c r="E12" s="180" t="e">
        <f>SUM(#REF!)</f>
        <v>#REF!</v>
      </c>
      <c r="F12" s="176" t="e">
        <f t="shared" si="0"/>
        <v>#REF!</v>
      </c>
      <c r="G12" s="192" t="e">
        <f t="shared" si="1"/>
        <v>#REF!</v>
      </c>
      <c r="H12" s="183" t="e">
        <f>#REF!*1000000</f>
        <v>#REF!</v>
      </c>
      <c r="I12" s="184" t="e">
        <f>#REF!</f>
        <v>#REF!</v>
      </c>
    </row>
    <row r="13" spans="2:9" ht="29.5" thickBot="1" x14ac:dyDescent="0.4">
      <c r="B13" s="168" t="s">
        <v>233</v>
      </c>
      <c r="C13" s="202" t="s">
        <v>270</v>
      </c>
      <c r="D13" s="173" t="e">
        <f>SUM(#REF!)</f>
        <v>#REF!</v>
      </c>
      <c r="E13" s="181">
        <v>0</v>
      </c>
      <c r="F13" s="177" t="e">
        <f t="shared" si="0"/>
        <v>#REF!</v>
      </c>
      <c r="G13" s="192" t="e">
        <f t="shared" si="1"/>
        <v>#REF!</v>
      </c>
      <c r="H13" s="186" t="e">
        <f>#REF!*1000000</f>
        <v>#REF!</v>
      </c>
      <c r="I13" s="195" t="s">
        <v>183</v>
      </c>
    </row>
    <row r="14" spans="2:9" ht="15" thickBot="1" x14ac:dyDescent="0.4">
      <c r="C14" s="185" t="s">
        <v>277</v>
      </c>
      <c r="D14" s="186" t="e">
        <f>SUM(D4:D13)</f>
        <v>#REF!</v>
      </c>
      <c r="E14" s="174" t="e">
        <f>SUM(E4:E13)</f>
        <v>#REF!</v>
      </c>
      <c r="F14" s="174" t="e">
        <f>SUM(F4:F13)</f>
        <v>#REF!</v>
      </c>
      <c r="G14" s="188" t="s">
        <v>276</v>
      </c>
      <c r="H14" s="186" t="e">
        <f>SUM(H4:H13)</f>
        <v>#REF!</v>
      </c>
      <c r="I14" s="187" t="e">
        <f>SUM(I4:I13)</f>
        <v>#REF!</v>
      </c>
    </row>
    <row r="15" spans="2:9" ht="15" thickBot="1" x14ac:dyDescent="0.4">
      <c r="D15" s="192" t="e">
        <f>D14/$F$14</f>
        <v>#REF!</v>
      </c>
      <c r="E15" s="192" t="e">
        <f>E14/$F$14</f>
        <v>#REF!</v>
      </c>
      <c r="F15" s="206" t="e">
        <f>F14/10</f>
        <v>#REF!</v>
      </c>
      <c r="H15" s="192" t="e">
        <f>H14/H16</f>
        <v>#REF!</v>
      </c>
    </row>
    <row r="16" spans="2:9" ht="15" thickBot="1" x14ac:dyDescent="0.4">
      <c r="G16" s="188" t="s">
        <v>278</v>
      </c>
      <c r="H16" s="203">
        <f>9009000*9</f>
        <v>81081000</v>
      </c>
      <c r="I16" s="191" t="s">
        <v>176</v>
      </c>
    </row>
    <row r="17" spans="8:8" x14ac:dyDescent="0.35">
      <c r="H17" s="192"/>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56"/>
  <sheetViews>
    <sheetView topLeftCell="E7" zoomScale="85" zoomScaleNormal="85" workbookViewId="0">
      <selection activeCell="E11" sqref="E11:H11"/>
    </sheetView>
  </sheetViews>
  <sheetFormatPr defaultColWidth="10.81640625" defaultRowHeight="14.5" x14ac:dyDescent="0.35"/>
  <cols>
    <col min="1" max="1" width="10.81640625" style="213"/>
    <col min="2" max="2" width="30.81640625" style="213" customWidth="1"/>
    <col min="3" max="3" width="24.26953125" style="213" customWidth="1"/>
    <col min="4" max="4" width="14.26953125" style="213" customWidth="1"/>
    <col min="5" max="8" width="16.81640625" style="213" customWidth="1"/>
    <col min="9" max="9" width="31.54296875" style="213" bestFit="1" customWidth="1"/>
    <col min="10" max="10" width="16.81640625" style="213" customWidth="1"/>
    <col min="11" max="11" width="18" style="213" bestFit="1" customWidth="1"/>
    <col min="12" max="13" width="16.81640625" style="213" customWidth="1"/>
    <col min="14" max="14" width="19.54296875" style="213" bestFit="1" customWidth="1"/>
    <col min="15" max="17" width="16.453125" style="213" bestFit="1" customWidth="1"/>
    <col min="18" max="18" width="15.54296875" style="213" bestFit="1" customWidth="1"/>
    <col min="19" max="20" width="16" style="213" bestFit="1" customWidth="1"/>
    <col min="21" max="21" width="16.453125" style="213" bestFit="1" customWidth="1"/>
    <col min="22" max="22" width="16" style="213" bestFit="1" customWidth="1"/>
    <col min="23" max="26" width="16.453125" style="213" bestFit="1" customWidth="1"/>
    <col min="27" max="27" width="15.54296875" style="213" bestFit="1" customWidth="1"/>
    <col min="28" max="33" width="16.453125" style="213" bestFit="1" customWidth="1"/>
    <col min="34" max="34" width="16" style="213" bestFit="1" customWidth="1"/>
    <col min="35" max="16384" width="10.81640625" style="213"/>
  </cols>
  <sheetData>
    <row r="1" spans="2:16" s="212" customFormat="1" ht="23.5" x14ac:dyDescent="0.55000000000000004">
      <c r="B1" s="232" t="s">
        <v>171</v>
      </c>
      <c r="C1" s="306" t="s">
        <v>260</v>
      </c>
      <c r="D1" s="306"/>
      <c r="E1" s="306"/>
      <c r="F1" s="306"/>
      <c r="G1" s="306"/>
      <c r="H1" s="306"/>
      <c r="I1" s="306"/>
      <c r="J1" s="306"/>
      <c r="K1" s="306"/>
      <c r="L1" s="306"/>
      <c r="M1" s="306"/>
      <c r="N1" s="306"/>
      <c r="O1" s="306"/>
      <c r="P1" s="306"/>
    </row>
    <row r="3" spans="2:16" s="212" customFormat="1" ht="23.5" x14ac:dyDescent="0.55000000000000004">
      <c r="B3" s="232" t="s">
        <v>172</v>
      </c>
      <c r="C3" s="306" t="s">
        <v>173</v>
      </c>
      <c r="D3" s="306"/>
      <c r="E3" s="306"/>
      <c r="F3" s="306"/>
      <c r="G3" s="306"/>
      <c r="H3" s="306"/>
      <c r="I3" s="306"/>
      <c r="J3" s="306"/>
      <c r="K3" s="306"/>
      <c r="L3" s="306"/>
      <c r="M3" s="306"/>
      <c r="N3" s="306"/>
      <c r="O3" s="306"/>
      <c r="P3" s="306"/>
    </row>
    <row r="5" spans="2:16" x14ac:dyDescent="0.35">
      <c r="B5" s="233" t="s">
        <v>174</v>
      </c>
      <c r="C5" s="301" t="s">
        <v>228</v>
      </c>
      <c r="D5" s="301"/>
      <c r="E5" s="301"/>
      <c r="F5" s="301"/>
      <c r="G5" s="301"/>
      <c r="H5" s="301"/>
      <c r="I5" s="301"/>
      <c r="J5" s="301"/>
      <c r="K5" s="301"/>
      <c r="L5" s="301"/>
      <c r="M5" s="301"/>
      <c r="N5" s="301"/>
    </row>
    <row r="6" spans="2:16" x14ac:dyDescent="0.35">
      <c r="B6" s="234" t="s">
        <v>175</v>
      </c>
      <c r="C6" s="220">
        <f>CBA!N8</f>
        <v>48080000</v>
      </c>
      <c r="D6" s="219" t="s">
        <v>75</v>
      </c>
      <c r="E6" s="219"/>
      <c r="F6" s="219"/>
      <c r="G6" s="219"/>
      <c r="H6" s="219"/>
      <c r="I6" s="219"/>
      <c r="J6" s="219"/>
      <c r="K6" s="219"/>
      <c r="L6" s="219"/>
      <c r="M6" s="219"/>
      <c r="N6" s="219"/>
    </row>
    <row r="7" spans="2:16" ht="15" thickBot="1" x14ac:dyDescent="0.4"/>
    <row r="8" spans="2:16" ht="21.5" thickBot="1" x14ac:dyDescent="0.55000000000000004">
      <c r="B8" s="302" t="s">
        <v>12</v>
      </c>
      <c r="C8" s="303"/>
      <c r="D8" s="303"/>
      <c r="E8" s="303"/>
      <c r="F8" s="303"/>
      <c r="G8" s="303"/>
      <c r="H8" s="303"/>
      <c r="I8" s="303"/>
      <c r="J8" s="303"/>
      <c r="K8" s="303"/>
      <c r="L8" s="303"/>
      <c r="M8" s="303"/>
      <c r="N8" s="303"/>
      <c r="O8" s="303"/>
      <c r="P8" s="304"/>
    </row>
    <row r="10" spans="2:16" x14ac:dyDescent="0.35">
      <c r="C10" s="242" t="s">
        <v>12</v>
      </c>
      <c r="D10" s="242" t="s">
        <v>180</v>
      </c>
      <c r="E10" s="305" t="s">
        <v>181</v>
      </c>
      <c r="F10" s="305"/>
      <c r="G10" s="305"/>
      <c r="H10" s="305"/>
      <c r="I10" s="242" t="s">
        <v>211</v>
      </c>
      <c r="L10" s="242" t="s">
        <v>12</v>
      </c>
      <c r="M10" s="242" t="s">
        <v>180</v>
      </c>
      <c r="N10" s="305" t="s">
        <v>181</v>
      </c>
      <c r="O10" s="305"/>
      <c r="P10" s="305"/>
    </row>
    <row r="11" spans="2:16" ht="101.5" x14ac:dyDescent="0.35">
      <c r="B11" s="243" t="s">
        <v>257</v>
      </c>
      <c r="C11" s="221">
        <f>5000000*8</f>
        <v>40000000</v>
      </c>
      <c r="D11" s="222" t="s">
        <v>75</v>
      </c>
      <c r="E11" s="293" t="s">
        <v>263</v>
      </c>
      <c r="F11" s="294"/>
      <c r="G11" s="294"/>
      <c r="H11" s="295"/>
      <c r="I11" s="223" t="s">
        <v>261</v>
      </c>
      <c r="J11" s="224"/>
      <c r="K11" s="245" t="s">
        <v>193</v>
      </c>
      <c r="L11" s="225">
        <f>C11+C19</f>
        <v>40400000</v>
      </c>
      <c r="M11" s="222" t="s">
        <v>75</v>
      </c>
      <c r="N11" s="296" t="s">
        <v>288</v>
      </c>
      <c r="O11" s="297"/>
      <c r="P11" s="297"/>
    </row>
    <row r="12" spans="2:16" x14ac:dyDescent="0.35">
      <c r="C12" s="208"/>
      <c r="J12" s="224"/>
      <c r="K12" s="245" t="s">
        <v>185</v>
      </c>
      <c r="L12" s="225">
        <f>C15+C17+C13</f>
        <v>960000</v>
      </c>
      <c r="M12" s="222" t="s">
        <v>75</v>
      </c>
      <c r="N12" s="288"/>
      <c r="O12" s="288"/>
      <c r="P12" s="288"/>
    </row>
    <row r="13" spans="2:16" x14ac:dyDescent="0.35">
      <c r="B13" s="244" t="s">
        <v>177</v>
      </c>
      <c r="C13" s="221">
        <f>50000*8</f>
        <v>400000</v>
      </c>
      <c r="D13" s="222" t="s">
        <v>184</v>
      </c>
      <c r="E13" s="298" t="s">
        <v>226</v>
      </c>
      <c r="F13" s="299"/>
      <c r="G13" s="299"/>
      <c r="H13" s="300"/>
      <c r="I13" s="223" t="s">
        <v>286</v>
      </c>
      <c r="K13" s="245" t="s">
        <v>280</v>
      </c>
      <c r="L13" s="225">
        <f>C11+C13+C19</f>
        <v>40800000</v>
      </c>
    </row>
    <row r="14" spans="2:16" x14ac:dyDescent="0.35">
      <c r="C14" s="208"/>
      <c r="K14" s="245" t="s">
        <v>285</v>
      </c>
      <c r="L14" s="226">
        <f>9900000/330/18/220</f>
        <v>7.5757575757575761</v>
      </c>
    </row>
    <row r="15" spans="2:16" x14ac:dyDescent="0.35">
      <c r="B15" s="244" t="s">
        <v>178</v>
      </c>
      <c r="C15" s="221">
        <f>50000*8</f>
        <v>400000</v>
      </c>
      <c r="D15" s="222" t="s">
        <v>184</v>
      </c>
      <c r="E15" s="289" t="s">
        <v>229</v>
      </c>
      <c r="F15" s="288"/>
      <c r="G15" s="288"/>
      <c r="H15" s="288"/>
      <c r="I15" s="222" t="s">
        <v>286</v>
      </c>
      <c r="K15" s="208"/>
    </row>
    <row r="16" spans="2:16" x14ac:dyDescent="0.35">
      <c r="C16" s="208"/>
    </row>
    <row r="17" spans="1:24" x14ac:dyDescent="0.35">
      <c r="B17" s="244" t="s">
        <v>179</v>
      </c>
      <c r="C17" s="221">
        <f>20000*8</f>
        <v>160000</v>
      </c>
      <c r="D17" s="222" t="s">
        <v>184</v>
      </c>
      <c r="E17" s="288"/>
      <c r="F17" s="288"/>
      <c r="G17" s="288"/>
      <c r="H17" s="288"/>
      <c r="I17" s="222" t="s">
        <v>286</v>
      </c>
      <c r="L17" s="287"/>
      <c r="M17" s="287"/>
      <c r="N17" s="287"/>
      <c r="O17" s="287"/>
      <c r="P17" s="287"/>
    </row>
    <row r="18" spans="1:24" x14ac:dyDescent="0.35">
      <c r="C18" s="208"/>
      <c r="L18" s="287"/>
      <c r="M18" s="287"/>
      <c r="N18" s="287"/>
      <c r="O18" s="287"/>
      <c r="P18" s="287"/>
    </row>
    <row r="19" spans="1:24" x14ac:dyDescent="0.35">
      <c r="B19" s="244" t="s">
        <v>284</v>
      </c>
      <c r="C19" s="226">
        <f>C11*0.01</f>
        <v>400000</v>
      </c>
      <c r="D19" s="222" t="s">
        <v>75</v>
      </c>
      <c r="E19" s="289" t="s">
        <v>215</v>
      </c>
      <c r="F19" s="289"/>
      <c r="G19" s="289"/>
      <c r="H19" s="289"/>
      <c r="I19" s="223" t="s">
        <v>286</v>
      </c>
    </row>
    <row r="25" spans="1:24" x14ac:dyDescent="0.35">
      <c r="S25" s="290"/>
      <c r="T25" s="290"/>
      <c r="U25" s="290"/>
    </row>
    <row r="26" spans="1:24" x14ac:dyDescent="0.35">
      <c r="S26" s="290"/>
      <c r="T26" s="290"/>
      <c r="U26" s="290"/>
      <c r="W26" s="227"/>
    </row>
    <row r="27" spans="1:24" x14ac:dyDescent="0.35">
      <c r="S27" s="290"/>
      <c r="T27" s="290"/>
      <c r="U27" s="290"/>
    </row>
    <row r="28" spans="1:24" s="34" customFormat="1" x14ac:dyDescent="0.35">
      <c r="A28" s="33"/>
      <c r="S28" s="290"/>
      <c r="T28" s="290"/>
      <c r="U28" s="290"/>
      <c r="V28" s="213"/>
      <c r="W28" s="213"/>
      <c r="X28" s="213"/>
    </row>
    <row r="29" spans="1:24" s="34" customFormat="1" x14ac:dyDescent="0.35">
      <c r="A29" s="33"/>
      <c r="S29" s="290"/>
      <c r="T29" s="290"/>
      <c r="U29" s="290"/>
      <c r="V29" s="213"/>
      <c r="W29" s="213"/>
      <c r="X29" s="213"/>
    </row>
    <row r="30" spans="1:24" s="34" customFormat="1" x14ac:dyDescent="0.35">
      <c r="A30" s="33"/>
      <c r="S30" s="290"/>
      <c r="T30" s="290"/>
      <c r="U30" s="290"/>
      <c r="V30" s="213"/>
      <c r="W30" s="213"/>
      <c r="X30" s="213"/>
    </row>
    <row r="31" spans="1:24" s="34" customFormat="1" ht="12.5" x14ac:dyDescent="0.35">
      <c r="S31" s="290"/>
      <c r="T31" s="290"/>
      <c r="U31" s="290"/>
    </row>
    <row r="32" spans="1:24" x14ac:dyDescent="0.35">
      <c r="S32" s="290"/>
      <c r="T32" s="290"/>
      <c r="U32" s="290"/>
    </row>
    <row r="33" spans="1:25" s="34" customFormat="1" ht="12.5" x14ac:dyDescent="0.35">
      <c r="A33" s="33"/>
      <c r="B33" s="82"/>
      <c r="C33" s="82"/>
      <c r="D33" s="82"/>
      <c r="E33" s="82"/>
      <c r="F33" s="82"/>
      <c r="G33" s="82"/>
      <c r="H33" s="82"/>
      <c r="I33" s="82"/>
      <c r="J33" s="82"/>
      <c r="K33" s="82"/>
      <c r="L33" s="82"/>
      <c r="M33" s="82"/>
      <c r="S33" s="292"/>
      <c r="T33" s="292"/>
      <c r="U33" s="292"/>
      <c r="V33" s="291"/>
      <c r="W33" s="291"/>
      <c r="X33" s="291"/>
      <c r="Y33" s="291"/>
    </row>
    <row r="34" spans="1:25" s="34" customFormat="1" ht="12.5" x14ac:dyDescent="0.35">
      <c r="A34" s="33"/>
      <c r="O34" s="228"/>
      <c r="S34" s="292"/>
      <c r="T34" s="292"/>
      <c r="U34" s="292"/>
      <c r="V34" s="291"/>
      <c r="W34" s="291"/>
      <c r="X34" s="291"/>
      <c r="Y34" s="291"/>
    </row>
    <row r="35" spans="1:25" s="34" customFormat="1" ht="12.5" x14ac:dyDescent="0.35">
      <c r="A35" s="33"/>
      <c r="S35" s="292"/>
      <c r="T35" s="292"/>
      <c r="U35" s="292"/>
      <c r="V35" s="291"/>
      <c r="W35" s="291"/>
      <c r="X35" s="291"/>
      <c r="Y35" s="291"/>
    </row>
    <row r="36" spans="1:25" s="34" customFormat="1" ht="12.5" x14ac:dyDescent="0.35">
      <c r="O36" s="229"/>
      <c r="S36" s="292"/>
      <c r="T36" s="292"/>
      <c r="U36" s="292"/>
      <c r="V36" s="291"/>
      <c r="W36" s="291"/>
      <c r="X36" s="291"/>
      <c r="Y36" s="291"/>
    </row>
    <row r="37" spans="1:25" s="34" customFormat="1" ht="12.5" x14ac:dyDescent="0.35">
      <c r="O37" s="229"/>
      <c r="S37" s="292"/>
      <c r="T37" s="292"/>
      <c r="U37" s="292"/>
      <c r="V37" s="291"/>
      <c r="W37" s="291"/>
      <c r="X37" s="291"/>
      <c r="Y37" s="291"/>
    </row>
    <row r="38" spans="1:25" s="34" customFormat="1" ht="12.5" x14ac:dyDescent="0.35">
      <c r="A38" s="33"/>
      <c r="S38" s="292"/>
      <c r="T38" s="292"/>
      <c r="U38" s="292"/>
      <c r="V38" s="291"/>
      <c r="W38" s="291"/>
      <c r="X38" s="291"/>
      <c r="Y38" s="291"/>
    </row>
    <row r="39" spans="1:25" s="34" customFormat="1" ht="12.5" x14ac:dyDescent="0.35">
      <c r="A39" s="33"/>
      <c r="S39" s="292"/>
      <c r="T39" s="292"/>
      <c r="U39" s="292"/>
      <c r="V39" s="291"/>
      <c r="W39" s="291"/>
      <c r="X39" s="291"/>
      <c r="Y39" s="291"/>
    </row>
    <row r="40" spans="1:25" s="34" customFormat="1" ht="12.5" x14ac:dyDescent="0.35">
      <c r="A40" s="33"/>
      <c r="Q40" s="230"/>
      <c r="S40" s="292"/>
      <c r="T40" s="292"/>
      <c r="U40" s="292"/>
      <c r="V40" s="291"/>
      <c r="W40" s="291"/>
      <c r="X40" s="291"/>
      <c r="Y40" s="291"/>
    </row>
    <row r="41" spans="1:25" s="34" customFormat="1" ht="12.5" x14ac:dyDescent="0.35">
      <c r="A41" s="33"/>
      <c r="S41" s="292"/>
      <c r="T41" s="292"/>
      <c r="U41" s="292"/>
    </row>
    <row r="42" spans="1:25" s="34" customFormat="1" ht="12.5" x14ac:dyDescent="0.35">
      <c r="A42" s="33"/>
      <c r="S42" s="292"/>
      <c r="T42" s="292"/>
      <c r="U42" s="292"/>
    </row>
    <row r="43" spans="1:25" s="34" customFormat="1" ht="12.5" x14ac:dyDescent="0.35">
      <c r="A43" s="33"/>
      <c r="S43" s="292"/>
      <c r="T43" s="292"/>
      <c r="U43" s="292"/>
    </row>
    <row r="44" spans="1:25" s="34" customFormat="1" ht="12.5" x14ac:dyDescent="0.35">
      <c r="A44" s="33"/>
    </row>
    <row r="45" spans="1:25" s="34" customFormat="1" ht="12.5" x14ac:dyDescent="0.35">
      <c r="A45" s="33"/>
    </row>
    <row r="46" spans="1:25" s="34" customFormat="1" x14ac:dyDescent="0.35">
      <c r="O46" s="231"/>
      <c r="P46" s="231"/>
      <c r="Q46" s="231"/>
      <c r="R46" s="231"/>
      <c r="S46" s="231"/>
      <c r="T46" s="231"/>
      <c r="U46" s="231"/>
    </row>
    <row r="47" spans="1:25" s="34" customFormat="1" ht="12.5" x14ac:dyDescent="0.35"/>
    <row r="48" spans="1:25" s="34" customFormat="1" ht="12.5" x14ac:dyDescent="0.35"/>
    <row r="49" spans="15:21" s="34" customFormat="1" ht="12.5" x14ac:dyDescent="0.35"/>
    <row r="50" spans="15:21" s="34" customFormat="1" ht="12.5" x14ac:dyDescent="0.35">
      <c r="O50" s="4"/>
      <c r="P50" s="4"/>
      <c r="Q50" s="4"/>
      <c r="R50" s="4"/>
      <c r="S50" s="4"/>
      <c r="T50" s="4"/>
      <c r="U50" s="6"/>
    </row>
    <row r="51" spans="15:21" s="33" customFormat="1" ht="12.5" x14ac:dyDescent="0.35">
      <c r="O51" s="75"/>
      <c r="P51" s="75"/>
      <c r="Q51" s="75"/>
      <c r="R51" s="75"/>
      <c r="S51" s="75"/>
      <c r="T51" s="75"/>
      <c r="U51" s="75"/>
    </row>
    <row r="52" spans="15:21" s="34" customFormat="1" ht="12.5" x14ac:dyDescent="0.35"/>
    <row r="53" spans="15:21" s="34" customFormat="1" ht="12.5" x14ac:dyDescent="0.35"/>
    <row r="54" spans="15:21" s="34" customFormat="1" ht="12.5" x14ac:dyDescent="0.35"/>
    <row r="55" spans="15:21" s="34" customFormat="1" ht="12.5" x14ac:dyDescent="0.35"/>
    <row r="56" spans="15:21" s="34" customFormat="1" ht="12.5" x14ac:dyDescent="0.35"/>
  </sheetData>
  <mergeCells count="17">
    <mergeCell ref="C5:N5"/>
    <mergeCell ref="B8:P8"/>
    <mergeCell ref="E10:H10"/>
    <mergeCell ref="C1:P1"/>
    <mergeCell ref="C3:P3"/>
    <mergeCell ref="N10:P10"/>
    <mergeCell ref="E11:H11"/>
    <mergeCell ref="N11:P11"/>
    <mergeCell ref="N12:P12"/>
    <mergeCell ref="E13:H13"/>
    <mergeCell ref="E15:H15"/>
    <mergeCell ref="L17:P18"/>
    <mergeCell ref="E17:H17"/>
    <mergeCell ref="E19:H19"/>
    <mergeCell ref="S25:U32"/>
    <mergeCell ref="V33:Y40"/>
    <mergeCell ref="S33:U4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4"/>
  <sheetViews>
    <sheetView showGridLines="0" topLeftCell="F7" workbookViewId="0">
      <selection activeCell="E19" sqref="E19"/>
    </sheetView>
  </sheetViews>
  <sheetFormatPr defaultRowHeight="14.5" x14ac:dyDescent="0.35"/>
  <cols>
    <col min="1" max="1" width="8.7265625" style="207"/>
    <col min="2" max="2" width="72.6328125" style="207" bestFit="1" customWidth="1"/>
    <col min="3" max="3" width="13.36328125" style="207" bestFit="1" customWidth="1"/>
    <col min="4" max="4" width="5.1796875" style="207" bestFit="1" customWidth="1"/>
    <col min="5" max="5" width="13" style="207" bestFit="1" customWidth="1"/>
    <col min="6" max="8" width="14.7265625" style="207" bestFit="1" customWidth="1"/>
    <col min="9" max="9" width="19.36328125" style="207" bestFit="1" customWidth="1"/>
    <col min="10" max="10" width="20" style="207" bestFit="1" customWidth="1"/>
    <col min="11" max="11" width="14.7265625" style="207" bestFit="1" customWidth="1"/>
    <col min="12" max="13" width="15.7265625" style="207" bestFit="1" customWidth="1"/>
    <col min="14" max="16384" width="8.7265625" style="207"/>
  </cols>
  <sheetData>
    <row r="1" spans="2:18" s="212" customFormat="1" ht="23.5" x14ac:dyDescent="0.55000000000000004">
      <c r="B1" s="232" t="s">
        <v>171</v>
      </c>
      <c r="C1" s="306" t="s">
        <v>260</v>
      </c>
      <c r="D1" s="306"/>
      <c r="E1" s="306"/>
      <c r="F1" s="306"/>
      <c r="G1" s="306"/>
      <c r="H1" s="306"/>
      <c r="I1" s="306"/>
      <c r="J1" s="306"/>
      <c r="K1" s="306"/>
      <c r="L1" s="306"/>
      <c r="M1" s="306"/>
      <c r="N1" s="306"/>
      <c r="O1" s="306"/>
      <c r="P1" s="306"/>
      <c r="Q1" s="306"/>
      <c r="R1" s="306"/>
    </row>
    <row r="2" spans="2:18" s="213" customFormat="1" x14ac:dyDescent="0.35"/>
    <row r="3" spans="2:18" s="212" customFormat="1" ht="23.5" x14ac:dyDescent="0.55000000000000004">
      <c r="B3" s="232" t="s">
        <v>172</v>
      </c>
      <c r="C3" s="306" t="s">
        <v>173</v>
      </c>
      <c r="D3" s="306"/>
      <c r="E3" s="306"/>
      <c r="F3" s="306"/>
      <c r="G3" s="306"/>
      <c r="H3" s="306"/>
      <c r="I3" s="306"/>
      <c r="J3" s="306"/>
      <c r="K3" s="306"/>
      <c r="L3" s="306"/>
      <c r="M3" s="306"/>
      <c r="N3" s="306"/>
      <c r="O3" s="306"/>
      <c r="P3" s="306"/>
      <c r="Q3" s="306"/>
      <c r="R3" s="306"/>
    </row>
    <row r="4" spans="2:18" s="213" customFormat="1" x14ac:dyDescent="0.35"/>
    <row r="5" spans="2:18" s="213" customFormat="1" x14ac:dyDescent="0.35">
      <c r="B5" s="233" t="s">
        <v>174</v>
      </c>
      <c r="C5" s="301" t="s">
        <v>228</v>
      </c>
      <c r="D5" s="301"/>
      <c r="E5" s="301"/>
      <c r="F5" s="301"/>
      <c r="G5" s="301"/>
      <c r="H5" s="301"/>
      <c r="I5" s="301"/>
      <c r="J5" s="301"/>
      <c r="K5" s="301"/>
      <c r="L5" s="301"/>
      <c r="M5" s="301"/>
      <c r="N5" s="301"/>
    </row>
    <row r="6" spans="2:18" s="213" customFormat="1" x14ac:dyDescent="0.35">
      <c r="B6" s="234" t="s">
        <v>289</v>
      </c>
      <c r="C6" s="220">
        <f>CBA!N10</f>
        <v>732001036.58041215</v>
      </c>
      <c r="D6" s="219" t="s">
        <v>75</v>
      </c>
      <c r="E6" s="219"/>
      <c r="F6" s="219"/>
      <c r="G6" s="219"/>
      <c r="H6" s="219"/>
      <c r="I6" s="219"/>
      <c r="J6" s="219"/>
      <c r="K6" s="219"/>
      <c r="L6" s="219"/>
      <c r="M6" s="219"/>
      <c r="N6" s="219"/>
    </row>
    <row r="7" spans="2:18" s="213" customFormat="1" ht="15" thickBot="1" x14ac:dyDescent="0.4"/>
    <row r="8" spans="2:18" ht="19.5" customHeight="1" thickBot="1" x14ac:dyDescent="0.55000000000000004">
      <c r="B8" s="302" t="s">
        <v>13</v>
      </c>
      <c r="C8" s="303"/>
      <c r="D8" s="303"/>
      <c r="E8" s="303"/>
      <c r="F8" s="303"/>
      <c r="G8" s="303"/>
      <c r="H8" s="303"/>
      <c r="I8" s="303"/>
      <c r="J8" s="303"/>
      <c r="K8" s="303"/>
      <c r="L8" s="303"/>
      <c r="M8" s="303"/>
      <c r="N8" s="303"/>
      <c r="O8" s="303"/>
      <c r="P8" s="303"/>
      <c r="Q8" s="303"/>
      <c r="R8" s="304"/>
    </row>
    <row r="9" spans="2:18" ht="15" thickBot="1" x14ac:dyDescent="0.4">
      <c r="B9" s="213"/>
      <c r="C9" s="213"/>
      <c r="D9" s="213"/>
      <c r="E9" s="213"/>
      <c r="F9" s="213"/>
      <c r="G9" s="213"/>
      <c r="H9" s="213"/>
      <c r="I9" s="213"/>
      <c r="J9" s="213"/>
      <c r="K9" s="213"/>
      <c r="L9" s="213"/>
      <c r="M9" s="213"/>
      <c r="N9" s="213"/>
      <c r="O9" s="214"/>
      <c r="P9" s="214"/>
      <c r="Q9" s="214"/>
      <c r="R9" s="214"/>
    </row>
    <row r="10" spans="2:18" x14ac:dyDescent="0.35">
      <c r="B10" s="307" t="s">
        <v>255</v>
      </c>
      <c r="C10" s="310"/>
      <c r="D10" s="310"/>
      <c r="E10" s="217">
        <v>2022</v>
      </c>
      <c r="F10" s="217">
        <v>2023</v>
      </c>
      <c r="G10" s="217">
        <v>2024</v>
      </c>
      <c r="H10" s="217">
        <v>2025</v>
      </c>
      <c r="I10" s="217">
        <v>2026</v>
      </c>
      <c r="J10" s="217">
        <v>2027</v>
      </c>
      <c r="K10" s="217">
        <v>2028</v>
      </c>
      <c r="L10" s="217">
        <v>2029</v>
      </c>
      <c r="M10" s="217">
        <v>2030</v>
      </c>
      <c r="N10" s="310" t="s">
        <v>287</v>
      </c>
      <c r="O10" s="310"/>
      <c r="P10" s="310"/>
      <c r="Q10" s="310"/>
      <c r="R10" s="310"/>
    </row>
    <row r="11" spans="2:18" ht="14.5" customHeight="1" x14ac:dyDescent="0.35">
      <c r="B11" s="308"/>
      <c r="C11" s="309"/>
      <c r="D11" s="309"/>
      <c r="E11" s="218">
        <v>0</v>
      </c>
      <c r="F11" s="218">
        <v>1</v>
      </c>
      <c r="G11" s="218">
        <v>2</v>
      </c>
      <c r="H11" s="266">
        <v>3</v>
      </c>
      <c r="I11" s="266">
        <v>4</v>
      </c>
      <c r="J11" s="266">
        <v>5</v>
      </c>
      <c r="K11" s="266">
        <v>6</v>
      </c>
      <c r="L11" s="266">
        <v>7</v>
      </c>
      <c r="M11" s="266">
        <v>8</v>
      </c>
      <c r="N11" s="308"/>
      <c r="O11" s="308"/>
      <c r="P11" s="308"/>
      <c r="Q11" s="308"/>
      <c r="R11" s="308"/>
    </row>
    <row r="12" spans="2:18" ht="36.5" customHeight="1" x14ac:dyDescent="0.35">
      <c r="B12" s="308"/>
      <c r="C12" s="311" t="s">
        <v>254</v>
      </c>
      <c r="D12" s="311"/>
      <c r="E12" s="463">
        <v>6700238.3211021703</v>
      </c>
      <c r="F12" s="463">
        <v>7287768.1112399418</v>
      </c>
      <c r="G12" s="463">
        <v>7875297.9013777133</v>
      </c>
      <c r="H12" s="463">
        <v>8462827.6915154848</v>
      </c>
      <c r="I12" s="463">
        <v>9050357.4816532563</v>
      </c>
      <c r="J12" s="463">
        <v>9637887.2717910279</v>
      </c>
      <c r="K12" s="463">
        <v>10225417.061928799</v>
      </c>
      <c r="L12" s="463">
        <v>10812946.852066571</v>
      </c>
      <c r="M12" s="463">
        <v>13700238.32110217</v>
      </c>
      <c r="N12" s="287" t="s">
        <v>291</v>
      </c>
      <c r="O12" s="287"/>
      <c r="P12" s="287"/>
      <c r="Q12" s="287"/>
      <c r="R12" s="287"/>
    </row>
    <row r="13" spans="2:18" x14ac:dyDescent="0.35">
      <c r="B13" s="308"/>
      <c r="C13" s="311" t="s">
        <v>256</v>
      </c>
      <c r="D13" s="311"/>
      <c r="E13" s="215"/>
      <c r="F13" s="215">
        <v>10</v>
      </c>
      <c r="G13" s="215">
        <v>10</v>
      </c>
      <c r="H13" s="215">
        <v>10</v>
      </c>
      <c r="I13" s="215">
        <v>10</v>
      </c>
      <c r="J13" s="215">
        <v>10</v>
      </c>
      <c r="K13" s="215">
        <v>10</v>
      </c>
      <c r="L13" s="215">
        <v>10</v>
      </c>
      <c r="M13" s="215">
        <v>10</v>
      </c>
      <c r="N13" s="287"/>
      <c r="O13" s="287"/>
      <c r="P13" s="287"/>
      <c r="Q13" s="287"/>
      <c r="R13" s="287"/>
    </row>
    <row r="14" spans="2:18" x14ac:dyDescent="0.35">
      <c r="B14" s="309"/>
      <c r="C14" s="311" t="s">
        <v>230</v>
      </c>
      <c r="D14" s="311"/>
      <c r="E14" s="216"/>
      <c r="F14" s="216">
        <f t="shared" ref="F14:M14" si="0">F12*F13*0.95</f>
        <v>69233797.056779444</v>
      </c>
      <c r="G14" s="216">
        <f t="shared" si="0"/>
        <v>74815330.063088283</v>
      </c>
      <c r="H14" s="216">
        <f t="shared" si="0"/>
        <v>80396863.069397092</v>
      </c>
      <c r="I14" s="216">
        <f t="shared" si="0"/>
        <v>85978396.075705931</v>
      </c>
      <c r="J14" s="216">
        <f t="shared" si="0"/>
        <v>91559929.082014754</v>
      </c>
      <c r="K14" s="216">
        <f t="shared" si="0"/>
        <v>97141462.088323593</v>
      </c>
      <c r="L14" s="216">
        <f t="shared" si="0"/>
        <v>102722995.09463242</v>
      </c>
      <c r="M14" s="216">
        <f t="shared" si="0"/>
        <v>130152264.05047061</v>
      </c>
      <c r="N14" s="287"/>
      <c r="O14" s="287"/>
      <c r="P14" s="287"/>
      <c r="Q14" s="287"/>
      <c r="R14" s="287"/>
    </row>
    <row r="15" spans="2:18" x14ac:dyDescent="0.35">
      <c r="B15" s="82"/>
      <c r="C15" s="82"/>
      <c r="D15" s="82"/>
      <c r="E15" s="82"/>
      <c r="F15" s="82"/>
      <c r="G15" s="82"/>
      <c r="H15" s="82"/>
      <c r="I15" s="82"/>
      <c r="J15" s="82"/>
      <c r="K15" s="82"/>
      <c r="L15" s="82"/>
      <c r="M15" s="82"/>
      <c r="N15" s="287"/>
      <c r="O15" s="287"/>
      <c r="P15" s="287"/>
      <c r="Q15" s="287"/>
      <c r="R15" s="287"/>
    </row>
    <row r="16" spans="2:18" hidden="1" x14ac:dyDescent="0.35">
      <c r="B16" s="219"/>
      <c r="C16" s="219"/>
      <c r="D16" s="219">
        <v>0</v>
      </c>
      <c r="E16" s="219"/>
      <c r="F16" s="216">
        <f t="shared" ref="F16:M16" si="1">F12*$D$16</f>
        <v>0</v>
      </c>
      <c r="G16" s="216">
        <f t="shared" si="1"/>
        <v>0</v>
      </c>
      <c r="H16" s="216">
        <f t="shared" si="1"/>
        <v>0</v>
      </c>
      <c r="I16" s="216">
        <f t="shared" si="1"/>
        <v>0</v>
      </c>
      <c r="J16" s="216">
        <f t="shared" si="1"/>
        <v>0</v>
      </c>
      <c r="K16" s="216">
        <f t="shared" si="1"/>
        <v>0</v>
      </c>
      <c r="L16" s="216">
        <f t="shared" si="1"/>
        <v>0</v>
      </c>
      <c r="M16" s="216">
        <f t="shared" si="1"/>
        <v>0</v>
      </c>
      <c r="N16" s="287"/>
      <c r="O16" s="287"/>
      <c r="P16" s="287"/>
      <c r="Q16" s="287"/>
      <c r="R16" s="287"/>
    </row>
    <row r="17" spans="14:18" x14ac:dyDescent="0.35">
      <c r="N17" s="287"/>
      <c r="O17" s="287"/>
      <c r="P17" s="287"/>
      <c r="Q17" s="287"/>
      <c r="R17" s="287"/>
    </row>
    <row r="18" spans="14:18" x14ac:dyDescent="0.35">
      <c r="N18" s="287"/>
      <c r="O18" s="287"/>
      <c r="P18" s="287"/>
      <c r="Q18" s="287"/>
      <c r="R18" s="287"/>
    </row>
    <row r="19" spans="14:18" x14ac:dyDescent="0.35">
      <c r="N19" s="287"/>
      <c r="O19" s="287"/>
      <c r="P19" s="287"/>
      <c r="Q19" s="287"/>
      <c r="R19" s="287"/>
    </row>
    <row r="20" spans="14:18" x14ac:dyDescent="0.35">
      <c r="N20" s="287"/>
      <c r="O20" s="287"/>
      <c r="P20" s="287"/>
      <c r="Q20" s="287"/>
      <c r="R20" s="287"/>
    </row>
    <row r="21" spans="14:18" x14ac:dyDescent="0.35">
      <c r="N21" s="287"/>
      <c r="O21" s="287"/>
      <c r="P21" s="287"/>
      <c r="Q21" s="287"/>
      <c r="R21" s="287"/>
    </row>
    <row r="22" spans="14:18" x14ac:dyDescent="0.35">
      <c r="N22" s="287"/>
      <c r="O22" s="287"/>
      <c r="P22" s="287"/>
      <c r="Q22" s="287"/>
      <c r="R22" s="287"/>
    </row>
    <row r="23" spans="14:18" x14ac:dyDescent="0.35">
      <c r="N23" s="287"/>
      <c r="O23" s="287"/>
      <c r="P23" s="287"/>
      <c r="Q23" s="287"/>
      <c r="R23" s="287"/>
    </row>
    <row r="24" spans="14:18" x14ac:dyDescent="0.35">
      <c r="N24" s="287"/>
      <c r="O24" s="287"/>
      <c r="P24" s="287"/>
      <c r="Q24" s="287"/>
      <c r="R24" s="287"/>
    </row>
    <row r="25" spans="14:18" x14ac:dyDescent="0.35">
      <c r="N25" s="287"/>
      <c r="O25" s="287"/>
      <c r="P25" s="287"/>
      <c r="Q25" s="287"/>
      <c r="R25" s="287"/>
    </row>
    <row r="26" spans="14:18" x14ac:dyDescent="0.35">
      <c r="N26" s="287"/>
      <c r="O26" s="287"/>
      <c r="P26" s="287"/>
      <c r="Q26" s="287"/>
      <c r="R26" s="287"/>
    </row>
    <row r="27" spans="14:18" x14ac:dyDescent="0.35">
      <c r="N27" s="287"/>
      <c r="O27" s="287"/>
      <c r="P27" s="287"/>
      <c r="Q27" s="287"/>
      <c r="R27" s="287"/>
    </row>
    <row r="28" spans="14:18" x14ac:dyDescent="0.35">
      <c r="N28" s="287"/>
      <c r="O28" s="287"/>
      <c r="P28" s="287"/>
      <c r="Q28" s="287"/>
      <c r="R28" s="287"/>
    </row>
    <row r="29" spans="14:18" x14ac:dyDescent="0.35">
      <c r="N29" s="287"/>
      <c r="O29" s="287"/>
      <c r="P29" s="287"/>
      <c r="Q29" s="287"/>
      <c r="R29" s="287"/>
    </row>
    <row r="30" spans="14:18" x14ac:dyDescent="0.35">
      <c r="N30" s="287"/>
      <c r="O30" s="287"/>
      <c r="P30" s="287"/>
      <c r="Q30" s="287"/>
      <c r="R30" s="287"/>
    </row>
    <row r="31" spans="14:18" x14ac:dyDescent="0.35">
      <c r="N31" s="287"/>
      <c r="O31" s="287"/>
      <c r="P31" s="287"/>
      <c r="Q31" s="287"/>
      <c r="R31" s="287"/>
    </row>
    <row r="32" spans="14:18" x14ac:dyDescent="0.35">
      <c r="N32" s="287"/>
      <c r="O32" s="287"/>
      <c r="P32" s="287"/>
      <c r="Q32" s="287"/>
      <c r="R32" s="287"/>
    </row>
    <row r="33" spans="14:18" x14ac:dyDescent="0.35">
      <c r="N33" s="287"/>
      <c r="O33" s="287"/>
      <c r="P33" s="287"/>
      <c r="Q33" s="287"/>
      <c r="R33" s="287"/>
    </row>
    <row r="34" spans="14:18" x14ac:dyDescent="0.35">
      <c r="N34" s="287"/>
      <c r="O34" s="287"/>
      <c r="P34" s="287"/>
      <c r="Q34" s="287"/>
      <c r="R34" s="287"/>
    </row>
  </sheetData>
  <mergeCells count="11">
    <mergeCell ref="B10:B14"/>
    <mergeCell ref="B8:R8"/>
    <mergeCell ref="N12:R34"/>
    <mergeCell ref="N10:R11"/>
    <mergeCell ref="C5:N5"/>
    <mergeCell ref="C10:D11"/>
    <mergeCell ref="C14:D14"/>
    <mergeCell ref="C12:D12"/>
    <mergeCell ref="C13:D13"/>
    <mergeCell ref="C3:R3"/>
    <mergeCell ref="C1:R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8"/>
  <sheetViews>
    <sheetView showGridLines="0" tabSelected="1" topLeftCell="A2" workbookViewId="0">
      <selection activeCell="F14" sqref="F14"/>
    </sheetView>
  </sheetViews>
  <sheetFormatPr defaultRowHeight="14.5" x14ac:dyDescent="0.35"/>
  <cols>
    <col min="1" max="1" width="8.7265625" style="207"/>
    <col min="2" max="2" width="23.90625" style="207" bestFit="1" customWidth="1"/>
    <col min="3" max="3" width="22.54296875" style="207" bestFit="1" customWidth="1"/>
    <col min="4" max="4" width="7.453125" style="207" bestFit="1" customWidth="1"/>
    <col min="5" max="6" width="14.81640625" style="207" bestFit="1" customWidth="1"/>
    <col min="7" max="13" width="15.81640625" style="207" bestFit="1" customWidth="1"/>
    <col min="14" max="14" width="13.08984375" style="207" bestFit="1" customWidth="1"/>
    <col min="15" max="16384" width="8.7265625" style="207"/>
  </cols>
  <sheetData>
    <row r="1" spans="2:14" s="212" customFormat="1" ht="23.5" x14ac:dyDescent="0.55000000000000004">
      <c r="B1" s="232" t="s">
        <v>171</v>
      </c>
      <c r="C1" s="306" t="s">
        <v>260</v>
      </c>
      <c r="D1" s="306"/>
      <c r="E1" s="306"/>
      <c r="F1" s="306"/>
      <c r="G1" s="306"/>
      <c r="H1" s="306"/>
      <c r="I1" s="306"/>
      <c r="J1" s="306"/>
      <c r="K1" s="306"/>
      <c r="L1" s="306"/>
      <c r="M1" s="306"/>
      <c r="N1" s="306"/>
    </row>
    <row r="2" spans="2:14" s="213" customFormat="1" x14ac:dyDescent="0.35"/>
    <row r="3" spans="2:14" s="212" customFormat="1" ht="23.5" x14ac:dyDescent="0.55000000000000004">
      <c r="B3" s="232" t="s">
        <v>172</v>
      </c>
      <c r="C3" s="306" t="s">
        <v>173</v>
      </c>
      <c r="D3" s="306"/>
      <c r="E3" s="306"/>
      <c r="F3" s="306"/>
      <c r="G3" s="306"/>
      <c r="H3" s="306"/>
      <c r="I3" s="306"/>
      <c r="J3" s="306"/>
      <c r="K3" s="306"/>
      <c r="L3" s="306"/>
      <c r="M3" s="306"/>
      <c r="N3" s="306"/>
    </row>
    <row r="4" spans="2:14" s="213" customFormat="1" x14ac:dyDescent="0.35"/>
    <row r="5" spans="2:14" x14ac:dyDescent="0.35">
      <c r="B5" s="326" t="s">
        <v>8</v>
      </c>
      <c r="C5" s="256"/>
      <c r="D5" s="256"/>
      <c r="E5" s="257">
        <v>2022</v>
      </c>
      <c r="F5" s="257">
        <v>2023</v>
      </c>
      <c r="G5" s="257">
        <v>2024</v>
      </c>
      <c r="H5" s="257">
        <v>2025</v>
      </c>
      <c r="I5" s="257">
        <v>2026</v>
      </c>
      <c r="J5" s="257">
        <v>2027</v>
      </c>
      <c r="K5" s="257">
        <v>2028</v>
      </c>
      <c r="L5" s="257">
        <v>2029</v>
      </c>
      <c r="M5" s="257">
        <v>2030</v>
      </c>
      <c r="N5" s="324" t="s">
        <v>290</v>
      </c>
    </row>
    <row r="6" spans="2:14" x14ac:dyDescent="0.35">
      <c r="B6" s="326"/>
      <c r="C6" s="326" t="s">
        <v>7</v>
      </c>
      <c r="D6" s="326"/>
      <c r="E6" s="257">
        <v>0</v>
      </c>
      <c r="F6" s="257">
        <v>1</v>
      </c>
      <c r="G6" s="257">
        <v>2</v>
      </c>
      <c r="H6" s="267">
        <v>3</v>
      </c>
      <c r="I6" s="267">
        <v>4</v>
      </c>
      <c r="J6" s="267">
        <v>5</v>
      </c>
      <c r="K6" s="267">
        <v>6</v>
      </c>
      <c r="L6" s="267">
        <v>7</v>
      </c>
      <c r="M6" s="267">
        <v>8</v>
      </c>
      <c r="N6" s="325"/>
    </row>
    <row r="7" spans="2:14" hidden="1" x14ac:dyDescent="0.35">
      <c r="B7" s="255"/>
      <c r="C7" s="330"/>
      <c r="D7" s="330"/>
      <c r="E7" s="258">
        <f>Costs!L11</f>
        <v>40400000</v>
      </c>
      <c r="F7" s="258">
        <f>Costs!$L$12+Benefits!F16</f>
        <v>960000</v>
      </c>
      <c r="G7" s="258">
        <f>Costs!$L$12+Benefits!G16</f>
        <v>960000</v>
      </c>
      <c r="H7" s="258">
        <f>Costs!$L$12+Benefits!H16</f>
        <v>960000</v>
      </c>
      <c r="I7" s="258">
        <f>Costs!$L$12+Benefits!I16</f>
        <v>960000</v>
      </c>
      <c r="J7" s="258">
        <f>Costs!$L$12+Benefits!J16</f>
        <v>960000</v>
      </c>
      <c r="K7" s="258">
        <f>Costs!$L$12+Benefits!K16</f>
        <v>960000</v>
      </c>
      <c r="L7" s="258">
        <f>Costs!$L$12+Benefits!L16</f>
        <v>960000</v>
      </c>
      <c r="M7" s="258">
        <f>Costs!$L$12+Benefits!M16</f>
        <v>960000</v>
      </c>
      <c r="N7" s="34"/>
    </row>
    <row r="8" spans="2:14" x14ac:dyDescent="0.35">
      <c r="B8" s="255" t="s">
        <v>12</v>
      </c>
      <c r="C8" s="328" t="s">
        <v>11</v>
      </c>
      <c r="D8" s="328"/>
      <c r="E8" s="259">
        <f>E7</f>
        <v>40400000</v>
      </c>
      <c r="F8" s="259">
        <f t="shared" ref="F8:M8" si="0">SUM(F7:F7)</f>
        <v>960000</v>
      </c>
      <c r="G8" s="259">
        <f t="shared" si="0"/>
        <v>960000</v>
      </c>
      <c r="H8" s="259">
        <f t="shared" si="0"/>
        <v>960000</v>
      </c>
      <c r="I8" s="259">
        <f t="shared" si="0"/>
        <v>960000</v>
      </c>
      <c r="J8" s="259">
        <f t="shared" si="0"/>
        <v>960000</v>
      </c>
      <c r="K8" s="259">
        <f t="shared" si="0"/>
        <v>960000</v>
      </c>
      <c r="L8" s="259">
        <f t="shared" si="0"/>
        <v>960000</v>
      </c>
      <c r="M8" s="259">
        <f t="shared" si="0"/>
        <v>960000</v>
      </c>
      <c r="N8" s="260">
        <f>SUM(E8:M8)</f>
        <v>48080000</v>
      </c>
    </row>
    <row r="9" spans="2:14" hidden="1" x14ac:dyDescent="0.35">
      <c r="B9" s="255"/>
      <c r="C9" s="329"/>
      <c r="D9" s="329"/>
      <c r="E9" s="259">
        <f>Benefits!E14</f>
        <v>0</v>
      </c>
      <c r="F9" s="259">
        <f>Benefits!F14</f>
        <v>69233797.056779444</v>
      </c>
      <c r="G9" s="259">
        <f>Benefits!G14</f>
        <v>74815330.063088283</v>
      </c>
      <c r="H9" s="259">
        <f>Benefits!H14</f>
        <v>80396863.069397092</v>
      </c>
      <c r="I9" s="259">
        <f>Benefits!I14</f>
        <v>85978396.075705931</v>
      </c>
      <c r="J9" s="259">
        <f>Benefits!J14</f>
        <v>91559929.082014754</v>
      </c>
      <c r="K9" s="259">
        <f>Benefits!K14</f>
        <v>97141462.088323593</v>
      </c>
      <c r="L9" s="259">
        <f>Benefits!L14</f>
        <v>102722995.09463242</v>
      </c>
      <c r="M9" s="259">
        <f>Benefits!M14</f>
        <v>130152264.05047061</v>
      </c>
      <c r="N9" s="260"/>
    </row>
    <row r="10" spans="2:14" x14ac:dyDescent="0.35">
      <c r="B10" s="255" t="s">
        <v>13</v>
      </c>
      <c r="C10" s="328" t="s">
        <v>14</v>
      </c>
      <c r="D10" s="328"/>
      <c r="E10" s="259">
        <f t="shared" ref="E10:M10" si="1">SUM(E9:E9)</f>
        <v>0</v>
      </c>
      <c r="F10" s="259">
        <f t="shared" si="1"/>
        <v>69233797.056779444</v>
      </c>
      <c r="G10" s="259">
        <f t="shared" si="1"/>
        <v>74815330.063088283</v>
      </c>
      <c r="H10" s="259">
        <f t="shared" si="1"/>
        <v>80396863.069397092</v>
      </c>
      <c r="I10" s="259">
        <f t="shared" si="1"/>
        <v>85978396.075705931</v>
      </c>
      <c r="J10" s="259">
        <f t="shared" si="1"/>
        <v>91559929.082014754</v>
      </c>
      <c r="K10" s="259">
        <f t="shared" si="1"/>
        <v>97141462.088323593</v>
      </c>
      <c r="L10" s="259">
        <f t="shared" si="1"/>
        <v>102722995.09463242</v>
      </c>
      <c r="M10" s="259">
        <f t="shared" si="1"/>
        <v>130152264.05047061</v>
      </c>
      <c r="N10" s="260">
        <f>SUM(E10:M10)</f>
        <v>732001036.58041215</v>
      </c>
    </row>
    <row r="11" spans="2:14" x14ac:dyDescent="0.35">
      <c r="B11" s="327" t="s">
        <v>9</v>
      </c>
      <c r="C11" s="327"/>
      <c r="D11" s="327"/>
      <c r="E11" s="261">
        <f t="shared" ref="E11:M11" si="2">E10-E8</f>
        <v>-40400000</v>
      </c>
      <c r="F11" s="261">
        <f t="shared" si="2"/>
        <v>68273797.056779444</v>
      </c>
      <c r="G11" s="261">
        <f t="shared" si="2"/>
        <v>73855330.063088283</v>
      </c>
      <c r="H11" s="261">
        <f t="shared" si="2"/>
        <v>79436863.069397092</v>
      </c>
      <c r="I11" s="261">
        <f t="shared" si="2"/>
        <v>85018396.075705931</v>
      </c>
      <c r="J11" s="261">
        <f t="shared" si="2"/>
        <v>90599929.082014754</v>
      </c>
      <c r="K11" s="261">
        <f t="shared" si="2"/>
        <v>96181462.088323593</v>
      </c>
      <c r="L11" s="261">
        <f t="shared" si="2"/>
        <v>101762995.09463242</v>
      </c>
      <c r="M11" s="261">
        <f t="shared" si="2"/>
        <v>129192264.05047061</v>
      </c>
      <c r="N11" s="260">
        <f t="shared" ref="N11" si="3">SUM(E11:M11)</f>
        <v>683921036.58041215</v>
      </c>
    </row>
    <row r="12" spans="2:14" x14ac:dyDescent="0.35">
      <c r="B12" s="327" t="s">
        <v>142</v>
      </c>
      <c r="C12" s="327"/>
      <c r="D12" s="327"/>
      <c r="E12" s="261">
        <f>E11</f>
        <v>-40400000</v>
      </c>
      <c r="F12" s="261">
        <f t="shared" ref="F12:M12" si="4">E12+F11</f>
        <v>27873797.056779444</v>
      </c>
      <c r="G12" s="261">
        <f t="shared" si="4"/>
        <v>101729127.11986773</v>
      </c>
      <c r="H12" s="261">
        <f t="shared" si="4"/>
        <v>181165990.18926483</v>
      </c>
      <c r="I12" s="261">
        <f t="shared" si="4"/>
        <v>266184386.26497078</v>
      </c>
      <c r="J12" s="261">
        <f t="shared" si="4"/>
        <v>356784315.34698552</v>
      </c>
      <c r="K12" s="261">
        <f t="shared" si="4"/>
        <v>452965777.43530911</v>
      </c>
      <c r="L12" s="261">
        <f t="shared" si="4"/>
        <v>554728772.52994156</v>
      </c>
      <c r="M12" s="261">
        <f t="shared" si="4"/>
        <v>683921036.58041215</v>
      </c>
      <c r="N12" s="260"/>
    </row>
    <row r="13" spans="2:14" x14ac:dyDescent="0.35">
      <c r="B13" s="327" t="s">
        <v>10</v>
      </c>
      <c r="C13" s="327"/>
      <c r="D13" s="327"/>
      <c r="E13" s="262">
        <f>NPV(CBA!I17,E11:M11)+E11</f>
        <v>323303122.38211298</v>
      </c>
      <c r="F13" s="263"/>
      <c r="G13" s="231"/>
      <c r="H13" s="231"/>
      <c r="I13" s="231"/>
      <c r="J13" s="231"/>
      <c r="K13" s="231"/>
      <c r="L13" s="231"/>
      <c r="M13" s="231"/>
      <c r="N13" s="34"/>
    </row>
    <row r="14" spans="2:14" x14ac:dyDescent="0.35">
      <c r="B14" s="34"/>
      <c r="C14" s="34"/>
      <c r="D14" s="34"/>
      <c r="E14" s="34"/>
      <c r="F14" s="34"/>
      <c r="G14" s="34"/>
      <c r="H14" s="34"/>
      <c r="I14" s="34"/>
      <c r="J14" s="34"/>
      <c r="K14" s="34"/>
      <c r="L14" s="34"/>
      <c r="M14" s="34"/>
      <c r="N14" s="34"/>
    </row>
    <row r="15" spans="2:14" x14ac:dyDescent="0.35">
      <c r="B15" s="34"/>
      <c r="C15" s="34"/>
      <c r="D15" s="34"/>
      <c r="E15" s="34"/>
      <c r="F15" s="34"/>
      <c r="G15" s="34"/>
      <c r="H15" s="34"/>
      <c r="I15" s="34"/>
      <c r="J15" s="34"/>
      <c r="K15" s="34"/>
      <c r="L15" s="34"/>
      <c r="M15" s="34"/>
      <c r="N15" s="34"/>
    </row>
    <row r="16" spans="2:14" x14ac:dyDescent="0.35">
      <c r="B16" s="34"/>
      <c r="C16" s="34"/>
      <c r="D16" s="34"/>
      <c r="E16" s="34"/>
      <c r="F16" s="34"/>
      <c r="G16" s="34"/>
      <c r="H16" s="34"/>
      <c r="I16" s="34"/>
      <c r="J16" s="34"/>
      <c r="K16" s="34"/>
      <c r="L16" s="34"/>
      <c r="M16" s="34"/>
      <c r="N16" s="34"/>
    </row>
    <row r="17" spans="2:14" x14ac:dyDescent="0.35">
      <c r="B17" s="34"/>
      <c r="C17" s="312" t="s">
        <v>131</v>
      </c>
      <c r="D17" s="313"/>
      <c r="E17" s="264">
        <f>(NPV(CBA!$I$17,F8:M8)+E8)</f>
        <v>45326215.11073605</v>
      </c>
      <c r="F17" s="4"/>
      <c r="G17" s="318" t="s">
        <v>189</v>
      </c>
      <c r="H17" s="319"/>
      <c r="I17" s="322">
        <v>0.1108</v>
      </c>
      <c r="J17" s="323"/>
      <c r="K17" s="316" t="s">
        <v>188</v>
      </c>
      <c r="L17" s="317"/>
      <c r="M17" s="246"/>
      <c r="N17" s="4"/>
    </row>
    <row r="18" spans="2:14" x14ac:dyDescent="0.35">
      <c r="B18" s="33"/>
      <c r="C18" s="314" t="s">
        <v>132</v>
      </c>
      <c r="D18" s="315"/>
      <c r="E18" s="265">
        <f>(NPV(CBA!$I$17,F10:M10)+E10)</f>
        <v>449327643.45278716</v>
      </c>
      <c r="F18" s="75"/>
      <c r="I18" s="213"/>
      <c r="J18" s="213"/>
      <c r="K18" s="213"/>
      <c r="L18" s="213"/>
      <c r="M18" s="246"/>
      <c r="N18" s="75"/>
    </row>
    <row r="19" spans="2:14" x14ac:dyDescent="0.35">
      <c r="B19" s="34"/>
      <c r="C19" s="34"/>
      <c r="D19" s="34"/>
      <c r="E19" s="247"/>
      <c r="F19" s="34"/>
      <c r="G19" s="318" t="s">
        <v>186</v>
      </c>
      <c r="H19" s="319"/>
      <c r="I19" s="320">
        <v>7.3700000000000002E-2</v>
      </c>
      <c r="J19" s="321"/>
      <c r="K19" s="316" t="s">
        <v>187</v>
      </c>
      <c r="L19" s="317"/>
      <c r="M19" s="34"/>
      <c r="N19" s="34"/>
    </row>
    <row r="20" spans="2:14" x14ac:dyDescent="0.35">
      <c r="B20" s="34"/>
      <c r="C20" s="34"/>
      <c r="D20" s="34"/>
      <c r="E20" s="34"/>
      <c r="F20" s="34"/>
      <c r="G20" s="34"/>
      <c r="H20" s="34"/>
      <c r="I20" s="34"/>
      <c r="J20" s="34"/>
      <c r="K20" s="34"/>
      <c r="L20" s="34"/>
      <c r="M20" s="34"/>
      <c r="N20" s="34"/>
    </row>
    <row r="21" spans="2:14" ht="15" thickBot="1" x14ac:dyDescent="0.4">
      <c r="B21" s="34"/>
      <c r="C21" s="34"/>
      <c r="D21" s="34"/>
      <c r="E21" s="34"/>
      <c r="F21" s="34"/>
      <c r="G21" s="34"/>
      <c r="H21" s="34"/>
      <c r="I21" s="34"/>
      <c r="J21" s="34"/>
      <c r="K21" s="34"/>
      <c r="L21" s="34"/>
      <c r="M21" s="34"/>
      <c r="N21" s="34"/>
    </row>
    <row r="22" spans="2:14" x14ac:dyDescent="0.35">
      <c r="B22" s="34"/>
      <c r="C22" s="248" t="str">
        <f>+C17</f>
        <v xml:space="preserve">Net Cost Discounted </v>
      </c>
      <c r="D22" s="249">
        <f>+E17/1000000</f>
        <v>45.326215110736051</v>
      </c>
      <c r="E22" s="34"/>
      <c r="F22" s="34"/>
      <c r="G22" s="34"/>
      <c r="H22" s="34"/>
      <c r="I22" s="34"/>
      <c r="J22" s="34"/>
      <c r="K22" s="34"/>
      <c r="L22" s="34"/>
      <c r="M22" s="34"/>
      <c r="N22" s="34"/>
    </row>
    <row r="23" spans="2:14" x14ac:dyDescent="0.35">
      <c r="B23" s="34"/>
      <c r="C23" s="250" t="str">
        <f>+C18</f>
        <v xml:space="preserve">Net Benefits Discounted </v>
      </c>
      <c r="D23" s="251">
        <f>+E18/1000000</f>
        <v>449.32764345278719</v>
      </c>
      <c r="E23" s="34"/>
      <c r="F23" s="34"/>
      <c r="G23" s="34"/>
      <c r="H23" s="34"/>
      <c r="I23" s="34"/>
      <c r="J23" s="34"/>
      <c r="K23" s="34"/>
      <c r="L23" s="34"/>
      <c r="M23" s="34"/>
      <c r="N23" s="34"/>
    </row>
    <row r="24" spans="2:14" x14ac:dyDescent="0.35">
      <c r="B24" s="34"/>
      <c r="C24" s="250" t="s">
        <v>169</v>
      </c>
      <c r="D24" s="252">
        <f>+D23/D22</f>
        <v>9.9131957600042053</v>
      </c>
      <c r="E24" s="34"/>
      <c r="F24" s="34"/>
      <c r="G24" s="34"/>
      <c r="H24" s="34"/>
      <c r="I24" s="34"/>
      <c r="J24" s="34"/>
      <c r="K24" s="34"/>
      <c r="L24" s="34"/>
      <c r="M24" s="34"/>
      <c r="N24" s="34"/>
    </row>
    <row r="25" spans="2:14" ht="15" thickBot="1" x14ac:dyDescent="0.4">
      <c r="B25" s="34"/>
      <c r="C25" s="253" t="s">
        <v>170</v>
      </c>
      <c r="D25" s="254">
        <f>+SUM(E8:M8)/(AVERAGE(E10:M10))</f>
        <v>0.59114670386462587</v>
      </c>
      <c r="E25" s="34"/>
      <c r="F25" s="34"/>
      <c r="G25" s="230"/>
      <c r="H25" s="34"/>
      <c r="I25" s="34"/>
      <c r="J25" s="34"/>
      <c r="K25" s="34"/>
      <c r="L25" s="34"/>
      <c r="M25" s="34"/>
      <c r="N25" s="34"/>
    </row>
    <row r="26" spans="2:14" x14ac:dyDescent="0.35">
      <c r="B26" s="213"/>
      <c r="C26" s="213"/>
      <c r="D26" s="213"/>
      <c r="E26" s="213"/>
      <c r="F26" s="213"/>
      <c r="G26" s="164"/>
      <c r="H26" s="213"/>
      <c r="I26" s="213"/>
      <c r="J26" s="213"/>
      <c r="K26" s="213"/>
      <c r="L26" s="213"/>
      <c r="M26" s="213"/>
      <c r="N26" s="213"/>
    </row>
    <row r="27" spans="2:14" x14ac:dyDescent="0.35">
      <c r="B27" s="213"/>
      <c r="C27" s="213"/>
      <c r="D27" s="213"/>
      <c r="E27" s="213"/>
      <c r="F27" s="213"/>
      <c r="G27" s="213"/>
      <c r="H27" s="213"/>
      <c r="I27" s="213"/>
      <c r="J27" s="213"/>
      <c r="K27" s="213"/>
      <c r="L27" s="213"/>
      <c r="M27" s="213"/>
      <c r="N27" s="213"/>
    </row>
    <row r="28" spans="2:14" x14ac:dyDescent="0.35">
      <c r="B28" s="213"/>
      <c r="C28" s="213"/>
      <c r="D28" s="213"/>
      <c r="E28" s="213"/>
      <c r="F28" s="213"/>
      <c r="G28" s="213"/>
      <c r="H28" s="213"/>
      <c r="I28" s="213"/>
      <c r="J28" s="213"/>
      <c r="K28" s="213"/>
      <c r="L28" s="213"/>
      <c r="M28" s="213"/>
      <c r="N28" s="213"/>
    </row>
    <row r="29" spans="2:14" x14ac:dyDescent="0.35">
      <c r="B29" s="213"/>
      <c r="C29" s="213"/>
      <c r="D29" s="213"/>
      <c r="E29" s="213"/>
      <c r="F29" s="213"/>
      <c r="G29" s="213"/>
      <c r="H29" s="213"/>
      <c r="I29" s="213"/>
      <c r="J29" s="213"/>
      <c r="K29" s="213"/>
      <c r="L29" s="213"/>
      <c r="M29" s="213"/>
      <c r="N29" s="213"/>
    </row>
    <row r="30" spans="2:14" x14ac:dyDescent="0.35">
      <c r="B30" s="213"/>
      <c r="C30" s="213"/>
      <c r="D30" s="213"/>
      <c r="E30" s="213"/>
      <c r="F30" s="213"/>
      <c r="G30" s="213"/>
      <c r="H30" s="213"/>
      <c r="I30" s="213"/>
      <c r="J30" s="213"/>
      <c r="K30" s="213"/>
      <c r="L30" s="213"/>
      <c r="M30" s="213"/>
      <c r="N30" s="213"/>
    </row>
    <row r="31" spans="2:14" x14ac:dyDescent="0.35">
      <c r="B31" s="213"/>
      <c r="C31" s="213"/>
      <c r="D31" s="213"/>
      <c r="E31" s="213"/>
      <c r="F31" s="213"/>
      <c r="G31" s="213"/>
      <c r="H31" s="213"/>
      <c r="I31" s="213"/>
      <c r="J31" s="213"/>
      <c r="K31" s="213"/>
      <c r="L31" s="213"/>
      <c r="M31" s="213"/>
      <c r="N31" s="213"/>
    </row>
    <row r="32" spans="2:14" x14ac:dyDescent="0.35">
      <c r="B32" s="213"/>
      <c r="C32" s="213"/>
      <c r="D32" s="213"/>
      <c r="E32" s="213"/>
      <c r="F32" s="213"/>
      <c r="G32" s="213"/>
      <c r="H32" s="213"/>
      <c r="I32" s="213"/>
      <c r="J32" s="213"/>
      <c r="K32" s="213"/>
      <c r="L32" s="213"/>
      <c r="M32" s="213"/>
      <c r="N32" s="213"/>
    </row>
    <row r="33" spans="2:14" x14ac:dyDescent="0.35">
      <c r="B33" s="213"/>
      <c r="C33" s="213"/>
      <c r="D33" s="213"/>
      <c r="E33" s="213"/>
      <c r="F33" s="213"/>
      <c r="G33" s="213"/>
      <c r="H33" s="213"/>
      <c r="I33" s="213"/>
      <c r="J33" s="213"/>
      <c r="K33" s="213"/>
      <c r="L33" s="213"/>
      <c r="M33" s="213"/>
      <c r="N33" s="213"/>
    </row>
    <row r="34" spans="2:14" x14ac:dyDescent="0.35">
      <c r="B34" s="213"/>
      <c r="C34" s="213"/>
      <c r="D34" s="213"/>
      <c r="E34" s="213"/>
      <c r="F34" s="213"/>
      <c r="G34" s="213"/>
      <c r="H34" s="213"/>
      <c r="I34" s="213"/>
      <c r="J34" s="213"/>
      <c r="K34" s="213"/>
      <c r="L34" s="213"/>
      <c r="M34" s="213"/>
      <c r="N34" s="213"/>
    </row>
    <row r="35" spans="2:14" x14ac:dyDescent="0.35">
      <c r="B35" s="213"/>
      <c r="C35" s="213"/>
      <c r="D35" s="213"/>
      <c r="E35" s="213"/>
      <c r="F35" s="213"/>
      <c r="G35" s="213"/>
      <c r="H35" s="213"/>
      <c r="I35" s="213"/>
      <c r="J35" s="213"/>
      <c r="K35" s="213"/>
      <c r="L35" s="213"/>
      <c r="M35" s="213"/>
      <c r="N35" s="213"/>
    </row>
    <row r="36" spans="2:14" x14ac:dyDescent="0.35">
      <c r="B36" s="213"/>
      <c r="C36" s="213"/>
      <c r="D36" s="213"/>
      <c r="E36" s="213"/>
      <c r="F36" s="213"/>
      <c r="G36" s="213"/>
      <c r="H36" s="213"/>
      <c r="I36" s="213"/>
      <c r="J36" s="213"/>
      <c r="K36" s="213"/>
      <c r="L36" s="213"/>
      <c r="M36" s="213"/>
      <c r="N36" s="213"/>
    </row>
    <row r="37" spans="2:14" x14ac:dyDescent="0.35">
      <c r="B37" s="213"/>
      <c r="C37" s="213"/>
      <c r="D37" s="213"/>
      <c r="E37" s="213"/>
      <c r="F37" s="213"/>
      <c r="G37" s="213"/>
      <c r="H37" s="213"/>
      <c r="I37" s="213"/>
      <c r="J37" s="213"/>
      <c r="K37" s="213"/>
      <c r="L37" s="213"/>
      <c r="M37" s="213"/>
      <c r="N37" s="213"/>
    </row>
    <row r="38" spans="2:14" x14ac:dyDescent="0.35">
      <c r="B38" s="213"/>
      <c r="C38" s="213"/>
      <c r="D38" s="213"/>
      <c r="E38" s="213"/>
      <c r="F38" s="213"/>
      <c r="G38" s="213"/>
      <c r="H38" s="213"/>
      <c r="I38" s="213"/>
      <c r="J38" s="213"/>
      <c r="K38" s="213"/>
      <c r="L38" s="213"/>
      <c r="M38" s="213"/>
      <c r="N38" s="213"/>
    </row>
  </sheetData>
  <mergeCells count="20">
    <mergeCell ref="B5:B6"/>
    <mergeCell ref="B13:D13"/>
    <mergeCell ref="B11:D11"/>
    <mergeCell ref="C10:D10"/>
    <mergeCell ref="C6:D6"/>
    <mergeCell ref="C9:D9"/>
    <mergeCell ref="C7:D7"/>
    <mergeCell ref="C8:D8"/>
    <mergeCell ref="B12:D12"/>
    <mergeCell ref="G19:H19"/>
    <mergeCell ref="K19:L19"/>
    <mergeCell ref="I19:J19"/>
    <mergeCell ref="G17:H17"/>
    <mergeCell ref="I17:J17"/>
    <mergeCell ref="C1:N1"/>
    <mergeCell ref="C3:N3"/>
    <mergeCell ref="C17:D17"/>
    <mergeCell ref="C18:D18"/>
    <mergeCell ref="K17:L17"/>
    <mergeCell ref="N5:N6"/>
  </mergeCells>
  <conditionalFormatting sqref="E13:F13">
    <cfRule type="cellIs" dxfId="7" priority="1" operator="lessThan">
      <formula>0</formula>
    </cfRule>
    <cfRule type="cellIs" dxfId="6" priority="2" operator="greaterThan">
      <formula>0</formula>
    </cfRule>
  </conditionalFormatting>
  <hyperlinks>
    <hyperlink ref="K19" r:id="rId1" display="https://www.theglobaleconomy.com/Kazakhstan/inflation_annual/"/>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sheetPr>
  <dimension ref="A1:M25"/>
  <sheetViews>
    <sheetView showGridLines="0" topLeftCell="A4" zoomScale="85" zoomScaleNormal="85" workbookViewId="0">
      <selection activeCell="O21" sqref="O21"/>
    </sheetView>
  </sheetViews>
  <sheetFormatPr defaultColWidth="10.81640625" defaultRowHeight="12.5" x14ac:dyDescent="0.35"/>
  <cols>
    <col min="1" max="1" width="2.81640625" style="1" customWidth="1"/>
    <col min="2" max="2" width="10.81640625" style="1"/>
    <col min="3" max="3" width="47" style="1" bestFit="1" customWidth="1"/>
    <col min="4" max="4" width="41.54296875" style="1" bestFit="1" customWidth="1"/>
    <col min="5" max="5" width="12" style="1" bestFit="1" customWidth="1"/>
    <col min="6" max="6" width="15.7265625" style="1" bestFit="1" customWidth="1"/>
    <col min="7" max="7" width="21.453125" style="1" bestFit="1" customWidth="1"/>
    <col min="8" max="8" width="23.81640625" style="1" bestFit="1" customWidth="1"/>
    <col min="9" max="9" width="21.81640625" style="1" bestFit="1" customWidth="1"/>
    <col min="10" max="10" width="14.7265625" style="1" bestFit="1" customWidth="1"/>
    <col min="11" max="11" width="16.81640625" style="1" bestFit="1" customWidth="1"/>
    <col min="12" max="12" width="14.453125" style="1" bestFit="1" customWidth="1"/>
    <col min="13" max="13" width="15.81640625" style="1" bestFit="1" customWidth="1"/>
    <col min="14" max="16384" width="10.81640625" style="1"/>
  </cols>
  <sheetData>
    <row r="1" spans="1:13" x14ac:dyDescent="0.35">
      <c r="A1" s="124"/>
    </row>
    <row r="2" spans="1:13" x14ac:dyDescent="0.35">
      <c r="B2" s="331" t="s">
        <v>243</v>
      </c>
      <c r="C2" s="331"/>
      <c r="D2" s="331"/>
      <c r="E2" s="331"/>
      <c r="F2" s="331"/>
      <c r="G2" s="331"/>
      <c r="H2" s="331"/>
      <c r="I2" s="331"/>
      <c r="J2" s="331"/>
      <c r="K2" s="331"/>
      <c r="L2" s="331"/>
      <c r="M2" s="331"/>
    </row>
    <row r="3" spans="1:13" x14ac:dyDescent="0.35">
      <c r="B3" s="331"/>
      <c r="C3" s="331"/>
      <c r="D3" s="331"/>
      <c r="E3" s="331"/>
      <c r="F3" s="331"/>
      <c r="G3" s="331"/>
      <c r="H3" s="331"/>
      <c r="I3" s="331"/>
      <c r="J3" s="331"/>
      <c r="K3" s="331"/>
      <c r="L3" s="331"/>
      <c r="M3" s="331"/>
    </row>
    <row r="4" spans="1:13" x14ac:dyDescent="0.35">
      <c r="B4" s="331"/>
      <c r="C4" s="331"/>
      <c r="D4" s="331"/>
      <c r="E4" s="331"/>
      <c r="F4" s="331"/>
      <c r="G4" s="331"/>
      <c r="H4" s="331"/>
      <c r="I4" s="331"/>
      <c r="J4" s="331"/>
      <c r="K4" s="331"/>
      <c r="L4" s="331"/>
      <c r="M4" s="331"/>
    </row>
    <row r="7" spans="1:13" x14ac:dyDescent="0.35">
      <c r="B7" s="332" t="s">
        <v>194</v>
      </c>
      <c r="C7" s="333"/>
      <c r="D7" s="333"/>
      <c r="E7" s="333"/>
      <c r="F7" s="333"/>
      <c r="G7" s="333"/>
      <c r="H7" s="333"/>
      <c r="I7" s="333"/>
      <c r="J7" s="333"/>
      <c r="K7" s="334"/>
    </row>
    <row r="8" spans="1:13" x14ac:dyDescent="0.35">
      <c r="B8" s="335"/>
      <c r="C8" s="336"/>
      <c r="D8" s="336"/>
      <c r="E8" s="336"/>
      <c r="F8" s="336"/>
      <c r="G8" s="336"/>
      <c r="H8" s="336"/>
      <c r="I8" s="336"/>
      <c r="J8" s="336"/>
      <c r="K8" s="337"/>
    </row>
    <row r="10" spans="1:13" s="35" customFormat="1" ht="48" customHeight="1" x14ac:dyDescent="0.35">
      <c r="B10" s="146" t="s">
        <v>195</v>
      </c>
      <c r="C10" s="147" t="s">
        <v>0</v>
      </c>
      <c r="D10" s="147" t="s">
        <v>196</v>
      </c>
      <c r="E10" s="147" t="s">
        <v>197</v>
      </c>
      <c r="F10" s="147" t="s">
        <v>198</v>
      </c>
      <c r="G10" s="147" t="s">
        <v>199</v>
      </c>
      <c r="H10" s="147" t="s">
        <v>200</v>
      </c>
      <c r="I10" s="147" t="s">
        <v>10</v>
      </c>
      <c r="J10" s="147" t="s">
        <v>201</v>
      </c>
      <c r="K10" s="147" t="s">
        <v>202</v>
      </c>
      <c r="L10" s="144"/>
      <c r="M10" s="144"/>
    </row>
    <row r="11" spans="1:13" ht="25" x14ac:dyDescent="0.35">
      <c r="B11" s="129" t="s">
        <v>205</v>
      </c>
      <c r="C11" s="130" t="s">
        <v>217</v>
      </c>
      <c r="D11" s="130" t="s">
        <v>210</v>
      </c>
      <c r="E11" s="131" t="s">
        <v>203</v>
      </c>
      <c r="F11" s="131" t="s">
        <v>204</v>
      </c>
      <c r="G11" s="132" t="e">
        <f>#REF!</f>
        <v>#REF!</v>
      </c>
      <c r="H11" s="132" t="e">
        <f>#REF!</f>
        <v>#REF!</v>
      </c>
      <c r="I11" s="133" t="e">
        <f>#REF!</f>
        <v>#REF!</v>
      </c>
      <c r="J11" s="134" t="e">
        <f>#REF!</f>
        <v>#REF!</v>
      </c>
      <c r="K11" s="134" t="e">
        <f>#REF!</f>
        <v>#REF!</v>
      </c>
      <c r="L11" s="122"/>
      <c r="M11" s="122"/>
    </row>
    <row r="12" spans="1:13" ht="25" x14ac:dyDescent="0.35">
      <c r="B12" s="129" t="s">
        <v>206</v>
      </c>
      <c r="C12" s="130" t="s">
        <v>218</v>
      </c>
      <c r="D12" s="130" t="s">
        <v>212</v>
      </c>
      <c r="E12" s="131" t="s">
        <v>203</v>
      </c>
      <c r="F12" s="131" t="s">
        <v>204</v>
      </c>
      <c r="G12" s="132" t="e">
        <f>#REF!</f>
        <v>#REF!</v>
      </c>
      <c r="H12" s="132" t="e">
        <f>#REF!</f>
        <v>#REF!</v>
      </c>
      <c r="I12" s="133" t="e">
        <f>#REF!</f>
        <v>#REF!</v>
      </c>
      <c r="J12" s="134" t="e">
        <f>#REF!</f>
        <v>#REF!</v>
      </c>
      <c r="K12" s="134" t="e">
        <f>#REF!</f>
        <v>#REF!</v>
      </c>
      <c r="L12" s="122"/>
      <c r="M12" s="122"/>
    </row>
    <row r="13" spans="1:13" ht="25" x14ac:dyDescent="0.35">
      <c r="B13" s="135" t="s">
        <v>207</v>
      </c>
      <c r="C13" s="136" t="s">
        <v>219</v>
      </c>
      <c r="D13" s="136" t="s">
        <v>210</v>
      </c>
      <c r="E13" s="137" t="s">
        <v>203</v>
      </c>
      <c r="F13" s="137" t="s">
        <v>222</v>
      </c>
      <c r="G13" s="138" t="e">
        <f>#REF!</f>
        <v>#REF!</v>
      </c>
      <c r="H13" s="138" t="e">
        <f>#REF!</f>
        <v>#REF!</v>
      </c>
      <c r="I13" s="139" t="e">
        <f>#REF!</f>
        <v>#REF!</v>
      </c>
      <c r="J13" s="140" t="e">
        <f>#REF!</f>
        <v>#REF!</v>
      </c>
      <c r="K13" s="140" t="e">
        <f>#REF!</f>
        <v>#REF!</v>
      </c>
      <c r="L13" s="122"/>
      <c r="M13" s="122"/>
    </row>
    <row r="14" spans="1:13" s="34" customFormat="1" ht="25" x14ac:dyDescent="0.35">
      <c r="B14" s="135" t="s">
        <v>208</v>
      </c>
      <c r="C14" s="136" t="s">
        <v>220</v>
      </c>
      <c r="D14" s="136" t="s">
        <v>214</v>
      </c>
      <c r="E14" s="137" t="s">
        <v>203</v>
      </c>
      <c r="F14" s="131" t="s">
        <v>223</v>
      </c>
      <c r="G14" s="138" t="e">
        <f>#REF!</f>
        <v>#REF!</v>
      </c>
      <c r="H14" s="138" t="e">
        <f>#REF!</f>
        <v>#REF!</v>
      </c>
      <c r="I14" s="139" t="e">
        <f>#REF!</f>
        <v>#REF!</v>
      </c>
      <c r="J14" s="140" t="e">
        <f>#REF!</f>
        <v>#REF!</v>
      </c>
      <c r="K14" s="140" t="e">
        <f>#REF!</f>
        <v>#REF!</v>
      </c>
      <c r="L14" s="122"/>
      <c r="M14" s="122"/>
    </row>
    <row r="15" spans="1:13" s="34" customFormat="1" ht="25" x14ac:dyDescent="0.35">
      <c r="B15" s="135" t="s">
        <v>209</v>
      </c>
      <c r="C15" s="136" t="s">
        <v>221</v>
      </c>
      <c r="D15" s="136" t="s">
        <v>216</v>
      </c>
      <c r="E15" s="137" t="s">
        <v>203</v>
      </c>
      <c r="F15" s="137" t="s">
        <v>222</v>
      </c>
      <c r="G15" s="138" t="e">
        <f>#REF!</f>
        <v>#REF!</v>
      </c>
      <c r="H15" s="138" t="e">
        <f>#REF!</f>
        <v>#REF!</v>
      </c>
      <c r="I15" s="139" t="e">
        <f>#REF!</f>
        <v>#REF!</v>
      </c>
      <c r="J15" s="140" t="e">
        <f>#REF!</f>
        <v>#REF!</v>
      </c>
      <c r="K15" s="140" t="e">
        <f>#REF!</f>
        <v>#REF!</v>
      </c>
      <c r="L15" s="122"/>
      <c r="M15" s="122"/>
    </row>
    <row r="16" spans="1:13" s="34" customFormat="1" ht="37.5" x14ac:dyDescent="0.35">
      <c r="B16" s="129" t="s">
        <v>232</v>
      </c>
      <c r="C16" s="130" t="e">
        <f>#REF!</f>
        <v>#REF!</v>
      </c>
      <c r="D16" s="130" t="e">
        <f>#REF!</f>
        <v>#REF!</v>
      </c>
      <c r="E16" s="131" t="s">
        <v>203</v>
      </c>
      <c r="F16" s="131" t="s">
        <v>223</v>
      </c>
      <c r="G16" s="132" t="e">
        <f>#REF!</f>
        <v>#REF!</v>
      </c>
      <c r="H16" s="132" t="e">
        <f>#REF!</f>
        <v>#REF!</v>
      </c>
      <c r="I16" s="133" t="e">
        <f>#REF!</f>
        <v>#REF!</v>
      </c>
      <c r="J16" s="134" t="e">
        <f>#REF!</f>
        <v>#REF!</v>
      </c>
      <c r="K16" s="134" t="e">
        <f>#REF!</f>
        <v>#REF!</v>
      </c>
      <c r="L16" s="122"/>
      <c r="M16" s="122"/>
    </row>
    <row r="17" spans="2:13" s="34" customFormat="1" ht="37.5" x14ac:dyDescent="0.35">
      <c r="B17" s="135" t="s">
        <v>233</v>
      </c>
      <c r="C17" s="136" t="e">
        <f>#REF!</f>
        <v>#REF!</v>
      </c>
      <c r="D17" s="136" t="e">
        <f>#REF!</f>
        <v>#REF!</v>
      </c>
      <c r="E17" s="137" t="s">
        <v>203</v>
      </c>
      <c r="F17" s="137" t="s">
        <v>204</v>
      </c>
      <c r="G17" s="138" t="e">
        <f>#REF!</f>
        <v>#REF!</v>
      </c>
      <c r="H17" s="138" t="e">
        <f>#REF!</f>
        <v>#REF!</v>
      </c>
      <c r="I17" s="139" t="e">
        <f>#REF!</f>
        <v>#REF!</v>
      </c>
      <c r="J17" s="140" t="e">
        <f>#REF!</f>
        <v>#REF!</v>
      </c>
      <c r="K17" s="140" t="e">
        <f>#REF!</f>
        <v>#REF!</v>
      </c>
      <c r="L17" s="122"/>
      <c r="M17" s="122"/>
    </row>
    <row r="18" spans="2:13" s="34" customFormat="1" ht="72" customHeight="1" x14ac:dyDescent="0.35">
      <c r="B18" s="135" t="s">
        <v>234</v>
      </c>
      <c r="C18" s="136" t="e">
        <f>#REF!</f>
        <v>#REF!</v>
      </c>
      <c r="D18" s="136" t="e">
        <f>#REF!</f>
        <v>#REF!</v>
      </c>
      <c r="E18" s="137" t="s">
        <v>203</v>
      </c>
      <c r="F18" s="131" t="s">
        <v>204</v>
      </c>
      <c r="G18" s="138" t="e">
        <f>#REF!</f>
        <v>#REF!</v>
      </c>
      <c r="H18" s="138" t="e">
        <f>#REF!</f>
        <v>#REF!</v>
      </c>
      <c r="I18" s="139" t="e">
        <f>#REF!</f>
        <v>#REF!</v>
      </c>
      <c r="J18" s="140" t="e">
        <f>#REF!</f>
        <v>#REF!</v>
      </c>
      <c r="K18" s="140" t="e">
        <f>#REF!</f>
        <v>#REF!</v>
      </c>
      <c r="L18" s="122"/>
      <c r="M18" s="122"/>
    </row>
    <row r="19" spans="2:13" s="34" customFormat="1" ht="14.5" x14ac:dyDescent="0.35">
      <c r="B19" s="135" t="s">
        <v>258</v>
      </c>
      <c r="C19" s="136" t="str">
        <f>Costs!C1:N1</f>
        <v>C&amp;D Waste Recycling Centers</v>
      </c>
      <c r="D19" s="136" t="e">
        <f>Costs!#REF!</f>
        <v>#REF!</v>
      </c>
      <c r="E19" s="137" t="s">
        <v>203</v>
      </c>
      <c r="F19" s="131" t="s">
        <v>222</v>
      </c>
      <c r="G19" s="138">
        <f>CBA!D22</f>
        <v>45.326215110736051</v>
      </c>
      <c r="H19" s="138">
        <f>CBA!D23</f>
        <v>449.32764345278719</v>
      </c>
      <c r="I19" s="139">
        <f>CBA!E13</f>
        <v>323303122.38211298</v>
      </c>
      <c r="J19" s="140">
        <f>CBA!D25</f>
        <v>0.59114670386462587</v>
      </c>
      <c r="K19" s="140">
        <f>CBA!D24</f>
        <v>9.9131957600042053</v>
      </c>
      <c r="L19" s="122"/>
      <c r="M19" s="122"/>
    </row>
    <row r="20" spans="2:13" s="34" customFormat="1" ht="14.5" x14ac:dyDescent="0.35">
      <c r="B20" s="135" t="s">
        <v>259</v>
      </c>
      <c r="C20" s="136" t="e">
        <f>#REF!</f>
        <v>#REF!</v>
      </c>
      <c r="D20" s="136" t="e">
        <f>#REF!</f>
        <v>#REF!</v>
      </c>
      <c r="E20" s="137" t="s">
        <v>203</v>
      </c>
      <c r="F20" s="131" t="s">
        <v>204</v>
      </c>
      <c r="G20" s="138" t="e">
        <f>#REF!</f>
        <v>#REF!</v>
      </c>
      <c r="H20" s="138" t="e">
        <f>#REF!</f>
        <v>#REF!</v>
      </c>
      <c r="I20" s="139" t="e">
        <f>#REF!</f>
        <v>#REF!</v>
      </c>
      <c r="J20" s="140" t="e">
        <f>#REF!</f>
        <v>#REF!</v>
      </c>
      <c r="K20" s="140" t="e">
        <f>#REF!</f>
        <v>#REF!</v>
      </c>
      <c r="L20" s="122"/>
      <c r="M20" s="122"/>
    </row>
    <row r="25" spans="2:13" x14ac:dyDescent="0.35">
      <c r="G25" s="165"/>
      <c r="H25" s="165"/>
      <c r="I25" s="165"/>
    </row>
  </sheetData>
  <autoFilter ref="B10:K20">
    <sortState ref="B11:K18">
      <sortCondition ref="B10:B18"/>
    </sortState>
  </autoFilter>
  <mergeCells count="2">
    <mergeCell ref="B2:M4"/>
    <mergeCell ref="B7:K8"/>
  </mergeCells>
  <phoneticPr fontId="48" type="noConversion"/>
  <pageMargins left="0.7" right="0.7" top="0.75" bottom="0.75" header="0.3" footer="0.3"/>
  <pageSetup paperSize="9" scale="4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sheetPr>
  <dimension ref="A1:N22"/>
  <sheetViews>
    <sheetView showGridLines="0" zoomScale="85" zoomScaleNormal="85" workbookViewId="0">
      <pane xSplit="3" ySplit="11" topLeftCell="D12" activePane="bottomRight" state="frozen"/>
      <selection pane="topRight" activeCell="D1" sqref="D1"/>
      <selection pane="bottomLeft" activeCell="A12" sqref="A12"/>
      <selection pane="bottomRight" activeCell="J16" sqref="J16"/>
    </sheetView>
  </sheetViews>
  <sheetFormatPr defaultColWidth="10.81640625" defaultRowHeight="12.5" x14ac:dyDescent="0.35"/>
  <cols>
    <col min="1" max="1" width="2.81640625" style="1" customWidth="1"/>
    <col min="2" max="2" width="10.81640625" style="1"/>
    <col min="3" max="3" width="53.81640625" style="1" bestFit="1" customWidth="1"/>
    <col min="4" max="4" width="13.81640625" style="141" customWidth="1"/>
    <col min="5" max="11" width="13.81640625" style="1" customWidth="1"/>
    <col min="12" max="12" width="14.453125" style="1" bestFit="1" customWidth="1"/>
    <col min="13" max="13" width="15.81640625" style="1" bestFit="1" customWidth="1"/>
    <col min="14" max="16384" width="10.81640625" style="1"/>
  </cols>
  <sheetData>
    <row r="1" spans="1:14" x14ac:dyDescent="0.35">
      <c r="A1" s="124"/>
    </row>
    <row r="2" spans="1:14" x14ac:dyDescent="0.35">
      <c r="B2" s="331" t="s">
        <v>242</v>
      </c>
      <c r="C2" s="331"/>
      <c r="D2" s="331"/>
      <c r="E2" s="331"/>
      <c r="F2" s="331"/>
      <c r="G2" s="331"/>
      <c r="H2" s="331"/>
      <c r="I2" s="331"/>
      <c r="J2" s="331"/>
      <c r="K2" s="331"/>
      <c r="L2" s="331"/>
      <c r="M2" s="331"/>
    </row>
    <row r="3" spans="1:14" x14ac:dyDescent="0.35">
      <c r="B3" s="331"/>
      <c r="C3" s="331"/>
      <c r="D3" s="331"/>
      <c r="E3" s="331"/>
      <c r="F3" s="331"/>
      <c r="G3" s="331"/>
      <c r="H3" s="331"/>
      <c r="I3" s="331"/>
      <c r="J3" s="331"/>
      <c r="K3" s="331"/>
      <c r="L3" s="331"/>
      <c r="M3" s="331"/>
    </row>
    <row r="4" spans="1:14" x14ac:dyDescent="0.35">
      <c r="B4" s="331"/>
      <c r="C4" s="331"/>
      <c r="D4" s="331"/>
      <c r="E4" s="331"/>
      <c r="F4" s="331"/>
      <c r="G4" s="331"/>
      <c r="H4" s="331"/>
      <c r="I4" s="331"/>
      <c r="J4" s="331"/>
      <c r="K4" s="331"/>
      <c r="L4" s="331"/>
      <c r="M4" s="331"/>
    </row>
    <row r="7" spans="1:14" x14ac:dyDescent="0.35">
      <c r="B7" s="332" t="s">
        <v>244</v>
      </c>
      <c r="C7" s="333"/>
      <c r="D7" s="333"/>
      <c r="E7" s="333"/>
      <c r="F7" s="333"/>
      <c r="G7" s="333"/>
      <c r="H7" s="333"/>
      <c r="I7" s="333"/>
      <c r="J7" s="333"/>
      <c r="K7" s="334"/>
    </row>
    <row r="8" spans="1:14" x14ac:dyDescent="0.35">
      <c r="B8" s="335"/>
      <c r="C8" s="336"/>
      <c r="D8" s="336"/>
      <c r="E8" s="336"/>
      <c r="F8" s="336"/>
      <c r="G8" s="336"/>
      <c r="H8" s="336"/>
      <c r="I8" s="336"/>
      <c r="J8" s="336"/>
      <c r="K8" s="337"/>
    </row>
    <row r="9" spans="1:14" x14ac:dyDescent="0.35">
      <c r="B9" s="143"/>
      <c r="C9" s="143"/>
      <c r="D9" s="143"/>
      <c r="E9" s="143"/>
      <c r="F9" s="143"/>
      <c r="G9" s="143"/>
      <c r="H9" s="143"/>
      <c r="I9" s="143"/>
      <c r="J9" s="143"/>
      <c r="K9" s="143"/>
    </row>
    <row r="10" spans="1:14" ht="15" x14ac:dyDescent="0.35">
      <c r="D10" s="338" t="s">
        <v>235</v>
      </c>
      <c r="E10" s="338"/>
      <c r="F10" s="338"/>
      <c r="G10" s="338"/>
      <c r="H10" s="145" t="s">
        <v>238</v>
      </c>
      <c r="I10" s="338" t="s">
        <v>191</v>
      </c>
      <c r="J10" s="338"/>
      <c r="K10" s="339"/>
    </row>
    <row r="11" spans="1:14" s="35" customFormat="1" ht="50" x14ac:dyDescent="0.35">
      <c r="B11" s="146" t="s">
        <v>195</v>
      </c>
      <c r="C11" s="147" t="s">
        <v>0</v>
      </c>
      <c r="D11" s="147" t="s">
        <v>251</v>
      </c>
      <c r="E11" s="147" t="s">
        <v>236</v>
      </c>
      <c r="F11" s="147" t="s">
        <v>237</v>
      </c>
      <c r="G11" s="147" t="s">
        <v>252</v>
      </c>
      <c r="H11" s="147" t="s">
        <v>239</v>
      </c>
      <c r="I11" s="147" t="s">
        <v>240</v>
      </c>
      <c r="J11" s="147" t="s">
        <v>192</v>
      </c>
      <c r="K11" s="147" t="s">
        <v>241</v>
      </c>
      <c r="L11" s="144"/>
      <c r="M11" s="340" t="s">
        <v>250</v>
      </c>
      <c r="N11" s="341"/>
    </row>
    <row r="12" spans="1:14" s="34" customFormat="1" ht="14.5" x14ac:dyDescent="0.35">
      <c r="A12" s="1"/>
      <c r="B12" s="129" t="s">
        <v>206</v>
      </c>
      <c r="C12" s="130" t="s">
        <v>218</v>
      </c>
      <c r="D12" s="155" t="e">
        <f>#REF!</f>
        <v>#REF!</v>
      </c>
      <c r="E12" s="148" t="e">
        <f>#REF!</f>
        <v>#REF!</v>
      </c>
      <c r="F12" s="148" t="e">
        <f>#REF!</f>
        <v>#REF!</v>
      </c>
      <c r="G12" s="157" t="e">
        <f>#REF!</f>
        <v>#REF!</v>
      </c>
      <c r="H12" s="149" t="e">
        <f>#REF!</f>
        <v>#REF!</v>
      </c>
      <c r="I12" s="150" t="e">
        <f>#REF!</f>
        <v>#REF!</v>
      </c>
      <c r="J12" s="149" t="e">
        <f>#REF!</f>
        <v>#REF!</v>
      </c>
      <c r="K12" s="149" t="e">
        <f>#REF!</f>
        <v>#REF!</v>
      </c>
      <c r="L12" s="122"/>
      <c r="M12" s="154" t="s">
        <v>245</v>
      </c>
      <c r="N12" s="154">
        <v>5</v>
      </c>
    </row>
    <row r="13" spans="1:14" ht="37.5" x14ac:dyDescent="0.35">
      <c r="A13" s="34"/>
      <c r="B13" s="129" t="s">
        <v>232</v>
      </c>
      <c r="C13" s="130" t="e">
        <f>#REF!</f>
        <v>#REF!</v>
      </c>
      <c r="D13" s="155" t="e">
        <f>#REF!</f>
        <v>#REF!</v>
      </c>
      <c r="E13" s="196" t="e">
        <f>#REF!</f>
        <v>#REF!</v>
      </c>
      <c r="F13" s="155" t="e">
        <f>#REF!</f>
        <v>#REF!</v>
      </c>
      <c r="G13" s="197" t="e">
        <f>#REF!</f>
        <v>#REF!</v>
      </c>
      <c r="H13" s="149" t="e">
        <f>#REF!</f>
        <v>#REF!</v>
      </c>
      <c r="I13" s="198" t="e">
        <f>#REF!</f>
        <v>#REF!</v>
      </c>
      <c r="J13" s="199" t="e">
        <f>#REF!</f>
        <v>#REF!</v>
      </c>
      <c r="K13" s="199" t="e">
        <f>#REF!</f>
        <v>#REF!</v>
      </c>
      <c r="L13" s="122"/>
      <c r="M13" s="154" t="s">
        <v>246</v>
      </c>
      <c r="N13" s="154">
        <v>4</v>
      </c>
    </row>
    <row r="14" spans="1:14" ht="14.5" x14ac:dyDescent="0.35">
      <c r="B14" s="135" t="s">
        <v>208</v>
      </c>
      <c r="C14" s="136" t="s">
        <v>220</v>
      </c>
      <c r="D14" s="156" t="e">
        <f>#REF!</f>
        <v>#REF!</v>
      </c>
      <c r="E14" s="151" t="e">
        <f>#REF!</f>
        <v>#REF!</v>
      </c>
      <c r="F14" s="151" t="e">
        <f>#REF!</f>
        <v>#REF!</v>
      </c>
      <c r="G14" s="158" t="e">
        <f>#REF!</f>
        <v>#REF!</v>
      </c>
      <c r="H14" s="152" t="e">
        <f>#REF!</f>
        <v>#REF!</v>
      </c>
      <c r="I14" s="153" t="e">
        <f>#REF!</f>
        <v>#REF!</v>
      </c>
      <c r="J14" s="152" t="e">
        <f>#REF!</f>
        <v>#REF!</v>
      </c>
      <c r="K14" s="152" t="e">
        <f>#REF!</f>
        <v>#REF!</v>
      </c>
      <c r="L14" s="122"/>
      <c r="M14" s="154" t="s">
        <v>247</v>
      </c>
      <c r="N14" s="154">
        <v>3</v>
      </c>
    </row>
    <row r="15" spans="1:14" ht="14.5" x14ac:dyDescent="0.35">
      <c r="A15" s="34"/>
      <c r="B15" s="129" t="s">
        <v>234</v>
      </c>
      <c r="C15" s="130" t="str">
        <f>Costs!C1:N1</f>
        <v>C&amp;D Waste Recycling Centers</v>
      </c>
      <c r="D15" s="155" t="e">
        <f>#REF!</f>
        <v>#REF!</v>
      </c>
      <c r="E15" s="196" t="e">
        <f>#REF!</f>
        <v>#REF!</v>
      </c>
      <c r="F15" s="155" t="e">
        <f>#REF!</f>
        <v>#REF!</v>
      </c>
      <c r="G15" s="157" t="e">
        <f>#REF!</f>
        <v>#REF!</v>
      </c>
      <c r="H15" s="157" t="e">
        <f>#REF!</f>
        <v>#REF!</v>
      </c>
      <c r="I15" s="198" t="e">
        <f>#REF!</f>
        <v>#REF!</v>
      </c>
      <c r="J15" s="199" t="e">
        <f>#REF!</f>
        <v>#REF!</v>
      </c>
      <c r="K15" s="199" t="e">
        <f>#REF!</f>
        <v>#REF!</v>
      </c>
      <c r="L15" s="122"/>
      <c r="M15" s="154" t="s">
        <v>248</v>
      </c>
      <c r="N15" s="154">
        <v>2</v>
      </c>
    </row>
    <row r="16" spans="1:14" s="34" customFormat="1" ht="14.5" x14ac:dyDescent="0.35">
      <c r="B16" s="135" t="s">
        <v>205</v>
      </c>
      <c r="C16" s="136" t="s">
        <v>217</v>
      </c>
      <c r="D16" s="156" t="e">
        <f>#REF!</f>
        <v>#REF!</v>
      </c>
      <c r="E16" s="156" t="e">
        <f>#REF!</f>
        <v>#REF!</v>
      </c>
      <c r="F16" s="156" t="e">
        <f>#REF!</f>
        <v>#REF!</v>
      </c>
      <c r="G16" s="158" t="e">
        <f>#REF!</f>
        <v>#REF!</v>
      </c>
      <c r="H16" s="152" t="e">
        <f>#REF!</f>
        <v>#REF!</v>
      </c>
      <c r="I16" s="161" t="e">
        <f>#REF!</f>
        <v>#REF!</v>
      </c>
      <c r="J16" s="158" t="e">
        <f>#REF!</f>
        <v>#REF!</v>
      </c>
      <c r="K16" s="158" t="e">
        <f>#REF!</f>
        <v>#REF!</v>
      </c>
      <c r="L16" s="122"/>
      <c r="M16" s="154" t="s">
        <v>249</v>
      </c>
      <c r="N16" s="154">
        <v>1</v>
      </c>
    </row>
    <row r="17" spans="1:13" s="34" customFormat="1" ht="25" x14ac:dyDescent="0.35">
      <c r="A17" s="1"/>
      <c r="B17" s="135" t="s">
        <v>207</v>
      </c>
      <c r="C17" s="136" t="s">
        <v>219</v>
      </c>
      <c r="D17" s="156" t="e">
        <f>#REF!</f>
        <v>#REF!</v>
      </c>
      <c r="E17" s="151" t="e">
        <f>#REF!</f>
        <v>#REF!</v>
      </c>
      <c r="F17" s="151" t="e">
        <f>#REF!</f>
        <v>#REF!</v>
      </c>
      <c r="G17" s="158" t="e">
        <f>#REF!</f>
        <v>#REF!</v>
      </c>
      <c r="H17" s="152" t="e">
        <f>#REF!</f>
        <v>#REF!</v>
      </c>
      <c r="I17" s="153" t="e">
        <f>#REF!</f>
        <v>#REF!</v>
      </c>
      <c r="J17" s="152" t="e">
        <f>#REF!</f>
        <v>#REF!</v>
      </c>
      <c r="K17" s="152" t="e">
        <f>#REF!</f>
        <v>#REF!</v>
      </c>
      <c r="L17" s="122"/>
      <c r="M17" s="122"/>
    </row>
    <row r="18" spans="1:13" s="34" customFormat="1" ht="14.5" x14ac:dyDescent="0.35">
      <c r="B18" s="135" t="s">
        <v>209</v>
      </c>
      <c r="C18" s="136" t="s">
        <v>221</v>
      </c>
      <c r="D18" s="156" t="e">
        <f>#REF!</f>
        <v>#REF!</v>
      </c>
      <c r="E18" s="151" t="e">
        <f>#REF!</f>
        <v>#REF!</v>
      </c>
      <c r="F18" s="155" t="e">
        <f>#REF!</f>
        <v>#REF!</v>
      </c>
      <c r="G18" s="158" t="e">
        <f>#REF!</f>
        <v>#REF!</v>
      </c>
      <c r="H18" s="152" t="e">
        <f>#REF!</f>
        <v>#REF!</v>
      </c>
      <c r="I18" s="161" t="e">
        <f>#REF!</f>
        <v>#REF!</v>
      </c>
      <c r="J18" s="158" t="e">
        <f>#REF!</f>
        <v>#REF!</v>
      </c>
      <c r="K18" s="158" t="e">
        <f>#REF!</f>
        <v>#REF!</v>
      </c>
      <c r="L18" s="122"/>
      <c r="M18" s="122"/>
    </row>
    <row r="19" spans="1:13" s="34" customFormat="1" ht="25" x14ac:dyDescent="0.35">
      <c r="B19" s="135" t="s">
        <v>233</v>
      </c>
      <c r="C19" s="136" t="e">
        <f>#REF!</f>
        <v>#REF!</v>
      </c>
      <c r="D19" s="156" t="e">
        <f>#REF!</f>
        <v>#REF!</v>
      </c>
      <c r="E19" s="160" t="e">
        <f>#REF!</f>
        <v>#REF!</v>
      </c>
      <c r="F19" s="155" t="e">
        <f>#REF!</f>
        <v>#REF!</v>
      </c>
      <c r="G19" s="158" t="e">
        <f>#REF!</f>
        <v>#REF!</v>
      </c>
      <c r="H19" s="152" t="e">
        <f>#REF!</f>
        <v>#REF!</v>
      </c>
      <c r="I19" s="162" t="e">
        <f>#REF!</f>
        <v>#REF!</v>
      </c>
      <c r="J19" s="163" t="e">
        <f>#REF!</f>
        <v>#REF!</v>
      </c>
      <c r="K19" s="163" t="e">
        <f>#REF!</f>
        <v>#REF!</v>
      </c>
      <c r="L19" s="122"/>
      <c r="M19" s="122"/>
    </row>
    <row r="20" spans="1:13" s="34" customFormat="1" ht="14.5" x14ac:dyDescent="0.35">
      <c r="B20" s="135" t="s">
        <v>258</v>
      </c>
      <c r="C20" s="136" t="str">
        <f>Costs!C1:N1</f>
        <v>C&amp;D Waste Recycling Centers</v>
      </c>
      <c r="D20" s="156" t="e">
        <f>Costs!#REF!</f>
        <v>#REF!</v>
      </c>
      <c r="E20" s="156" t="e">
        <f>Costs!#REF!</f>
        <v>#REF!</v>
      </c>
      <c r="F20" s="148" t="e">
        <f>Costs!#REF!</f>
        <v>#REF!</v>
      </c>
      <c r="G20" s="158" t="e">
        <f>Costs!#REF!</f>
        <v>#REF!</v>
      </c>
      <c r="H20" s="152" t="e">
        <f>Costs!#REF!</f>
        <v>#REF!</v>
      </c>
      <c r="I20" s="161" t="e">
        <f>Costs!#REF!</f>
        <v>#REF!</v>
      </c>
      <c r="J20" s="158" t="e">
        <f>Costs!#REF!</f>
        <v>#REF!</v>
      </c>
      <c r="K20" s="158" t="e">
        <f>Costs!#REF!</f>
        <v>#REF!</v>
      </c>
      <c r="L20" s="122"/>
      <c r="M20" s="122"/>
    </row>
    <row r="21" spans="1:13" s="34" customFormat="1" ht="25" x14ac:dyDescent="0.35">
      <c r="B21" s="135" t="s">
        <v>259</v>
      </c>
      <c r="C21" s="136" t="e">
        <f>#REF!</f>
        <v>#REF!</v>
      </c>
      <c r="D21" s="156" t="e">
        <f>#REF!</f>
        <v>#REF!</v>
      </c>
      <c r="E21" s="156" t="e">
        <f>#REF!</f>
        <v>#REF!</v>
      </c>
      <c r="F21" s="148" t="e">
        <f>#REF!</f>
        <v>#REF!</v>
      </c>
      <c r="G21" s="158" t="e">
        <f>#REF!</f>
        <v>#REF!</v>
      </c>
      <c r="H21" s="152" t="e">
        <f>#REF!</f>
        <v>#REF!</v>
      </c>
      <c r="I21" s="161" t="e">
        <f>#REF!</f>
        <v>#REF!</v>
      </c>
      <c r="J21" s="158" t="e">
        <f>#REF!</f>
        <v>#REF!</v>
      </c>
      <c r="K21" s="158" t="e">
        <f>#REF!</f>
        <v>#REF!</v>
      </c>
      <c r="L21" s="122"/>
      <c r="M21" s="122"/>
    </row>
    <row r="22" spans="1:13" ht="14.5" x14ac:dyDescent="0.35">
      <c r="B22" s="125"/>
      <c r="C22" s="123"/>
      <c r="D22" s="142"/>
      <c r="E22" s="123"/>
      <c r="F22" s="123"/>
      <c r="G22" s="126"/>
      <c r="H22" s="126"/>
      <c r="I22" s="127"/>
      <c r="J22" s="128"/>
      <c r="K22" s="128"/>
      <c r="L22" s="122"/>
      <c r="M22" s="122"/>
    </row>
  </sheetData>
  <autoFilter ref="A11:K11">
    <sortState ref="A12:K21">
      <sortCondition descending="1" ref="J11"/>
    </sortState>
  </autoFilter>
  <mergeCells count="5">
    <mergeCell ref="B2:M4"/>
    <mergeCell ref="B7:K8"/>
    <mergeCell ref="D10:G10"/>
    <mergeCell ref="I10:K10"/>
    <mergeCell ref="M11:N11"/>
  </mergeCells>
  <pageMargins left="0.7" right="0.7" top="0.75" bottom="0.75" header="0.3" footer="0.3"/>
  <pageSetup paperSize="9" scale="4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23"/>
  <sheetViews>
    <sheetView workbookViewId="0">
      <selection activeCell="E13" sqref="C13:E23"/>
    </sheetView>
  </sheetViews>
  <sheetFormatPr defaultColWidth="10.90625" defaultRowHeight="14.5" x14ac:dyDescent="0.35"/>
  <cols>
    <col min="2" max="2" width="110.453125" bestFit="1" customWidth="1"/>
  </cols>
  <sheetData>
    <row r="1" spans="1:5" x14ac:dyDescent="0.35">
      <c r="A1" t="s">
        <v>205</v>
      </c>
      <c r="B1" t="s">
        <v>217</v>
      </c>
    </row>
    <row r="2" spans="1:5" x14ac:dyDescent="0.35">
      <c r="A2" t="s">
        <v>206</v>
      </c>
      <c r="B2" t="s">
        <v>218</v>
      </c>
      <c r="C2" t="str">
        <f>CONCATENATE(A1,"-",B1)</f>
        <v>KZA 1-Building Waste Audit</v>
      </c>
    </row>
    <row r="3" spans="1:5" x14ac:dyDescent="0.35">
      <c r="A3" t="s">
        <v>207</v>
      </c>
      <c r="B3" t="s">
        <v>219</v>
      </c>
      <c r="C3" s="122" t="str">
        <f t="shared" ref="C3:C10" si="0">CONCATENATE(A2,"-",B2)</f>
        <v>KZA 2-Kazakh’s Circular Economy Certification System</v>
      </c>
    </row>
    <row r="4" spans="1:5" x14ac:dyDescent="0.35">
      <c r="A4" t="s">
        <v>208</v>
      </c>
      <c r="B4" t="s">
        <v>220</v>
      </c>
      <c r="C4" s="122" t="str">
        <f t="shared" si="0"/>
        <v>KZA 3-KZ Construction and Demolition Waste Management Protocol</v>
      </c>
    </row>
    <row r="5" spans="1:5" x14ac:dyDescent="0.35">
      <c r="A5" t="s">
        <v>209</v>
      </c>
      <c r="B5" t="s">
        <v>221</v>
      </c>
      <c r="C5" s="122" t="str">
        <f t="shared" si="0"/>
        <v>KZA 4-Assessing the use of fly ash from KZ combustion sector</v>
      </c>
    </row>
    <row r="6" spans="1:5" x14ac:dyDescent="0.35">
      <c r="A6" t="s">
        <v>232</v>
      </c>
      <c r="B6" t="s">
        <v>224</v>
      </c>
      <c r="C6" s="122" t="str">
        <f t="shared" si="0"/>
        <v>KZA 5-Renovation projects for the old soviet time building stocks</v>
      </c>
    </row>
    <row r="7" spans="1:5" x14ac:dyDescent="0.35">
      <c r="A7" t="s">
        <v>233</v>
      </c>
      <c r="B7" t="s">
        <v>225</v>
      </c>
      <c r="C7" s="122" t="str">
        <f t="shared" si="0"/>
        <v>KZA 6-Integration of BIM-into residential  construction design, management, and C&amp;DW management within a circular economy</v>
      </c>
    </row>
    <row r="8" spans="1:5" x14ac:dyDescent="0.35">
      <c r="A8" t="s">
        <v>234</v>
      </c>
      <c r="B8" t="s">
        <v>260</v>
      </c>
      <c r="C8" s="122" t="str">
        <f t="shared" si="0"/>
        <v>KZA 7-A National Industrial Symbiosis portal for stakeholders at all levels of the construction and demolition value chain</v>
      </c>
    </row>
    <row r="9" spans="1:5" x14ac:dyDescent="0.35">
      <c r="A9" t="s">
        <v>258</v>
      </c>
      <c r="B9" t="s">
        <v>260</v>
      </c>
      <c r="C9" s="122" t="str">
        <f t="shared" si="0"/>
        <v>KZA 8-C&amp;D Waste Recycling Centers</v>
      </c>
    </row>
    <row r="10" spans="1:5" x14ac:dyDescent="0.35">
      <c r="A10" t="s">
        <v>259</v>
      </c>
      <c r="B10" t="s">
        <v>262</v>
      </c>
      <c r="C10" s="122" t="str">
        <f t="shared" si="0"/>
        <v>KZA 9-C&amp;D Waste Recycling Centers</v>
      </c>
    </row>
    <row r="13" spans="1:5" ht="43.5" x14ac:dyDescent="0.35">
      <c r="C13" s="144" t="s">
        <v>279</v>
      </c>
      <c r="D13" s="144" t="s">
        <v>239</v>
      </c>
      <c r="E13" s="144" t="s">
        <v>191</v>
      </c>
    </row>
    <row r="14" spans="1:5" x14ac:dyDescent="0.35">
      <c r="C14" s="129" t="s">
        <v>259</v>
      </c>
      <c r="D14" s="129" t="s">
        <v>233</v>
      </c>
      <c r="E14" s="129" t="s">
        <v>205</v>
      </c>
    </row>
    <row r="15" spans="1:5" x14ac:dyDescent="0.35">
      <c r="C15" s="129" t="s">
        <v>209</v>
      </c>
      <c r="D15" s="129" t="s">
        <v>258</v>
      </c>
      <c r="E15" s="129" t="s">
        <v>209</v>
      </c>
    </row>
    <row r="16" spans="1:5" x14ac:dyDescent="0.35">
      <c r="C16" s="135" t="s">
        <v>205</v>
      </c>
      <c r="D16" s="135" t="s">
        <v>208</v>
      </c>
      <c r="E16" s="135" t="s">
        <v>232</v>
      </c>
    </row>
    <row r="17" spans="3:5" x14ac:dyDescent="0.35">
      <c r="C17" s="135" t="s">
        <v>232</v>
      </c>
      <c r="D17" s="135" t="s">
        <v>209</v>
      </c>
      <c r="E17" s="135" t="s">
        <v>234</v>
      </c>
    </row>
    <row r="18" spans="3:5" x14ac:dyDescent="0.35">
      <c r="C18" s="135" t="s">
        <v>206</v>
      </c>
      <c r="D18" s="135" t="s">
        <v>205</v>
      </c>
      <c r="E18" s="135" t="s">
        <v>206</v>
      </c>
    </row>
    <row r="19" spans="3:5" x14ac:dyDescent="0.35">
      <c r="C19" s="129" t="s">
        <v>258</v>
      </c>
      <c r="D19" s="129" t="s">
        <v>232</v>
      </c>
      <c r="E19" s="129" t="s">
        <v>233</v>
      </c>
    </row>
    <row r="20" spans="3:5" x14ac:dyDescent="0.35">
      <c r="C20" s="129" t="s">
        <v>233</v>
      </c>
      <c r="D20" s="129" t="s">
        <v>206</v>
      </c>
      <c r="E20" s="129" t="s">
        <v>259</v>
      </c>
    </row>
    <row r="21" spans="3:5" x14ac:dyDescent="0.35">
      <c r="C21" s="129" t="s">
        <v>207</v>
      </c>
      <c r="D21" s="129" t="s">
        <v>234</v>
      </c>
      <c r="E21" s="129" t="s">
        <v>208</v>
      </c>
    </row>
    <row r="22" spans="3:5" x14ac:dyDescent="0.35">
      <c r="C22" s="129" t="s">
        <v>234</v>
      </c>
      <c r="D22" s="129" t="s">
        <v>259</v>
      </c>
      <c r="E22" s="129" t="s">
        <v>207</v>
      </c>
    </row>
    <row r="23" spans="3:5" x14ac:dyDescent="0.35">
      <c r="C23" s="129" t="s">
        <v>208</v>
      </c>
      <c r="D23" s="129" t="s">
        <v>207</v>
      </c>
      <c r="E23" s="129" t="s">
        <v>258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sheetPr>
  <dimension ref="T1:AG12"/>
  <sheetViews>
    <sheetView topLeftCell="E1" zoomScaleNormal="100" workbookViewId="0">
      <selection activeCell="T3" sqref="T3:T12"/>
    </sheetView>
  </sheetViews>
  <sheetFormatPr defaultColWidth="8.7265625" defaultRowHeight="14.5" x14ac:dyDescent="0.35"/>
  <cols>
    <col min="2" max="2" width="16.7265625" bestFit="1" customWidth="1"/>
    <col min="3" max="3" width="18.54296875" bestFit="1" customWidth="1"/>
    <col min="4" max="4" width="6.1796875" bestFit="1" customWidth="1"/>
    <col min="5" max="5" width="15.7265625" bestFit="1" customWidth="1"/>
    <col min="28" max="28" width="10.54296875" bestFit="1" customWidth="1"/>
  </cols>
  <sheetData>
    <row r="1" spans="20:33" ht="15" x14ac:dyDescent="0.35">
      <c r="Z1" s="338" t="s">
        <v>235</v>
      </c>
      <c r="AA1" s="338"/>
      <c r="AB1" s="338"/>
      <c r="AC1" s="338"/>
      <c r="AD1" s="159" t="s">
        <v>238</v>
      </c>
      <c r="AE1" s="338" t="s">
        <v>191</v>
      </c>
      <c r="AF1" s="338"/>
      <c r="AG1" s="339"/>
    </row>
    <row r="2" spans="20:33" ht="36" customHeight="1" x14ac:dyDescent="0.35">
      <c r="T2" s="147" t="s">
        <v>253</v>
      </c>
      <c r="U2" s="147" t="s">
        <v>235</v>
      </c>
      <c r="V2" s="147" t="s">
        <v>238</v>
      </c>
      <c r="W2" s="147" t="s">
        <v>191</v>
      </c>
      <c r="X2" s="147" t="s">
        <v>202</v>
      </c>
      <c r="Z2" s="147" t="s">
        <v>251</v>
      </c>
      <c r="AA2" s="147" t="s">
        <v>236</v>
      </c>
      <c r="AB2" s="147" t="s">
        <v>237</v>
      </c>
      <c r="AC2" s="147" t="s">
        <v>252</v>
      </c>
      <c r="AD2" s="147" t="s">
        <v>239</v>
      </c>
      <c r="AE2" s="147" t="s">
        <v>240</v>
      </c>
      <c r="AF2" s="147" t="s">
        <v>192</v>
      </c>
      <c r="AG2" s="147" t="s">
        <v>241</v>
      </c>
    </row>
    <row r="3" spans="20:33" x14ac:dyDescent="0.35">
      <c r="T3" s="129" t="s">
        <v>205</v>
      </c>
      <c r="U3" s="134" t="e">
        <f t="shared" ref="U3:U12" si="0">AVERAGE(Z3:AC3)</f>
        <v>#REF!</v>
      </c>
      <c r="V3" s="134" t="e">
        <f t="shared" ref="V3:V12" si="1">AD3</f>
        <v>#REF!</v>
      </c>
      <c r="W3" s="134" t="e">
        <f t="shared" ref="W3:W12" si="2">AVERAGE(AE3:AG3)</f>
        <v>#REF!</v>
      </c>
      <c r="X3" s="134" t="e">
        <f>'Overview-COST BENEFIT'!K11</f>
        <v>#REF!</v>
      </c>
      <c r="Z3" s="155" t="e">
        <f>IF('Overview-CO-BENEFITS'!D12="Very high",5,IF('Overview-CO-BENEFITS'!D12="High",4,IF('Overview-CO-BENEFITS'!D12="Moderate",3,IF('Overview-CO-BENEFITS'!D12="Low",2,1))))</f>
        <v>#REF!</v>
      </c>
      <c r="AA3" s="155" t="e">
        <f>IF('Overview-CO-BENEFITS'!E12="Very high",5,IF('Overview-CO-BENEFITS'!E12="High",4,IF('Overview-CO-BENEFITS'!E12="Moderate",3,IF('Overview-CO-BENEFITS'!E12="Low",2,1))))</f>
        <v>#REF!</v>
      </c>
      <c r="AB3" s="155" t="e">
        <f>IF('Overview-CO-BENEFITS'!F12="Very high",5,IF('Overview-CO-BENEFITS'!F12="High",4,IF('Overview-CO-BENEFITS'!F12="Moderate",3,IF('Overview-CO-BENEFITS'!F12="Low",2,1))))</f>
        <v>#REF!</v>
      </c>
      <c r="AC3" s="155" t="e">
        <f>IF('Overview-CO-BENEFITS'!G12="Very high",5,IF('Overview-CO-BENEFITS'!G12="High",4,IF('Overview-CO-BENEFITS'!G12="Moderate",3,IF('Overview-CO-BENEFITS'!G12="Low",2,1))))</f>
        <v>#REF!</v>
      </c>
      <c r="AD3" s="155" t="e">
        <f>IF('Overview-CO-BENEFITS'!H12="Very high",5,IF('Overview-CO-BENEFITS'!H12="High",4,IF('Overview-CO-BENEFITS'!H12="Moderate",3,IF('Overview-CO-BENEFITS'!H12="Low",2,1))))</f>
        <v>#REF!</v>
      </c>
      <c r="AE3" s="155" t="e">
        <f>IF('Overview-CO-BENEFITS'!I12="Very high",5,IF('Overview-CO-BENEFITS'!I12="High",4,IF('Overview-CO-BENEFITS'!I12="Moderate",3,IF('Overview-CO-BENEFITS'!I12="Low",2,1))))</f>
        <v>#REF!</v>
      </c>
      <c r="AF3" s="155" t="e">
        <f>IF('Overview-CO-BENEFITS'!J12="Very high",5,IF('Overview-CO-BENEFITS'!J12="High",4,IF('Overview-CO-BENEFITS'!J12="Moderate",3,IF('Overview-CO-BENEFITS'!J12="Low",2,1))))</f>
        <v>#REF!</v>
      </c>
      <c r="AG3" s="155" t="e">
        <f>IF('Overview-CO-BENEFITS'!K12="Very high",5,IF('Overview-CO-BENEFITS'!K12="High",4,IF('Overview-CO-BENEFITS'!K12="Moderate",3,IF('Overview-CO-BENEFITS'!K12="Low",2,1))))</f>
        <v>#REF!</v>
      </c>
    </row>
    <row r="4" spans="20:33" x14ac:dyDescent="0.35">
      <c r="T4" s="129" t="s">
        <v>209</v>
      </c>
      <c r="U4" s="134" t="e">
        <f t="shared" si="0"/>
        <v>#REF!</v>
      </c>
      <c r="V4" s="134" t="e">
        <f t="shared" si="1"/>
        <v>#REF!</v>
      </c>
      <c r="W4" s="134" t="e">
        <f t="shared" si="2"/>
        <v>#REF!</v>
      </c>
      <c r="X4" s="134" t="e">
        <f>'Overview-COST BENEFIT'!K15</f>
        <v>#REF!</v>
      </c>
      <c r="Z4" s="155" t="e">
        <f>IF('Overview-CO-BENEFITS'!D16="Very high",5,IF('Overview-CO-BENEFITS'!D16="High",4,IF('Overview-CO-BENEFITS'!D16="Moderate",3,IF('Overview-CO-BENEFITS'!D16="Low",2,1))))</f>
        <v>#REF!</v>
      </c>
      <c r="AA4" s="155" t="e">
        <f>IF('Overview-CO-BENEFITS'!E16="Very high",5,IF('Overview-CO-BENEFITS'!E16="High",4,IF('Overview-CO-BENEFITS'!E16="Moderate",3,IF('Overview-CO-BENEFITS'!E16="Low",2,1))))</f>
        <v>#REF!</v>
      </c>
      <c r="AB4" s="155" t="e">
        <f>IF('Overview-CO-BENEFITS'!F16="Very high",5,IF('Overview-CO-BENEFITS'!F16="High",4,IF('Overview-CO-BENEFITS'!F16="Moderate",3,IF('Overview-CO-BENEFITS'!F16="Low",2,1))))</f>
        <v>#REF!</v>
      </c>
      <c r="AC4" s="155" t="e">
        <f>IF('Overview-CO-BENEFITS'!G16="Very high",5,IF('Overview-CO-BENEFITS'!G16="High",4,IF('Overview-CO-BENEFITS'!G16="Moderate",3,IF('Overview-CO-BENEFITS'!G16="Low",2,1))))</f>
        <v>#REF!</v>
      </c>
      <c r="AD4" s="155" t="e">
        <f>IF('Overview-CO-BENEFITS'!H16="Very high",5,IF('Overview-CO-BENEFITS'!H16="High",4,IF('Overview-CO-BENEFITS'!H16="Moderate",3,IF('Overview-CO-BENEFITS'!H16="Low",2,1))))</f>
        <v>#REF!</v>
      </c>
      <c r="AE4" s="155" t="e">
        <f>IF('Overview-CO-BENEFITS'!I16="Very high",5,IF('Overview-CO-BENEFITS'!I16="High",4,IF('Overview-CO-BENEFITS'!I16="Moderate",3,IF('Overview-CO-BENEFITS'!I16="Low",2,1))))</f>
        <v>#REF!</v>
      </c>
      <c r="AF4" s="155" t="e">
        <f>IF('Overview-CO-BENEFITS'!J16="Very high",5,IF('Overview-CO-BENEFITS'!J16="High",4,IF('Overview-CO-BENEFITS'!J16="Moderate",3,IF('Overview-CO-BENEFITS'!J16="Low",2,1))))</f>
        <v>#REF!</v>
      </c>
      <c r="AG4" s="155" t="e">
        <f>IF('Overview-CO-BENEFITS'!K16="Very high",5,IF('Overview-CO-BENEFITS'!K16="High",4,IF('Overview-CO-BENEFITS'!K16="Moderate",3,IF('Overview-CO-BENEFITS'!K16="Low",2,1))))</f>
        <v>#REF!</v>
      </c>
    </row>
    <row r="5" spans="20:33" x14ac:dyDescent="0.35">
      <c r="T5" s="135" t="s">
        <v>232</v>
      </c>
      <c r="U5" s="134" t="e">
        <f t="shared" si="0"/>
        <v>#REF!</v>
      </c>
      <c r="V5" s="134" t="e">
        <f t="shared" si="1"/>
        <v>#REF!</v>
      </c>
      <c r="W5" s="134" t="e">
        <f t="shared" si="2"/>
        <v>#REF!</v>
      </c>
      <c r="X5" s="134" t="e">
        <f>'Overview-COST BENEFIT'!K16</f>
        <v>#REF!</v>
      </c>
      <c r="Z5" s="155" t="e">
        <f>IF('Overview-CO-BENEFITS'!D17="Very high",5,IF('Overview-CO-BENEFITS'!D17="High",4,IF('Overview-CO-BENEFITS'!D17="Moderate",3,IF('Overview-CO-BENEFITS'!D17="Low",2,1))))</f>
        <v>#REF!</v>
      </c>
      <c r="AA5" s="155" t="e">
        <f>IF('Overview-CO-BENEFITS'!E17="Very high",5,IF('Overview-CO-BENEFITS'!E17="High",4,IF('Overview-CO-BENEFITS'!E17="Moderate",3,IF('Overview-CO-BENEFITS'!E17="Low",2,1))))</f>
        <v>#REF!</v>
      </c>
      <c r="AB5" s="155" t="e">
        <f>IF('Overview-CO-BENEFITS'!F17="Very high",5,IF('Overview-CO-BENEFITS'!F17="High",4,IF('Overview-CO-BENEFITS'!F17="Moderate",3,IF('Overview-CO-BENEFITS'!F17="Low",2,1))))</f>
        <v>#REF!</v>
      </c>
      <c r="AC5" s="155" t="e">
        <f>IF('Overview-CO-BENEFITS'!G17="Very high",5,IF('Overview-CO-BENEFITS'!G17="High",4,IF('Overview-CO-BENEFITS'!G17="Moderate",3,IF('Overview-CO-BENEFITS'!G17="Low",2,1))))</f>
        <v>#REF!</v>
      </c>
      <c r="AD5" s="155" t="e">
        <f>IF('Overview-CO-BENEFITS'!H17="Very high",5,IF('Overview-CO-BENEFITS'!H17="High",4,IF('Overview-CO-BENEFITS'!H17="Moderate",3,IF('Overview-CO-BENEFITS'!H17="Low",2,1))))</f>
        <v>#REF!</v>
      </c>
      <c r="AE5" s="155" t="e">
        <f>IF('Overview-CO-BENEFITS'!I17="Very high",5,IF('Overview-CO-BENEFITS'!I17="High",4,IF('Overview-CO-BENEFITS'!I17="Moderate",3,IF('Overview-CO-BENEFITS'!I17="Low",2,1))))</f>
        <v>#REF!</v>
      </c>
      <c r="AF5" s="155" t="e">
        <f>IF('Overview-CO-BENEFITS'!J17="Very high",5,IF('Overview-CO-BENEFITS'!J17="High",4,IF('Overview-CO-BENEFITS'!J17="Moderate",3,IF('Overview-CO-BENEFITS'!J17="Low",2,1))))</f>
        <v>#REF!</v>
      </c>
      <c r="AG5" s="155" t="e">
        <f>IF('Overview-CO-BENEFITS'!K17="Very high",5,IF('Overview-CO-BENEFITS'!K17="High",4,IF('Overview-CO-BENEFITS'!K17="Moderate",3,IF('Overview-CO-BENEFITS'!K17="Low",2,1))))</f>
        <v>#REF!</v>
      </c>
    </row>
    <row r="6" spans="20:33" x14ac:dyDescent="0.35">
      <c r="T6" s="135" t="s">
        <v>234</v>
      </c>
      <c r="U6" s="134" t="e">
        <f t="shared" si="0"/>
        <v>#REF!</v>
      </c>
      <c r="V6" s="134" t="e">
        <f t="shared" si="1"/>
        <v>#REF!</v>
      </c>
      <c r="W6" s="134" t="e">
        <f t="shared" si="2"/>
        <v>#REF!</v>
      </c>
      <c r="X6" s="134" t="e">
        <f>'Overview-COST BENEFIT'!K18</f>
        <v>#REF!</v>
      </c>
      <c r="Z6" s="155" t="e">
        <f>IF('Overview-CO-BENEFITS'!D19="Very high",5,IF('Overview-CO-BENEFITS'!D19="High",4,IF('Overview-CO-BENEFITS'!D19="Moderate",3,IF('Overview-CO-BENEFITS'!D19="Low",2,1))))</f>
        <v>#REF!</v>
      </c>
      <c r="AA6" s="155" t="e">
        <f>IF('Overview-CO-BENEFITS'!E19="Very high",5,IF('Overview-CO-BENEFITS'!E19="High",4,IF('Overview-CO-BENEFITS'!E19="Moderate",3,IF('Overview-CO-BENEFITS'!E19="Low",2,1))))</f>
        <v>#REF!</v>
      </c>
      <c r="AB6" s="155" t="e">
        <f>IF('Overview-CO-BENEFITS'!F19="Very high",5,IF('Overview-CO-BENEFITS'!F19="High",4,IF('Overview-CO-BENEFITS'!F19="Moderate",3,IF('Overview-CO-BENEFITS'!F19="Low",2,1))))</f>
        <v>#REF!</v>
      </c>
      <c r="AC6" s="155" t="e">
        <f>IF('Overview-CO-BENEFITS'!G19="Very high",5,IF('Overview-CO-BENEFITS'!G19="High",4,IF('Overview-CO-BENEFITS'!G19="Moderate",3,IF('Overview-CO-BENEFITS'!G19="Low",2,1))))</f>
        <v>#REF!</v>
      </c>
      <c r="AD6" s="155" t="e">
        <f>IF('Overview-CO-BENEFITS'!H19="Very high",5,IF('Overview-CO-BENEFITS'!H19="High",4,IF('Overview-CO-BENEFITS'!H19="Moderate",3,IF('Overview-CO-BENEFITS'!H19="Low",2,1))))</f>
        <v>#REF!</v>
      </c>
      <c r="AE6" s="155" t="e">
        <f>IF('Overview-CO-BENEFITS'!I19="Very high",5,IF('Overview-CO-BENEFITS'!I19="High",4,IF('Overview-CO-BENEFITS'!I19="Moderate",3,IF('Overview-CO-BENEFITS'!I19="Low",2,1))))</f>
        <v>#REF!</v>
      </c>
      <c r="AF6" s="155" t="e">
        <f>IF('Overview-CO-BENEFITS'!J19="Very high",5,IF('Overview-CO-BENEFITS'!J19="High",4,IF('Overview-CO-BENEFITS'!J19="Moderate",3,IF('Overview-CO-BENEFITS'!J19="Low",2,1))))</f>
        <v>#REF!</v>
      </c>
      <c r="AG6" s="155" t="e">
        <f>IF('Overview-CO-BENEFITS'!K19="Very high",5,IF('Overview-CO-BENEFITS'!K19="High",4,IF('Overview-CO-BENEFITS'!K19="Moderate",3,IF('Overview-CO-BENEFITS'!K19="Low",2,1))))</f>
        <v>#REF!</v>
      </c>
    </row>
    <row r="7" spans="20:33" x14ac:dyDescent="0.35">
      <c r="T7" s="135" t="s">
        <v>206</v>
      </c>
      <c r="U7" s="134" t="e">
        <f t="shared" si="0"/>
        <v>#REF!</v>
      </c>
      <c r="V7" s="134" t="e">
        <f t="shared" si="1"/>
        <v>#REF!</v>
      </c>
      <c r="W7" s="134" t="e">
        <f t="shared" si="2"/>
        <v>#REF!</v>
      </c>
      <c r="X7" s="134" t="e">
        <f>'Overview-COST BENEFIT'!K12</f>
        <v>#REF!</v>
      </c>
      <c r="Z7" s="155" t="e">
        <f>IF('Overview-CO-BENEFITS'!D13="Very high",5,IF('Overview-CO-BENEFITS'!D13="High",4,IF('Overview-CO-BENEFITS'!D13="Moderate",3,IF('Overview-CO-BENEFITS'!D13="Low",2,1))))</f>
        <v>#REF!</v>
      </c>
      <c r="AA7" s="155" t="e">
        <f>IF('Overview-CO-BENEFITS'!E13="Very high",5,IF('Overview-CO-BENEFITS'!E13="High",4,IF('Overview-CO-BENEFITS'!E13="Moderate",3,IF('Overview-CO-BENEFITS'!E13="Low",2,1))))</f>
        <v>#REF!</v>
      </c>
      <c r="AB7" s="155" t="e">
        <f>IF('Overview-CO-BENEFITS'!F13="Very high",5,IF('Overview-CO-BENEFITS'!F13="High",4,IF('Overview-CO-BENEFITS'!F13="Moderate",3,IF('Overview-CO-BENEFITS'!F13="Low",2,1))))</f>
        <v>#REF!</v>
      </c>
      <c r="AC7" s="155" t="e">
        <f>IF('Overview-CO-BENEFITS'!G13="Very high",5,IF('Overview-CO-BENEFITS'!G13="High",4,IF('Overview-CO-BENEFITS'!G13="Moderate",3,IF('Overview-CO-BENEFITS'!G13="Low",2,1))))</f>
        <v>#REF!</v>
      </c>
      <c r="AD7" s="155" t="e">
        <f>IF('Overview-CO-BENEFITS'!H13="Very high",5,IF('Overview-CO-BENEFITS'!H13="High",4,IF('Overview-CO-BENEFITS'!H13="Moderate",3,IF('Overview-CO-BENEFITS'!H13="Low",2,1))))</f>
        <v>#REF!</v>
      </c>
      <c r="AE7" s="155" t="e">
        <f>IF('Overview-CO-BENEFITS'!I13="Very high",5,IF('Overview-CO-BENEFITS'!I13="High",4,IF('Overview-CO-BENEFITS'!I13="Moderate",3,IF('Overview-CO-BENEFITS'!I13="Low",2,1))))</f>
        <v>#REF!</v>
      </c>
      <c r="AF7" s="155" t="e">
        <f>IF('Overview-CO-BENEFITS'!J13="Very high",5,IF('Overview-CO-BENEFITS'!J13="High",4,IF('Overview-CO-BENEFITS'!J13="Moderate",3,IF('Overview-CO-BENEFITS'!J13="Low",2,1))))</f>
        <v>#REF!</v>
      </c>
      <c r="AG7" s="155" t="e">
        <f>IF('Overview-CO-BENEFITS'!K13="Very high",5,IF('Overview-CO-BENEFITS'!K13="High",4,IF('Overview-CO-BENEFITS'!K13="Moderate",3,IF('Overview-CO-BENEFITS'!K13="Low",2,1))))</f>
        <v>#REF!</v>
      </c>
    </row>
    <row r="8" spans="20:33" x14ac:dyDescent="0.35">
      <c r="T8" s="129" t="s">
        <v>233</v>
      </c>
      <c r="U8" s="134" t="e">
        <f t="shared" si="0"/>
        <v>#REF!</v>
      </c>
      <c r="V8" s="134" t="e">
        <f t="shared" si="1"/>
        <v>#REF!</v>
      </c>
      <c r="W8" s="134" t="e">
        <f t="shared" si="2"/>
        <v>#REF!</v>
      </c>
      <c r="X8" s="134" t="e">
        <f>'Overview-COST BENEFIT'!K17</f>
        <v>#REF!</v>
      </c>
      <c r="Z8" s="155" t="e">
        <f>IF('Overview-CO-BENEFITS'!D18="Very high",5,IF('Overview-CO-BENEFITS'!D18="High",4,IF('Overview-CO-BENEFITS'!D18="Moderate",3,IF('Overview-CO-BENEFITS'!D18="Low",2,1))))</f>
        <v>#REF!</v>
      </c>
      <c r="AA8" s="155" t="e">
        <f>IF('Overview-CO-BENEFITS'!E18="Very high",5,IF('Overview-CO-BENEFITS'!E18="High",4,IF('Overview-CO-BENEFITS'!E18="Moderate",3,IF('Overview-CO-BENEFITS'!E18="Low",2,1))))</f>
        <v>#REF!</v>
      </c>
      <c r="AB8" s="155" t="e">
        <f>IF('Overview-CO-BENEFITS'!F18="Very high",5,IF('Overview-CO-BENEFITS'!F18="High",4,IF('Overview-CO-BENEFITS'!F18="Moderate",3,IF('Overview-CO-BENEFITS'!F18="Low",2,1))))</f>
        <v>#REF!</v>
      </c>
      <c r="AC8" s="155" t="e">
        <f>IF('Overview-CO-BENEFITS'!G18="Very high",5,IF('Overview-CO-BENEFITS'!G18="High",4,IF('Overview-CO-BENEFITS'!G18="Moderate",3,IF('Overview-CO-BENEFITS'!G18="Low",2,1))))</f>
        <v>#REF!</v>
      </c>
      <c r="AD8" s="155" t="e">
        <f>IF('Overview-CO-BENEFITS'!H18="Very high",5,IF('Overview-CO-BENEFITS'!H18="High",4,IF('Overview-CO-BENEFITS'!H18="Moderate",3,IF('Overview-CO-BENEFITS'!H18="Low",2,1))))</f>
        <v>#REF!</v>
      </c>
      <c r="AE8" s="155" t="e">
        <f>IF('Overview-CO-BENEFITS'!I18="Very high",5,IF('Overview-CO-BENEFITS'!I18="High",4,IF('Overview-CO-BENEFITS'!I18="Moderate",3,IF('Overview-CO-BENEFITS'!I18="Low",2,1))))</f>
        <v>#REF!</v>
      </c>
      <c r="AF8" s="155" t="e">
        <f>IF('Overview-CO-BENEFITS'!J18="Very high",5,IF('Overview-CO-BENEFITS'!J18="High",4,IF('Overview-CO-BENEFITS'!J18="Moderate",3,IF('Overview-CO-BENEFITS'!J18="Low",2,1))))</f>
        <v>#REF!</v>
      </c>
      <c r="AG8" s="155" t="e">
        <f>IF('Overview-CO-BENEFITS'!K18="Very high",5,IF('Overview-CO-BENEFITS'!K18="High",4,IF('Overview-CO-BENEFITS'!K18="Moderate",3,IF('Overview-CO-BENEFITS'!K18="Low",2,1))))</f>
        <v>#REF!</v>
      </c>
    </row>
    <row r="9" spans="20:33" x14ac:dyDescent="0.35">
      <c r="T9" s="129" t="s">
        <v>259</v>
      </c>
      <c r="U9" s="134" t="e">
        <f t="shared" si="0"/>
        <v>#REF!</v>
      </c>
      <c r="V9" s="134" t="e">
        <f t="shared" si="1"/>
        <v>#REF!</v>
      </c>
      <c r="W9" s="134" t="e">
        <f t="shared" si="2"/>
        <v>#REF!</v>
      </c>
      <c r="X9" s="134" t="e">
        <f>'Overview-COST BENEFIT'!K20</f>
        <v>#REF!</v>
      </c>
      <c r="Y9" s="122"/>
      <c r="Z9" s="155" t="e">
        <f>IF('Overview-CO-BENEFITS'!D21="Very high",5,IF('Overview-CO-BENEFITS'!D21="High",4,IF('Overview-CO-BENEFITS'!D21="Moderate",3,IF('Overview-CO-BENEFITS'!D21="Low",2,1))))</f>
        <v>#REF!</v>
      </c>
      <c r="AA9" s="155" t="e">
        <f>IF('Overview-CO-BENEFITS'!E21="Very high",5,IF('Overview-CO-BENEFITS'!E21="High",4,IF('Overview-CO-BENEFITS'!E21="Moderate",3,IF('Overview-CO-BENEFITS'!E21="Low",2,1))))</f>
        <v>#REF!</v>
      </c>
      <c r="AB9" s="155" t="e">
        <f>IF('Overview-CO-BENEFITS'!F21="Very high",5,IF('Overview-CO-BENEFITS'!F21="High",4,IF('Overview-CO-BENEFITS'!F21="Moderate",3,IF('Overview-CO-BENEFITS'!F21="Low",2,1))))</f>
        <v>#REF!</v>
      </c>
      <c r="AC9" s="155" t="e">
        <f>IF('Overview-CO-BENEFITS'!G21="Very high",5,IF('Overview-CO-BENEFITS'!G21="High",4,IF('Overview-CO-BENEFITS'!G21="Moderate",3,IF('Overview-CO-BENEFITS'!G21="Low",2,1))))</f>
        <v>#REF!</v>
      </c>
      <c r="AD9" s="155" t="e">
        <f>IF('Overview-CO-BENEFITS'!H21="Very high",5,IF('Overview-CO-BENEFITS'!H21="High",4,IF('Overview-CO-BENEFITS'!H21="Moderate",3,IF('Overview-CO-BENEFITS'!H21="Low",2,1))))</f>
        <v>#REF!</v>
      </c>
      <c r="AE9" s="155" t="e">
        <f>IF('Overview-CO-BENEFITS'!I21="Very high",5,IF('Overview-CO-BENEFITS'!I21="High",4,IF('Overview-CO-BENEFITS'!I21="Moderate",3,IF('Overview-CO-BENEFITS'!I21="Low",2,1))))</f>
        <v>#REF!</v>
      </c>
      <c r="AF9" s="155" t="e">
        <f>IF('Overview-CO-BENEFITS'!J21="Very high",5,IF('Overview-CO-BENEFITS'!J21="High",4,IF('Overview-CO-BENEFITS'!J21="Moderate",3,IF('Overview-CO-BENEFITS'!J21="Low",2,1))))</f>
        <v>#REF!</v>
      </c>
      <c r="AG9" s="155" t="e">
        <f>IF('Overview-CO-BENEFITS'!K21="Very high",5,IF('Overview-CO-BENEFITS'!K21="High",4,IF('Overview-CO-BENEFITS'!K21="Moderate",3,IF('Overview-CO-BENEFITS'!K21="Low",2,1))))</f>
        <v>#REF!</v>
      </c>
    </row>
    <row r="10" spans="20:33" x14ac:dyDescent="0.35">
      <c r="T10" s="129" t="s">
        <v>208</v>
      </c>
      <c r="U10" s="134" t="e">
        <f t="shared" si="0"/>
        <v>#REF!</v>
      </c>
      <c r="V10" s="134" t="e">
        <f t="shared" si="1"/>
        <v>#REF!</v>
      </c>
      <c r="W10" s="134" t="e">
        <f t="shared" si="2"/>
        <v>#REF!</v>
      </c>
      <c r="X10" s="134" t="e">
        <f>'Overview-COST BENEFIT'!K14</f>
        <v>#REF!</v>
      </c>
      <c r="Y10" s="122"/>
      <c r="Z10" s="155" t="e">
        <f>IF('Overview-CO-BENEFITS'!D15="Very high",5,IF('Overview-CO-BENEFITS'!D15="High",4,IF('Overview-CO-BENEFITS'!D15="Moderate",3,IF('Overview-CO-BENEFITS'!D15="Low",2,1))))</f>
        <v>#REF!</v>
      </c>
      <c r="AA10" s="155" t="e">
        <f>IF('Overview-CO-BENEFITS'!E15="Very high",5,IF('Overview-CO-BENEFITS'!E15="High",4,IF('Overview-CO-BENEFITS'!E15="Moderate",3,IF('Overview-CO-BENEFITS'!E15="Low",2,1))))</f>
        <v>#REF!</v>
      </c>
      <c r="AB10" s="155" t="e">
        <f>IF('Overview-CO-BENEFITS'!F15="Very high",5,IF('Overview-CO-BENEFITS'!F15="High",4,IF('Overview-CO-BENEFITS'!F15="Moderate",3,IF('Overview-CO-BENEFITS'!F15="Low",2,1))))</f>
        <v>#REF!</v>
      </c>
      <c r="AC10" s="155" t="e">
        <f>IF('Overview-CO-BENEFITS'!G15="Very high",5,IF('Overview-CO-BENEFITS'!G15="High",4,IF('Overview-CO-BENEFITS'!G15="Moderate",3,IF('Overview-CO-BENEFITS'!G15="Low",2,1))))</f>
        <v>#REF!</v>
      </c>
      <c r="AD10" s="155" t="e">
        <f>IF('Overview-CO-BENEFITS'!H15="Very high",5,IF('Overview-CO-BENEFITS'!H15="High",4,IF('Overview-CO-BENEFITS'!H15="Moderate",3,IF('Overview-CO-BENEFITS'!H15="Low",2,1))))</f>
        <v>#REF!</v>
      </c>
      <c r="AE10" s="155" t="e">
        <f>IF('Overview-CO-BENEFITS'!I15="Very high",5,IF('Overview-CO-BENEFITS'!I15="High",4,IF('Overview-CO-BENEFITS'!I15="Moderate",3,IF('Overview-CO-BENEFITS'!I15="Low",2,1))))</f>
        <v>#REF!</v>
      </c>
      <c r="AF10" s="155" t="e">
        <f>IF('Overview-CO-BENEFITS'!J15="Very high",5,IF('Overview-CO-BENEFITS'!J15="High",4,IF('Overview-CO-BENEFITS'!J15="Moderate",3,IF('Overview-CO-BENEFITS'!J15="Low",2,1))))</f>
        <v>#REF!</v>
      </c>
      <c r="AG10" s="155" t="e">
        <f>IF('Overview-CO-BENEFITS'!K15="Very high",5,IF('Overview-CO-BENEFITS'!K15="High",4,IF('Overview-CO-BENEFITS'!K15="Moderate",3,IF('Overview-CO-BENEFITS'!K15="Low",2,1))))</f>
        <v>#REF!</v>
      </c>
    </row>
    <row r="11" spans="20:33" x14ac:dyDescent="0.35">
      <c r="T11" s="129" t="s">
        <v>207</v>
      </c>
      <c r="U11" s="134" t="e">
        <f t="shared" si="0"/>
        <v>#REF!</v>
      </c>
      <c r="V11" s="134" t="e">
        <f t="shared" si="1"/>
        <v>#REF!</v>
      </c>
      <c r="W11" s="134" t="e">
        <f t="shared" si="2"/>
        <v>#REF!</v>
      </c>
      <c r="X11" s="134" t="e">
        <f>'Overview-COST BENEFIT'!K13</f>
        <v>#REF!</v>
      </c>
      <c r="Y11" s="122"/>
      <c r="Z11" s="155" t="e">
        <f>IF('Overview-CO-BENEFITS'!D14="Very high",5,IF('Overview-CO-BENEFITS'!D14="High",4,IF('Overview-CO-BENEFITS'!D14="Moderate",3,IF('Overview-CO-BENEFITS'!D14="Low",2,1))))</f>
        <v>#REF!</v>
      </c>
      <c r="AA11" s="155" t="e">
        <f>IF('Overview-CO-BENEFITS'!E14="Very high",5,IF('Overview-CO-BENEFITS'!E14="High",4,IF('Overview-CO-BENEFITS'!E14="Moderate",3,IF('Overview-CO-BENEFITS'!E14="Low",2,1))))</f>
        <v>#REF!</v>
      </c>
      <c r="AB11" s="155" t="e">
        <f>IF('Overview-CO-BENEFITS'!F14="Very high",5,IF('Overview-CO-BENEFITS'!F14="High",4,IF('Overview-CO-BENEFITS'!F14="Moderate",3,IF('Overview-CO-BENEFITS'!F14="Low",2,1))))</f>
        <v>#REF!</v>
      </c>
      <c r="AC11" s="155" t="e">
        <f>IF('Overview-CO-BENEFITS'!G14="Very high",5,IF('Overview-CO-BENEFITS'!G14="High",4,IF('Overview-CO-BENEFITS'!G14="Moderate",3,IF('Overview-CO-BENEFITS'!G14="Low",2,1))))</f>
        <v>#REF!</v>
      </c>
      <c r="AD11" s="155" t="e">
        <f>IF('Overview-CO-BENEFITS'!H14="Very high",5,IF('Overview-CO-BENEFITS'!H14="High",4,IF('Overview-CO-BENEFITS'!H14="Moderate",3,IF('Overview-CO-BENEFITS'!H14="Low",2,1))))</f>
        <v>#REF!</v>
      </c>
      <c r="AE11" s="155" t="e">
        <f>IF('Overview-CO-BENEFITS'!I14="Very high",5,IF('Overview-CO-BENEFITS'!I14="High",4,IF('Overview-CO-BENEFITS'!I14="Moderate",3,IF('Overview-CO-BENEFITS'!I14="Low",2,1))))</f>
        <v>#REF!</v>
      </c>
      <c r="AF11" s="155" t="e">
        <f>IF('Overview-CO-BENEFITS'!J14="Very high",5,IF('Overview-CO-BENEFITS'!J14="High",4,IF('Overview-CO-BENEFITS'!J14="Moderate",3,IF('Overview-CO-BENEFITS'!J14="Low",2,1))))</f>
        <v>#REF!</v>
      </c>
      <c r="AG11" s="155" t="e">
        <f>IF('Overview-CO-BENEFITS'!K14="Very high",5,IF('Overview-CO-BENEFITS'!K14="High",4,IF('Overview-CO-BENEFITS'!K14="Moderate",3,IF('Overview-CO-BENEFITS'!K14="Low",2,1))))</f>
        <v>#REF!</v>
      </c>
    </row>
    <row r="12" spans="20:33" x14ac:dyDescent="0.35">
      <c r="T12" s="129" t="s">
        <v>258</v>
      </c>
      <c r="U12" s="134" t="e">
        <f t="shared" si="0"/>
        <v>#REF!</v>
      </c>
      <c r="V12" s="134" t="e">
        <f t="shared" si="1"/>
        <v>#REF!</v>
      </c>
      <c r="W12" s="134" t="e">
        <f t="shared" si="2"/>
        <v>#REF!</v>
      </c>
      <c r="X12" s="134">
        <f>'Overview-COST BENEFIT'!K19</f>
        <v>9.9131957600042053</v>
      </c>
      <c r="Y12" s="122"/>
      <c r="Z12" s="155" t="e">
        <f>IF('Overview-CO-BENEFITS'!D20="Very high",5,IF('Overview-CO-BENEFITS'!D20="High",4,IF('Overview-CO-BENEFITS'!D20="Moderate",3,IF('Overview-CO-BENEFITS'!D20="Low",2,1))))</f>
        <v>#REF!</v>
      </c>
      <c r="AA12" s="155" t="e">
        <f>IF('Overview-CO-BENEFITS'!E20="Very high",5,IF('Overview-CO-BENEFITS'!E20="High",4,IF('Overview-CO-BENEFITS'!E20="Moderate",3,IF('Overview-CO-BENEFITS'!E20="Low",2,1))))</f>
        <v>#REF!</v>
      </c>
      <c r="AB12" s="155" t="e">
        <f>IF('Overview-CO-BENEFITS'!F20="Very high",5,IF('Overview-CO-BENEFITS'!F20="High",4,IF('Overview-CO-BENEFITS'!F20="Moderate",3,IF('Overview-CO-BENEFITS'!F20="Low",2,1))))</f>
        <v>#REF!</v>
      </c>
      <c r="AC12" s="155" t="e">
        <f>IF('Overview-CO-BENEFITS'!G20="Very high",5,IF('Overview-CO-BENEFITS'!G20="High",4,IF('Overview-CO-BENEFITS'!G20="Moderate",3,IF('Overview-CO-BENEFITS'!G20="Low",2,1))))</f>
        <v>#REF!</v>
      </c>
      <c r="AD12" s="155" t="e">
        <f>IF('Overview-CO-BENEFITS'!H20="Very high",5,IF('Overview-CO-BENEFITS'!H20="High",4,IF('Overview-CO-BENEFITS'!H20="Moderate",3,IF('Overview-CO-BENEFITS'!H20="Low",2,1))))</f>
        <v>#REF!</v>
      </c>
      <c r="AE12" s="155" t="e">
        <f>IF('Overview-CO-BENEFITS'!I20="Very high",5,IF('Overview-CO-BENEFITS'!I20="High",4,IF('Overview-CO-BENEFITS'!I20="Moderate",3,IF('Overview-CO-BENEFITS'!I20="Low",2,1))))</f>
        <v>#REF!</v>
      </c>
      <c r="AF12" s="155" t="e">
        <f>IF('Overview-CO-BENEFITS'!J20="Very high",5,IF('Overview-CO-BENEFITS'!J20="High",4,IF('Overview-CO-BENEFITS'!J20="Moderate",3,IF('Overview-CO-BENEFITS'!J20="Low",2,1))))</f>
        <v>#REF!</v>
      </c>
      <c r="AG12" s="155" t="e">
        <f>IF('Overview-CO-BENEFITS'!K20="Very high",5,IF('Overview-CO-BENEFITS'!K20="High",4,IF('Overview-CO-BENEFITS'!K20="Moderate",3,IF('Overview-CO-BENEFITS'!K20="Low",2,1))))</f>
        <v>#REF!</v>
      </c>
    </row>
  </sheetData>
  <autoFilter ref="T2:AG2">
    <sortState ref="T3:AG12">
      <sortCondition descending="1" ref="W2"/>
    </sortState>
  </autoFilter>
  <mergeCells count="2">
    <mergeCell ref="Z1:AC1"/>
    <mergeCell ref="AE1:AG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Methodology </vt:lpstr>
      <vt:lpstr>Hoja1</vt:lpstr>
      <vt:lpstr>Costs</vt:lpstr>
      <vt:lpstr>Benefits</vt:lpstr>
      <vt:lpstr>CBA</vt:lpstr>
      <vt:lpstr>Overview-COST BENEFIT</vt:lpstr>
      <vt:lpstr>Overview-CO-BENEFITS</vt:lpstr>
      <vt:lpstr>Hoja2</vt:lpstr>
      <vt:lpstr>4-D assessment</vt:lpstr>
      <vt:lpstr>PF 1, 2 and 3 CBA</vt:lpstr>
      <vt:lpstr>PF 6-Calculations</vt:lpstr>
      <vt:lpstr>PAP 1, 2 and 3 CBA</vt:lpstr>
      <vt:lpstr>Regret Table Petrotrin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Ferhat Karaca</dc:creator>
  <cp:lastModifiedBy>Ferhat Karaca</cp:lastModifiedBy>
  <cp:lastPrinted>2021-03-01T16:41:37Z</cp:lastPrinted>
  <dcterms:created xsi:type="dcterms:W3CDTF">2013-07-24T08:17:47Z</dcterms:created>
  <dcterms:modified xsi:type="dcterms:W3CDTF">2023-12-10T07:42:20Z</dcterms:modified>
</cp:coreProperties>
</file>