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60" yWindow="495" windowWidth="25725" windowHeight="14085"/>
  </bookViews>
  <sheets>
    <sheet name="Stimuli" sheetId="7" r:id="rId1"/>
    <sheet name="Distance (Eq4)" sheetId="1" r:id="rId2"/>
    <sheet name="Depth (Eq3)" sheetId="2" r:id="rId3"/>
    <sheet name="Probability Correct" sheetId="5" r:id="rId4"/>
    <sheet name="Supplement" sheetId="4" r:id="rId5"/>
    <sheet name="References" sheetId="6" r:id="rId6"/>
  </sheets>
  <definedNames>
    <definedName name="solver_adj" localSheetId="2" hidden="1">'Depth (Eq3)'!$U$27:$U$28</definedName>
    <definedName name="solver_adj" localSheetId="1" hidden="1">'Distance (Eq4)'!$K$84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2147483647</definedName>
    <definedName name="solver_itr" localSheetId="1" hidden="1">2147483647</definedName>
    <definedName name="solver_lhs1" localSheetId="2" hidden="1">'Depth (Eq3)'!$T$27</definedName>
    <definedName name="solver_lhs2" localSheetId="2" hidden="1">'Depth (Eq3)'!$V$28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1</definedName>
    <definedName name="solver_neg" localSheetId="1" hidden="1">1</definedName>
    <definedName name="solver_nod" localSheetId="2" hidden="1">2147483647</definedName>
    <definedName name="solver_nod" localSheetId="1" hidden="1">2147483647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'Depth (Eq3)'!$U$26</definedName>
    <definedName name="solver_opt" localSheetId="1" hidden="1">'Distance (Eq4)'!$K$83</definedName>
    <definedName name="solver_pre" localSheetId="2" hidden="1">0.000001</definedName>
    <definedName name="solver_pre" localSheetId="1" hidden="1">0.000001</definedName>
    <definedName name="solver_rbv" localSheetId="2" hidden="1">1</definedName>
    <definedName name="solver_rbv" localSheetId="1" hidden="1">1</definedName>
    <definedName name="solver_rel1" localSheetId="2" hidden="1">3</definedName>
    <definedName name="solver_rel2" localSheetId="2" hidden="1">3</definedName>
    <definedName name="solver_rhs1" localSheetId="2" hidden="1">0</definedName>
    <definedName name="solver_rhs2" localSheetId="2" hidden="1">0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1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2147483647</definedName>
    <definedName name="solver_tim" localSheetId="1" hidden="1">2147483647</definedName>
    <definedName name="solver_tol" localSheetId="2" hidden="1">0.01</definedName>
    <definedName name="solver_tol" localSheetId="1" hidden="1">0.01</definedName>
    <definedName name="solver_typ" localSheetId="2" hidden="1">2</definedName>
    <definedName name="solver_typ" localSheetId="1" hidden="1">2</definedName>
    <definedName name="solver_val" localSheetId="2" hidden="1">0</definedName>
    <definedName name="solver_val" localSheetId="1" hidden="1">0</definedName>
    <definedName name="solver_ver" localSheetId="2" hidden="1">3</definedName>
    <definedName name="solver_ver" localSheetId="1" hidden="1">3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23" i="2" l="1"/>
  <c r="T22" i="2"/>
  <c r="T21" i="2"/>
  <c r="T20" i="2"/>
  <c r="T19" i="2"/>
  <c r="T18" i="2"/>
  <c r="T26" i="2" s="1"/>
  <c r="T17" i="2"/>
  <c r="T13" i="2"/>
  <c r="T12" i="2"/>
  <c r="T11" i="2"/>
  <c r="T10" i="2"/>
  <c r="T9" i="2"/>
  <c r="T8" i="2"/>
  <c r="T7" i="2"/>
  <c r="T6" i="2"/>
  <c r="T5" i="2"/>
  <c r="T4" i="2"/>
  <c r="B9" i="5" l="1"/>
  <c r="C9" i="5"/>
  <c r="C10" i="5"/>
  <c r="R23" i="2"/>
  <c r="R22" i="2"/>
  <c r="R21" i="2"/>
  <c r="R20" i="2"/>
  <c r="R19" i="2"/>
  <c r="R18" i="2"/>
  <c r="R17" i="2"/>
  <c r="R5" i="2"/>
  <c r="R6" i="2"/>
  <c r="R7" i="2"/>
  <c r="R8" i="2"/>
  <c r="R9" i="2"/>
  <c r="R10" i="2"/>
  <c r="R11" i="2"/>
  <c r="R12" i="2"/>
  <c r="R13" i="2"/>
  <c r="R4" i="2"/>
  <c r="K87" i="1"/>
  <c r="U30" i="2"/>
  <c r="K6" i="5" l="1"/>
  <c r="E55" i="1"/>
  <c r="J87" i="1"/>
  <c r="J88" i="1"/>
  <c r="F11" i="4"/>
  <c r="H11" i="4"/>
  <c r="I11" i="4"/>
  <c r="M12" i="4" s="1"/>
  <c r="N12" i="4" s="1"/>
  <c r="F12" i="4"/>
  <c r="F13" i="4"/>
  <c r="F16" i="4"/>
  <c r="H16" i="4"/>
  <c r="I16" i="4"/>
  <c r="M17" i="4" s="1"/>
  <c r="N17" i="4" s="1"/>
  <c r="F17" i="4"/>
  <c r="F18" i="4"/>
  <c r="L16" i="4" l="1"/>
  <c r="L11" i="4"/>
  <c r="M18" i="4"/>
  <c r="N18" i="4" s="1"/>
  <c r="M16" i="4"/>
  <c r="N16" i="4" s="1"/>
  <c r="M13" i="4"/>
  <c r="N13" i="4" s="1"/>
  <c r="M11" i="4"/>
  <c r="N11" i="4" s="1"/>
  <c r="K11" i="4" l="1"/>
  <c r="J11" i="4" s="1"/>
  <c r="K16" i="4"/>
  <c r="J16" i="4" s="1"/>
  <c r="J3" i="5"/>
  <c r="K45" i="1"/>
  <c r="K41" i="1"/>
  <c r="K40" i="1"/>
  <c r="K39" i="1"/>
  <c r="K38" i="1"/>
  <c r="K37" i="1"/>
  <c r="K31" i="1"/>
  <c r="K30" i="1"/>
  <c r="K29" i="1"/>
  <c r="K19" i="1"/>
  <c r="K20" i="1"/>
  <c r="K21" i="1"/>
  <c r="K22" i="1"/>
  <c r="K23" i="1"/>
  <c r="K24" i="1"/>
  <c r="K25" i="1"/>
  <c r="K18" i="1"/>
  <c r="K17" i="1"/>
  <c r="K16" i="1"/>
  <c r="K11" i="1"/>
  <c r="K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65" i="1"/>
  <c r="J45" i="1"/>
  <c r="J40" i="1"/>
  <c r="J41" i="1"/>
  <c r="J39" i="1"/>
  <c r="J38" i="1"/>
  <c r="J37" i="1"/>
  <c r="J31" i="1"/>
  <c r="J30" i="1"/>
  <c r="J29" i="1"/>
  <c r="J17" i="1"/>
  <c r="J18" i="1"/>
  <c r="J19" i="1"/>
  <c r="J20" i="1"/>
  <c r="J21" i="1"/>
  <c r="J22" i="1"/>
  <c r="J23" i="1"/>
  <c r="J24" i="1"/>
  <c r="J25" i="1"/>
  <c r="J16" i="1"/>
  <c r="J11" i="1"/>
  <c r="J5" i="1"/>
  <c r="C5" i="5" l="1"/>
  <c r="B5" i="5"/>
  <c r="F11" i="5" l="1"/>
  <c r="F19" i="5"/>
  <c r="F27" i="5"/>
  <c r="F35" i="5"/>
  <c r="F43" i="5"/>
  <c r="F28" i="5"/>
  <c r="F5" i="5"/>
  <c r="F13" i="5"/>
  <c r="F21" i="5"/>
  <c r="F29" i="5"/>
  <c r="F37" i="5"/>
  <c r="F6" i="5"/>
  <c r="F14" i="5"/>
  <c r="F22" i="5"/>
  <c r="F30" i="5"/>
  <c r="F38" i="5"/>
  <c r="F7" i="5"/>
  <c r="F15" i="5"/>
  <c r="F23" i="5"/>
  <c r="F31" i="5"/>
  <c r="F39" i="5"/>
  <c r="F36" i="5"/>
  <c r="F8" i="5"/>
  <c r="F16" i="5"/>
  <c r="F24" i="5"/>
  <c r="F32" i="5"/>
  <c r="F40" i="5"/>
  <c r="F12" i="5"/>
  <c r="F9" i="5"/>
  <c r="F17" i="5"/>
  <c r="F25" i="5"/>
  <c r="F33" i="5"/>
  <c r="F41" i="5"/>
  <c r="F20" i="5"/>
  <c r="F10" i="5"/>
  <c r="F18" i="5"/>
  <c r="F26" i="5"/>
  <c r="F34" i="5"/>
  <c r="F42" i="5"/>
  <c r="F4" i="5"/>
  <c r="F3" i="5"/>
  <c r="G3" i="5"/>
  <c r="G11" i="5"/>
  <c r="G19" i="5"/>
  <c r="G27" i="5"/>
  <c r="G35" i="5"/>
  <c r="G43" i="5"/>
  <c r="G20" i="5"/>
  <c r="G36" i="5"/>
  <c r="G4" i="5"/>
  <c r="G12" i="5"/>
  <c r="G28" i="5"/>
  <c r="G5" i="5"/>
  <c r="G13" i="5"/>
  <c r="G21" i="5"/>
  <c r="G29" i="5"/>
  <c r="G37" i="5"/>
  <c r="G6" i="5"/>
  <c r="G14" i="5"/>
  <c r="G22" i="5"/>
  <c r="G30" i="5"/>
  <c r="G38" i="5"/>
  <c r="G15" i="5"/>
  <c r="G23" i="5"/>
  <c r="G31" i="5"/>
  <c r="G39" i="5"/>
  <c r="G32" i="5"/>
  <c r="G40" i="5"/>
  <c r="G17" i="5"/>
  <c r="G10" i="5"/>
  <c r="G41" i="5"/>
  <c r="G7" i="5"/>
  <c r="G33" i="5"/>
  <c r="G34" i="5"/>
  <c r="G8" i="5"/>
  <c r="G16" i="5"/>
  <c r="G24" i="5"/>
  <c r="G25" i="5"/>
  <c r="G18" i="5"/>
  <c r="G42" i="5"/>
  <c r="G9" i="5"/>
  <c r="G26" i="5"/>
  <c r="K29" i="4"/>
  <c r="J29" i="4"/>
  <c r="F29" i="4"/>
  <c r="M29" i="4" s="1"/>
  <c r="K28" i="4"/>
  <c r="J28" i="4"/>
  <c r="F28" i="4"/>
  <c r="M28" i="4" s="1"/>
  <c r="K27" i="4"/>
  <c r="J27" i="4"/>
  <c r="F27" i="4"/>
  <c r="M27" i="4" s="1"/>
  <c r="K26" i="4"/>
  <c r="J26" i="4"/>
  <c r="F26" i="4"/>
  <c r="M26" i="4" s="1"/>
  <c r="K25" i="4"/>
  <c r="J25" i="4"/>
  <c r="F25" i="4"/>
  <c r="M25" i="4" s="1"/>
  <c r="K24" i="4"/>
  <c r="J24" i="4"/>
  <c r="F24" i="4"/>
  <c r="M24" i="4" s="1"/>
  <c r="K23" i="4"/>
  <c r="J23" i="4"/>
  <c r="F23" i="4"/>
  <c r="M23" i="4" s="1"/>
  <c r="M6" i="4"/>
  <c r="L6" i="4"/>
  <c r="J6" i="4"/>
  <c r="F6" i="4"/>
  <c r="M5" i="4"/>
  <c r="L5" i="4"/>
  <c r="J5" i="4"/>
  <c r="F5" i="4"/>
  <c r="M4" i="4"/>
  <c r="L4" i="4"/>
  <c r="J4" i="4"/>
  <c r="F4" i="4"/>
  <c r="J13" i="5"/>
  <c r="J4" i="5"/>
  <c r="U31" i="2"/>
  <c r="T31" i="2"/>
  <c r="T30" i="2"/>
  <c r="H23" i="2"/>
  <c r="G23" i="2"/>
  <c r="H22" i="2"/>
  <c r="G22" i="2"/>
  <c r="G21" i="2"/>
  <c r="M21" i="2" s="1"/>
  <c r="H20" i="2"/>
  <c r="M20" i="2" s="1"/>
  <c r="H19" i="2"/>
  <c r="M19" i="2" s="1"/>
  <c r="H18" i="2"/>
  <c r="G18" i="2"/>
  <c r="H17" i="2"/>
  <c r="G17" i="2"/>
  <c r="N13" i="2"/>
  <c r="M13" i="2"/>
  <c r="I13" i="2"/>
  <c r="O13" i="2" s="1"/>
  <c r="N12" i="2"/>
  <c r="M12" i="2"/>
  <c r="I12" i="2"/>
  <c r="O12" i="2" s="1"/>
  <c r="N11" i="2"/>
  <c r="M11" i="2"/>
  <c r="I11" i="2"/>
  <c r="O11" i="2" s="1"/>
  <c r="N10" i="2"/>
  <c r="M10" i="2"/>
  <c r="I10" i="2"/>
  <c r="O10" i="2" s="1"/>
  <c r="N9" i="2"/>
  <c r="M9" i="2"/>
  <c r="I9" i="2"/>
  <c r="O9" i="2" s="1"/>
  <c r="N8" i="2"/>
  <c r="M8" i="2"/>
  <c r="I8" i="2"/>
  <c r="O8" i="2" s="1"/>
  <c r="N7" i="2"/>
  <c r="M7" i="2"/>
  <c r="I7" i="2"/>
  <c r="O7" i="2" s="1"/>
  <c r="N6" i="2"/>
  <c r="M6" i="2"/>
  <c r="I6" i="2"/>
  <c r="O6" i="2" s="1"/>
  <c r="N5" i="2"/>
  <c r="M5" i="2"/>
  <c r="I5" i="2"/>
  <c r="O5" i="2" s="1"/>
  <c r="N4" i="2"/>
  <c r="M4" i="2"/>
  <c r="I4" i="2"/>
  <c r="O4" i="2" s="1"/>
  <c r="K88" i="1"/>
  <c r="G61" i="1"/>
  <c r="K61" i="1" s="1"/>
  <c r="F61" i="1"/>
  <c r="G60" i="1"/>
  <c r="K60" i="1" s="1"/>
  <c r="F60" i="1"/>
  <c r="J60" i="1" s="1"/>
  <c r="E56" i="1"/>
  <c r="E54" i="1"/>
  <c r="E50" i="1"/>
  <c r="E49" i="1"/>
  <c r="J49" i="1" s="1"/>
  <c r="E46" i="1"/>
  <c r="H45" i="1"/>
  <c r="H41" i="1"/>
  <c r="H40" i="1"/>
  <c r="H39" i="1"/>
  <c r="H38" i="1"/>
  <c r="H37" i="1"/>
  <c r="H31" i="1"/>
  <c r="H30" i="1"/>
  <c r="H29" i="1"/>
  <c r="E12" i="1"/>
  <c r="H11" i="1"/>
  <c r="E10" i="1"/>
  <c r="E6" i="1"/>
  <c r="H5" i="1"/>
  <c r="E4" i="1"/>
  <c r="Q4" i="2" l="1"/>
  <c r="Q6" i="2"/>
  <c r="Q8" i="2"/>
  <c r="Q10" i="2"/>
  <c r="Q12" i="2"/>
  <c r="N17" i="2"/>
  <c r="K6" i="1"/>
  <c r="J6" i="1"/>
  <c r="H50" i="1"/>
  <c r="J50" i="1"/>
  <c r="H56" i="1"/>
  <c r="J56" i="1"/>
  <c r="K56" i="1"/>
  <c r="H55" i="1"/>
  <c r="J55" i="1"/>
  <c r="H54" i="1"/>
  <c r="J54" i="1"/>
  <c r="Q5" i="2"/>
  <c r="Q7" i="2"/>
  <c r="Q9" i="2"/>
  <c r="Q11" i="2"/>
  <c r="Q13" i="2"/>
  <c r="N19" i="2"/>
  <c r="H4" i="5"/>
  <c r="H33" i="5"/>
  <c r="H16" i="5"/>
  <c r="H38" i="5"/>
  <c r="H13" i="5"/>
  <c r="O5" i="4"/>
  <c r="N5" i="4" s="1"/>
  <c r="H42" i="5"/>
  <c r="H25" i="5"/>
  <c r="H8" i="5"/>
  <c r="H30" i="5"/>
  <c r="H5" i="5"/>
  <c r="N18" i="2"/>
  <c r="H34" i="5"/>
  <c r="H17" i="5"/>
  <c r="H36" i="5"/>
  <c r="H22" i="5"/>
  <c r="H28" i="5"/>
  <c r="H61" i="1"/>
  <c r="H26" i="5"/>
  <c r="H9" i="5"/>
  <c r="H39" i="5"/>
  <c r="H14" i="5"/>
  <c r="H43" i="5"/>
  <c r="H18" i="5"/>
  <c r="H12" i="5"/>
  <c r="H31" i="5"/>
  <c r="H6" i="5"/>
  <c r="H35" i="5"/>
  <c r="H10" i="5"/>
  <c r="H40" i="5"/>
  <c r="H23" i="5"/>
  <c r="H37" i="5"/>
  <c r="H27" i="5"/>
  <c r="H20" i="5"/>
  <c r="H32" i="5"/>
  <c r="H15" i="5"/>
  <c r="H29" i="5"/>
  <c r="H19" i="5"/>
  <c r="N21" i="2"/>
  <c r="H3" i="5"/>
  <c r="H41" i="5"/>
  <c r="H24" i="5"/>
  <c r="H7" i="5"/>
  <c r="H21" i="5"/>
  <c r="H11" i="5"/>
  <c r="K46" i="1"/>
  <c r="J46" i="1"/>
  <c r="H46" i="1"/>
  <c r="K54" i="1"/>
  <c r="I21" i="2"/>
  <c r="O21" i="2" s="1"/>
  <c r="K49" i="1"/>
  <c r="H49" i="1"/>
  <c r="K55" i="1"/>
  <c r="I19" i="2"/>
  <c r="O19" i="2" s="1"/>
  <c r="I22" i="2"/>
  <c r="O22" i="2" s="1"/>
  <c r="H6" i="1"/>
  <c r="K10" i="1"/>
  <c r="J10" i="1"/>
  <c r="J61" i="1"/>
  <c r="K35" i="5"/>
  <c r="K3" i="5"/>
  <c r="L3" i="5" s="1"/>
  <c r="O4" i="4"/>
  <c r="N4" i="4" s="1"/>
  <c r="J4" i="1"/>
  <c r="J83" i="1" s="1"/>
  <c r="K4" i="1"/>
  <c r="H10" i="1"/>
  <c r="K50" i="1"/>
  <c r="I23" i="2"/>
  <c r="O23" i="2" s="1"/>
  <c r="O6" i="4"/>
  <c r="N6" i="4" s="1"/>
  <c r="K12" i="1"/>
  <c r="J12" i="1"/>
  <c r="K8" i="5"/>
  <c r="K12" i="5"/>
  <c r="K18" i="5"/>
  <c r="K36" i="5"/>
  <c r="K38" i="5"/>
  <c r="K40" i="5"/>
  <c r="K42" i="5"/>
  <c r="K4" i="5"/>
  <c r="L4" i="5" s="1"/>
  <c r="K5" i="5"/>
  <c r="K10" i="5"/>
  <c r="K37" i="5"/>
  <c r="K39" i="5"/>
  <c r="K41" i="5"/>
  <c r="K43" i="5"/>
  <c r="H4" i="1"/>
  <c r="H12" i="1"/>
  <c r="H60" i="1"/>
  <c r="U4" i="2"/>
  <c r="U5" i="2"/>
  <c r="U6" i="2"/>
  <c r="U7" i="2"/>
  <c r="U8" i="2"/>
  <c r="U9" i="2"/>
  <c r="U10" i="2"/>
  <c r="U11" i="2"/>
  <c r="U12" i="2"/>
  <c r="I17" i="2"/>
  <c r="O17" i="2" s="1"/>
  <c r="U17" i="2" s="1"/>
  <c r="M17" i="2"/>
  <c r="Q17" i="2" s="1"/>
  <c r="I18" i="2"/>
  <c r="O18" i="2" s="1"/>
  <c r="M18" i="2"/>
  <c r="Q18" i="2" s="1"/>
  <c r="M22" i="2"/>
  <c r="N22" i="2"/>
  <c r="M23" i="2"/>
  <c r="N23" i="2"/>
  <c r="J7" i="5"/>
  <c r="J9" i="5"/>
  <c r="J11" i="5"/>
  <c r="U13" i="2"/>
  <c r="N20" i="2"/>
  <c r="Q20" i="2" s="1"/>
  <c r="I20" i="2"/>
  <c r="O20" i="2" s="1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7" i="5"/>
  <c r="J16" i="5"/>
  <c r="J15" i="5"/>
  <c r="J18" i="5"/>
  <c r="J12" i="5"/>
  <c r="J10" i="5"/>
  <c r="J8" i="5"/>
  <c r="J5" i="5"/>
  <c r="J6" i="5"/>
  <c r="J14" i="5"/>
  <c r="K7" i="5"/>
  <c r="K9" i="5"/>
  <c r="K11" i="5"/>
  <c r="K13" i="5"/>
  <c r="L13" i="5" s="1"/>
  <c r="K14" i="5"/>
  <c r="K15" i="5"/>
  <c r="K16" i="5"/>
  <c r="K17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L36" i="5" l="1"/>
  <c r="Q21" i="2"/>
  <c r="Q23" i="2"/>
  <c r="Q22" i="2"/>
  <c r="Q19" i="2"/>
  <c r="L35" i="5"/>
  <c r="L38" i="5"/>
  <c r="L42" i="5"/>
  <c r="L40" i="5"/>
  <c r="L43" i="5"/>
  <c r="L39" i="5"/>
  <c r="U21" i="2"/>
  <c r="L41" i="5"/>
  <c r="U18" i="2"/>
  <c r="L37" i="5"/>
  <c r="U19" i="2"/>
  <c r="L18" i="5"/>
  <c r="L21" i="5"/>
  <c r="L23" i="5"/>
  <c r="L31" i="5"/>
  <c r="L11" i="5"/>
  <c r="L7" i="5"/>
  <c r="L6" i="5"/>
  <c r="L17" i="5"/>
  <c r="L26" i="5"/>
  <c r="L34" i="5"/>
  <c r="L32" i="5"/>
  <c r="L14" i="5"/>
  <c r="L16" i="5"/>
  <c r="L25" i="5"/>
  <c r="L33" i="5"/>
  <c r="L9" i="5"/>
  <c r="K83" i="1"/>
  <c r="L24" i="5"/>
  <c r="L5" i="5"/>
  <c r="L19" i="5"/>
  <c r="L27" i="5"/>
  <c r="L28" i="5"/>
  <c r="L8" i="5"/>
  <c r="L10" i="5"/>
  <c r="L29" i="5"/>
  <c r="L15" i="5"/>
  <c r="L20" i="5"/>
  <c r="L12" i="5"/>
  <c r="L22" i="5"/>
  <c r="L30" i="5"/>
  <c r="U20" i="2"/>
  <c r="U23" i="2"/>
  <c r="U22" i="2"/>
  <c r="U26" i="2" l="1"/>
</calcChain>
</file>

<file path=xl/sharedStrings.xml><?xml version="1.0" encoding="utf-8"?>
<sst xmlns="http://schemas.openxmlformats.org/spreadsheetml/2006/main" count="378" uniqueCount="227">
  <si>
    <t>Study</t>
  </si>
  <si>
    <t>Object</t>
  </si>
  <si>
    <t>Object 1</t>
  </si>
  <si>
    <t>Object 2</t>
  </si>
  <si>
    <t>Gogel &amp; Mertens (1968)</t>
  </si>
  <si>
    <t>Crest</t>
  </si>
  <si>
    <t>Drops</t>
  </si>
  <si>
    <t>Tape</t>
  </si>
  <si>
    <r>
      <t>50</t>
    </r>
    <r>
      <rPr>
        <sz val="11"/>
        <color theme="1"/>
        <rFont val="Times New Roman"/>
        <family val="1"/>
        <charset val="204"/>
      </rPr>
      <t>¢</t>
    </r>
  </si>
  <si>
    <t>Key</t>
  </si>
  <si>
    <t>Gogel (1969c)</t>
  </si>
  <si>
    <t>Ink</t>
  </si>
  <si>
    <t>Cup</t>
  </si>
  <si>
    <t>Stapler</t>
  </si>
  <si>
    <t>Pencil sharpener</t>
  </si>
  <si>
    <t>Exp2</t>
  </si>
  <si>
    <t>Epstein (1965)</t>
  </si>
  <si>
    <t>Quarter (25c, 2.38cm)</t>
  </si>
  <si>
    <t>Gogel (1976)</t>
  </si>
  <si>
    <t>Key (Verbal)</t>
  </si>
  <si>
    <t>Sunglasses (Verbal)</t>
  </si>
  <si>
    <t>Guitar (Verbal)</t>
  </si>
  <si>
    <t>Exp 1</t>
  </si>
  <si>
    <t>Response
Mean (cm)</t>
  </si>
  <si>
    <t>Response
StDev (cm)</t>
  </si>
  <si>
    <t>Predebon &amp; Woolley (1994)</t>
  </si>
  <si>
    <t>(See Supplement)</t>
  </si>
  <si>
    <t>Na</t>
  </si>
  <si>
    <t>Ma</t>
  </si>
  <si>
    <t>Sda</t>
  </si>
  <si>
    <t>Va</t>
  </si>
  <si>
    <t>Nb</t>
  </si>
  <si>
    <t>Mb</t>
  </si>
  <si>
    <t>SDb</t>
  </si>
  <si>
    <t>Vb</t>
  </si>
  <si>
    <t>Nab</t>
  </si>
  <si>
    <t>Mab</t>
  </si>
  <si>
    <t>Sdab</t>
  </si>
  <si>
    <t>Vab</t>
  </si>
  <si>
    <t>Sunglasses</t>
  </si>
  <si>
    <t>Guitar</t>
  </si>
  <si>
    <t>Exp5</t>
  </si>
  <si>
    <t>df</t>
  </si>
  <si>
    <t>V</t>
  </si>
  <si>
    <t>SD</t>
  </si>
  <si>
    <t>N</t>
  </si>
  <si>
    <t>Mean</t>
  </si>
  <si>
    <t>Familiarity
Distance (cm)</t>
  </si>
  <si>
    <t>Familiarity
Distance 1 (cm)</t>
  </si>
  <si>
    <t>Familiarity
Distance 2 (cm)</t>
  </si>
  <si>
    <t>Familiarity
Depth (cm)</t>
  </si>
  <si>
    <t>Real Distance (cm)</t>
  </si>
  <si>
    <t>Exp3</t>
  </si>
  <si>
    <t>M</t>
  </si>
  <si>
    <t>Ni</t>
  </si>
  <si>
    <t>Mi</t>
  </si>
  <si>
    <t>Sdi</t>
  </si>
  <si>
    <t>Vi</t>
  </si>
  <si>
    <t>Large (133%) golf ball</t>
  </si>
  <si>
    <t>Small (72%) tennis ball</t>
  </si>
  <si>
    <t>sub1_V</t>
  </si>
  <si>
    <t>Mi-Mtotal</t>
  </si>
  <si>
    <t>Mdiff^2</t>
  </si>
  <si>
    <t>Exp 4</t>
  </si>
  <si>
    <t>Large (119%) golf ball</t>
  </si>
  <si>
    <t>Small (77%) tennis ball</t>
  </si>
  <si>
    <t>Epstein (1963)</t>
  </si>
  <si>
    <t>Half-dollar (50c, 2.86cm, 2.38cm)</t>
  </si>
  <si>
    <t>Dime (10c, 1.75cm, 2.38cm)</t>
  </si>
  <si>
    <t>Epstein &amp; Baratz (1964)</t>
  </si>
  <si>
    <t>Gogel (1969b)</t>
  </si>
  <si>
    <t>Higashiyama (1984)</t>
  </si>
  <si>
    <t>Ittelson (1951)</t>
  </si>
  <si>
    <t>RespMean/ShorterFamDist</t>
  </si>
  <si>
    <t>RespStDev/ShorterFamDist</t>
  </si>
  <si>
    <t>FamDepth/ShorterFamDist</t>
  </si>
  <si>
    <t>Dime Large1 (2,5 cm)</t>
  </si>
  <si>
    <t>Dime Large2 (3 cm)</t>
  </si>
  <si>
    <t>Dime Normal (1,7 cm)</t>
  </si>
  <si>
    <t>Half-dollar Normal (3 cm)</t>
  </si>
  <si>
    <t>Quarter Normal (2,5 cm)</t>
  </si>
  <si>
    <t>Quarter Small (1,7 cm)</t>
  </si>
  <si>
    <t>Half-dollar Small1 (2,5 cm)</t>
  </si>
  <si>
    <t>Half-dollar Small2 (1,7 cm)</t>
  </si>
  <si>
    <t>t</t>
  </si>
  <si>
    <t>p</t>
  </si>
  <si>
    <t>#subjects</t>
  </si>
  <si>
    <t>Resp1</t>
  </si>
  <si>
    <t>Resp2</t>
  </si>
  <si>
    <t>Resp Depth</t>
  </si>
  <si>
    <t>Familiarity Depth</t>
  </si>
  <si>
    <t>Coef</t>
  </si>
  <si>
    <t>Cons</t>
  </si>
  <si>
    <t>Iwanami-bunko book (10.5 cm width)</t>
  </si>
  <si>
    <t>Hi-lite cigarette package (5.7 cm width)</t>
  </si>
  <si>
    <t>20-yen postage stamp (2.5 cm width)</t>
  </si>
  <si>
    <t>guitar</t>
  </si>
  <si>
    <t>saw</t>
  </si>
  <si>
    <t>tennis racquet</t>
  </si>
  <si>
    <t>magazine</t>
  </si>
  <si>
    <t>cigarette carton</t>
  </si>
  <si>
    <t>telephone</t>
  </si>
  <si>
    <t>ruler</t>
  </si>
  <si>
    <t>candy bar</t>
  </si>
  <si>
    <t>sunglasses</t>
  </si>
  <si>
    <t>playing card</t>
  </si>
  <si>
    <t>cough drop box</t>
  </si>
  <si>
    <t>tape dispenser</t>
  </si>
  <si>
    <t>stamp</t>
  </si>
  <si>
    <t>razor blade</t>
  </si>
  <si>
    <t>key</t>
  </si>
  <si>
    <t>penny</t>
  </si>
  <si>
    <t>Business letter</t>
  </si>
  <si>
    <t>Match box</t>
  </si>
  <si>
    <t>StDev/FamDist</t>
  </si>
  <si>
    <t>coef</t>
  </si>
  <si>
    <t>cons</t>
  </si>
  <si>
    <t>cost</t>
  </si>
  <si>
    <t>Line</t>
  </si>
  <si>
    <t>Exp-2, 3, 5</t>
  </si>
  <si>
    <t>Exp-1</t>
  </si>
  <si>
    <t>Real Distance 1 (cm)</t>
  </si>
  <si>
    <t>Real Distance 2 (cm)</t>
  </si>
  <si>
    <t>Dime (10c)</t>
  </si>
  <si>
    <t>Quarter (25c)</t>
  </si>
  <si>
    <t>Half-dollar (50c)</t>
  </si>
  <si>
    <t>Cost</t>
  </si>
  <si>
    <t>Probability Error</t>
  </si>
  <si>
    <t>Probability Correct</t>
  </si>
  <si>
    <t>Resp = a*FamDist</t>
  </si>
  <si>
    <t>StDev = a*FamDist + b</t>
  </si>
  <si>
    <t>Resp = a*FamDepth</t>
  </si>
  <si>
    <t>SD = a*FamDepth+b</t>
  </si>
  <si>
    <t>FamDepth / ShorterDist</t>
  </si>
  <si>
    <t>StDev</t>
  </si>
  <si>
    <t>Exp1 (Verbal)</t>
  </si>
  <si>
    <t>Dime L1 (2,5 cm) &amp; Dime L2 (3 cm)</t>
  </si>
  <si>
    <t>Dime L1 (2,5 cm) &amp; Half-dollar S1 (2,5 cm)</t>
  </si>
  <si>
    <t>Dime N (1,7 cm) &amp; Dime L1 (2,5 cm)</t>
  </si>
  <si>
    <t>Dime N (1,7 cm) &amp; Half-dollar S2 (1,7 cm)</t>
  </si>
  <si>
    <t>Dime L1 (2,5 cm) &amp; Quarter N (2,5 cm)</t>
  </si>
  <si>
    <t>Half-dollar N (3 cm) &amp; Dime L1 (2,5 cm)</t>
  </si>
  <si>
    <t>Dime N (1,7 cm) &amp; Quarter S1 (1,7 cm)</t>
  </si>
  <si>
    <t>Depth-based (Eq3)</t>
  </si>
  <si>
    <t>Distance-based (Eq4)</t>
  </si>
  <si>
    <r>
      <t xml:space="preserve">DeLucia, P. R. (2005). Image size and instructions in the perception of depth. </t>
    </r>
    <r>
      <rPr>
        <i/>
        <sz val="12"/>
        <color theme="1"/>
        <rFont val="Calibri"/>
        <family val="2"/>
        <charset val="204"/>
        <scheme val="minor"/>
      </rPr>
      <t>Quarterly Journal of Experimental Psychology</t>
    </r>
    <r>
      <rPr>
        <sz val="12"/>
        <color theme="1"/>
        <rFont val="Calibri"/>
        <family val="2"/>
        <charset val="204"/>
        <scheme val="minor"/>
      </rPr>
      <t>, 58A, 865-886.</t>
    </r>
  </si>
  <si>
    <r>
      <t xml:space="preserve">Dinnerstein, A. J. (1967). Image size and instructions in the perception of depth. </t>
    </r>
    <r>
      <rPr>
        <i/>
        <sz val="12"/>
        <color theme="1"/>
        <rFont val="Calibri"/>
        <family val="2"/>
        <charset val="204"/>
        <scheme val="minor"/>
      </rPr>
      <t>Journal of Experimental Psychology</t>
    </r>
    <r>
      <rPr>
        <sz val="12"/>
        <color theme="1"/>
        <rFont val="Calibri"/>
        <family val="2"/>
        <charset val="204"/>
        <scheme val="minor"/>
      </rPr>
      <t>, 75, 525-528.</t>
    </r>
  </si>
  <si>
    <r>
      <t xml:space="preserve">Epstein, W. (1961). The known-size-apparent-distance hypothesis. </t>
    </r>
    <r>
      <rPr>
        <i/>
        <sz val="12"/>
        <color theme="1"/>
        <rFont val="Calibri"/>
        <family val="2"/>
        <charset val="204"/>
        <scheme val="minor"/>
      </rPr>
      <t>American Journal of Psychology</t>
    </r>
    <r>
      <rPr>
        <sz val="12"/>
        <color theme="1"/>
        <rFont val="Calibri"/>
        <family val="2"/>
        <charset val="204"/>
        <scheme val="minor"/>
      </rPr>
      <t>, 74, 333-346.</t>
    </r>
  </si>
  <si>
    <r>
      <t xml:space="preserve">Epstein, W. (1963). The influence of assumed size on apparent distance. </t>
    </r>
    <r>
      <rPr>
        <i/>
        <sz val="12"/>
        <color theme="1"/>
        <rFont val="Calibri"/>
        <family val="2"/>
        <charset val="204"/>
        <scheme val="minor"/>
      </rPr>
      <t>American Journal of Psychology</t>
    </r>
    <r>
      <rPr>
        <sz val="12"/>
        <color theme="1"/>
        <rFont val="Calibri"/>
        <family val="2"/>
        <charset val="204"/>
        <scheme val="minor"/>
      </rPr>
      <t>, 76, 257-265.</t>
    </r>
  </si>
  <si>
    <r>
      <t xml:space="preserve">Epstein, W. (1965). Nonrelational judgments of size and distance. </t>
    </r>
    <r>
      <rPr>
        <i/>
        <sz val="12"/>
        <color theme="1"/>
        <rFont val="Calibri"/>
        <family val="2"/>
        <charset val="204"/>
        <scheme val="minor"/>
      </rPr>
      <t>American Journal of Psychology</t>
    </r>
    <r>
      <rPr>
        <sz val="12"/>
        <color theme="1"/>
        <rFont val="Calibri"/>
        <family val="2"/>
        <charset val="204"/>
        <scheme val="minor"/>
      </rPr>
      <t>, 78, 120-123.</t>
    </r>
  </si>
  <si>
    <r>
      <t xml:space="preserve">Epstein, W. &amp; Baratz, S. S. (1964). Relative size in isolation as a stimulus for relative perceived distance. </t>
    </r>
    <r>
      <rPr>
        <i/>
        <sz val="12"/>
        <color theme="1"/>
        <rFont val="Calibri"/>
        <family val="2"/>
        <charset val="204"/>
        <scheme val="minor"/>
      </rPr>
      <t>Journal of Experimental Psychology</t>
    </r>
    <r>
      <rPr>
        <sz val="12"/>
        <color theme="1"/>
        <rFont val="Calibri"/>
        <family val="2"/>
        <charset val="204"/>
        <scheme val="minor"/>
      </rPr>
      <t>, 67, 507-513.</t>
    </r>
  </si>
  <si>
    <r>
      <t xml:space="preserve">Fillenbaum, S., Schiffman, R., &amp; Butcher, J. (1965). Perception of off-size versions of a familiar object under conditions of rich information. </t>
    </r>
    <r>
      <rPr>
        <i/>
        <sz val="12"/>
        <color theme="1"/>
        <rFont val="Calibri"/>
        <family val="2"/>
        <charset val="204"/>
        <scheme val="minor"/>
      </rPr>
      <t>Journal of Experimental Psychology</t>
    </r>
    <r>
      <rPr>
        <sz val="12"/>
        <color theme="1"/>
        <rFont val="Calibri"/>
        <family val="2"/>
        <charset val="204"/>
        <scheme val="minor"/>
      </rPr>
      <t>, 69, 298-303.</t>
    </r>
  </si>
  <si>
    <r>
      <t xml:space="preserve">Fitzpatrick, V., Pasnak, R., &amp; Tyer, Z. E. (1982). The effect of familiar size at familiar distances. </t>
    </r>
    <r>
      <rPr>
        <i/>
        <sz val="12"/>
        <color theme="1"/>
        <rFont val="Calibri"/>
        <family val="2"/>
        <charset val="204"/>
        <scheme val="minor"/>
      </rPr>
      <t>Perception</t>
    </r>
    <r>
      <rPr>
        <sz val="12"/>
        <color theme="1"/>
        <rFont val="Calibri"/>
        <family val="2"/>
        <charset val="204"/>
        <scheme val="minor"/>
      </rPr>
      <t>, 11, 85-91.</t>
    </r>
  </si>
  <si>
    <r>
      <t xml:space="preserve">Gogel, W. C. (1969a). The absolute and relative size cues to distance. </t>
    </r>
    <r>
      <rPr>
        <i/>
        <sz val="12"/>
        <color theme="1"/>
        <rFont val="Calibri"/>
        <family val="2"/>
        <charset val="204"/>
        <scheme val="minor"/>
      </rPr>
      <t>American Journal of Psychology</t>
    </r>
    <r>
      <rPr>
        <sz val="12"/>
        <color theme="1"/>
        <rFont val="Calibri"/>
        <family val="2"/>
        <charset val="204"/>
        <scheme val="minor"/>
      </rPr>
      <t>, 82, 228-34.</t>
    </r>
  </si>
  <si>
    <r>
      <t xml:space="preserve">Gogel, W. C. (1969b). The effect of object familiarity on the perception of size and distance. </t>
    </r>
    <r>
      <rPr>
        <i/>
        <sz val="12"/>
        <color theme="1"/>
        <rFont val="Calibri"/>
        <family val="2"/>
        <charset val="204"/>
        <scheme val="minor"/>
      </rPr>
      <t>Quarterly Journal of Experimental Psychology</t>
    </r>
    <r>
      <rPr>
        <sz val="12"/>
        <color theme="1"/>
        <rFont val="Calibri"/>
        <family val="2"/>
        <charset val="204"/>
        <scheme val="minor"/>
      </rPr>
      <t>, 21, 239-247</t>
    </r>
  </si>
  <si>
    <r>
      <t xml:space="preserve">Gogel, W. C. (1969c). The sensing of retinal size. </t>
    </r>
    <r>
      <rPr>
        <i/>
        <sz val="12"/>
        <color theme="1"/>
        <rFont val="Calibri"/>
        <family val="2"/>
        <charset val="204"/>
        <scheme val="minor"/>
      </rPr>
      <t>Vision Research</t>
    </r>
    <r>
      <rPr>
        <sz val="12"/>
        <color theme="1"/>
        <rFont val="Calibri"/>
        <family val="2"/>
        <charset val="204"/>
        <scheme val="minor"/>
      </rPr>
      <t>, 9, 1079-1094.</t>
    </r>
  </si>
  <si>
    <r>
      <t xml:space="preserve">Gogel, W. C. (1976). An indirect method of measuring perceived distance from familiar size. </t>
    </r>
    <r>
      <rPr>
        <i/>
        <sz val="12"/>
        <color theme="1"/>
        <rFont val="Calibri"/>
        <family val="2"/>
        <charset val="204"/>
        <scheme val="minor"/>
      </rPr>
      <t>Perception &amp; Psychophysics</t>
    </r>
    <r>
      <rPr>
        <sz val="12"/>
        <color theme="1"/>
        <rFont val="Calibri"/>
        <family val="2"/>
        <charset val="204"/>
        <scheme val="minor"/>
      </rPr>
      <t>, 20, 419-429.</t>
    </r>
  </si>
  <si>
    <r>
      <t xml:space="preserve">Gogel, W. C. &amp; Da Silva, J. A. (1987b). Familiar size and the theory of off-sized perceptions. </t>
    </r>
    <r>
      <rPr>
        <i/>
        <sz val="12"/>
        <color theme="1"/>
        <rFont val="Calibri"/>
        <family val="2"/>
        <charset val="204"/>
        <scheme val="minor"/>
      </rPr>
      <t>Perception &amp;Psychophysics</t>
    </r>
    <r>
      <rPr>
        <sz val="12"/>
        <color theme="1"/>
        <rFont val="Calibri"/>
        <family val="2"/>
        <charset val="204"/>
        <scheme val="minor"/>
      </rPr>
      <t>, 41, 318-328.</t>
    </r>
  </si>
  <si>
    <r>
      <t xml:space="preserve">Gogel, W. C., Hartman, B. O., &amp; Harker, G. S. (1957). The retinal size of a familiar object as a determiner of apparent distance. </t>
    </r>
    <r>
      <rPr>
        <i/>
        <sz val="12"/>
        <color theme="1"/>
        <rFont val="Calibri"/>
        <family val="2"/>
        <charset val="204"/>
        <scheme val="minor"/>
      </rPr>
      <t>Psychological Monographs: General and Applied</t>
    </r>
    <r>
      <rPr>
        <sz val="12"/>
        <color theme="1"/>
        <rFont val="Calibri"/>
        <family val="2"/>
        <charset val="204"/>
        <scheme val="minor"/>
      </rPr>
      <t>, 71(13, Whole No. 442), 1-16.</t>
    </r>
  </si>
  <si>
    <r>
      <t xml:space="preserve">Gogel, W. C. &amp; Mertens, H. W. (1967). Perceived size and distance of familiar objects. </t>
    </r>
    <r>
      <rPr>
        <i/>
        <sz val="12"/>
        <color theme="1"/>
        <rFont val="Calibri"/>
        <family val="2"/>
        <charset val="204"/>
        <scheme val="minor"/>
      </rPr>
      <t>Perceptual and Motor Skills</t>
    </r>
    <r>
      <rPr>
        <sz val="12"/>
        <color theme="1"/>
        <rFont val="Calibri"/>
        <family val="2"/>
        <charset val="204"/>
        <scheme val="minor"/>
      </rPr>
      <t>, 25, 213-225.</t>
    </r>
  </si>
  <si>
    <r>
      <t xml:space="preserve">Gogel, W. C. &amp; Mertens, H. W. (1968). Perceived depth between familiar objects. </t>
    </r>
    <r>
      <rPr>
        <i/>
        <sz val="12"/>
        <color theme="1"/>
        <rFont val="Calibri"/>
        <family val="2"/>
        <charset val="204"/>
        <scheme val="minor"/>
      </rPr>
      <t>Journal of Experimental Psychology</t>
    </r>
    <r>
      <rPr>
        <sz val="12"/>
        <color theme="1"/>
        <rFont val="Calibri"/>
        <family val="2"/>
        <charset val="204"/>
        <scheme val="minor"/>
      </rPr>
      <t>, 77, 206-211.</t>
    </r>
  </si>
  <si>
    <r>
      <t xml:space="preserve">Hands, P., Khushu, A., &amp; Read, J. C. A. (2014). Interaction between size and disparity cues in distance judgements. In </t>
    </r>
    <r>
      <rPr>
        <i/>
        <sz val="12"/>
        <color theme="1"/>
        <rFont val="Calibri"/>
        <family val="2"/>
        <charset val="204"/>
        <scheme val="minor"/>
      </rPr>
      <t>3D Imaging (IC3D) 2014 International Conference</t>
    </r>
    <r>
      <rPr>
        <sz val="12"/>
        <color theme="1"/>
        <rFont val="Calibri"/>
        <family val="2"/>
        <charset val="204"/>
        <scheme val="minor"/>
      </rPr>
      <t>.</t>
    </r>
  </si>
  <si>
    <r>
      <t xml:space="preserve">Hershenson, M. &amp; Samuels, S. M. (1999). An airplane illusion: Apparent velocity determined by apparent distance. </t>
    </r>
    <r>
      <rPr>
        <i/>
        <sz val="12"/>
        <color theme="1"/>
        <rFont val="Calibri"/>
        <family val="2"/>
        <charset val="204"/>
        <scheme val="minor"/>
      </rPr>
      <t>Perception</t>
    </r>
    <r>
      <rPr>
        <sz val="12"/>
        <color theme="1"/>
        <rFont val="Calibri"/>
        <family val="2"/>
        <charset val="204"/>
        <scheme val="minor"/>
      </rPr>
      <t>, 28, 433-436.</t>
    </r>
  </si>
  <si>
    <r>
      <t xml:space="preserve">Higashiyama, A. (1984). The effects of familiar size on judgments of size and distance: An interaction of viewing attitude with spatial cues. </t>
    </r>
    <r>
      <rPr>
        <i/>
        <sz val="12"/>
        <color theme="1"/>
        <rFont val="Calibri"/>
        <family val="2"/>
        <charset val="204"/>
        <scheme val="minor"/>
      </rPr>
      <t>Perception &amp; Psychophysics</t>
    </r>
    <r>
      <rPr>
        <sz val="12"/>
        <color theme="1"/>
        <rFont val="Calibri"/>
        <family val="2"/>
        <charset val="204"/>
        <scheme val="minor"/>
      </rPr>
      <t>, 35, 305-312.</t>
    </r>
  </si>
  <si>
    <r>
      <t xml:space="preserve">Hochberg, C. B. &amp; Hochberg, J. E. (1952). Familiar size and the perception of depth. </t>
    </r>
    <r>
      <rPr>
        <i/>
        <sz val="12"/>
        <color theme="1"/>
        <rFont val="Calibri"/>
        <family val="2"/>
        <charset val="204"/>
        <scheme val="minor"/>
      </rPr>
      <t>Journal of Psychology</t>
    </r>
    <r>
      <rPr>
        <sz val="12"/>
        <color theme="1"/>
        <rFont val="Calibri"/>
        <family val="2"/>
        <charset val="204"/>
        <scheme val="minor"/>
      </rPr>
      <t>, 34, 107-114.</t>
    </r>
  </si>
  <si>
    <r>
      <t xml:space="preserve">Ittelson, W. H. (1951). Size as a cue to distance: Static localization. </t>
    </r>
    <r>
      <rPr>
        <i/>
        <sz val="12"/>
        <color theme="1"/>
        <rFont val="Calibri"/>
        <family val="2"/>
        <charset val="204"/>
        <scheme val="minor"/>
      </rPr>
      <t>American Journal of Psychology</t>
    </r>
    <r>
      <rPr>
        <sz val="12"/>
        <color theme="1"/>
        <rFont val="Calibri"/>
        <family val="2"/>
        <charset val="204"/>
        <scheme val="minor"/>
      </rPr>
      <t>, 64, 54-67.</t>
    </r>
  </si>
  <si>
    <r>
      <t xml:space="preserve">Ittelson, W. H. &amp; Ames, A. Jr. (1950). Accommodation, Convergence, and Their Relation to Apparent Distance. </t>
    </r>
    <r>
      <rPr>
        <i/>
        <sz val="12"/>
        <color theme="1"/>
        <rFont val="Calibri"/>
        <family val="2"/>
        <charset val="204"/>
        <scheme val="minor"/>
      </rPr>
      <t>Journal of Psychology</t>
    </r>
    <r>
      <rPr>
        <sz val="12"/>
        <color theme="1"/>
        <rFont val="Calibri"/>
        <family val="2"/>
        <charset val="204"/>
        <scheme val="minor"/>
      </rPr>
      <t>, 30, 43-62.</t>
    </r>
  </si>
  <si>
    <r>
      <t xml:space="preserve">Martín, A., Chambeaud, J. G., Barraza, J. F. (2015). The effect of object familiarity on the perception of motion. </t>
    </r>
    <r>
      <rPr>
        <i/>
        <sz val="12"/>
        <color theme="1"/>
        <rFont val="Calibri"/>
        <family val="2"/>
        <charset val="204"/>
        <scheme val="minor"/>
      </rPr>
      <t>Journal of Experimental Psychology Human Perception &amp; Performance</t>
    </r>
    <r>
      <rPr>
        <sz val="12"/>
        <color theme="1"/>
        <rFont val="Calibri"/>
        <family val="2"/>
        <charset val="204"/>
        <scheme val="minor"/>
      </rPr>
      <t>, 41, 283-288.</t>
    </r>
  </si>
  <si>
    <r>
      <t xml:space="preserve">Martín, A., Décima, A. P., Barraza, J. F. (2017). Perception of Speed, Distance, and TTC of Familiar Objects. </t>
    </r>
    <r>
      <rPr>
        <i/>
        <sz val="12"/>
        <color theme="1"/>
        <rFont val="Calibri"/>
        <family val="2"/>
        <charset val="204"/>
        <scheme val="minor"/>
      </rPr>
      <t>Psychology &amp; Neuroscience</t>
    </r>
    <r>
      <rPr>
        <sz val="12"/>
        <color theme="1"/>
        <rFont val="Calibri"/>
        <family val="2"/>
        <charset val="204"/>
        <scheme val="minor"/>
      </rPr>
      <t>, 10, 261-272.</t>
    </r>
  </si>
  <si>
    <r>
      <t xml:space="preserve">McKennell, A. C. (1960). Visual size and familiar size: Individual differences. </t>
    </r>
    <r>
      <rPr>
        <i/>
        <sz val="12"/>
        <color theme="1"/>
        <rFont val="Calibri"/>
        <family val="2"/>
        <charset val="204"/>
        <scheme val="minor"/>
      </rPr>
      <t>British Journal of Psychology</t>
    </r>
    <r>
      <rPr>
        <sz val="12"/>
        <color theme="1"/>
        <rFont val="Calibri"/>
        <family val="2"/>
        <charset val="204"/>
        <scheme val="minor"/>
      </rPr>
      <t>, 51, 27-35.</t>
    </r>
  </si>
  <si>
    <r>
      <t xml:space="preserve">Mershon, D. H. &amp; Gogel, W. C. (1975). Failure of familiar size to determine a metric for visually perceived distance. </t>
    </r>
    <r>
      <rPr>
        <i/>
        <sz val="12"/>
        <color theme="1"/>
        <rFont val="Calibri"/>
        <family val="2"/>
        <charset val="204"/>
        <scheme val="minor"/>
      </rPr>
      <t>Perception &amp; Psychophysics</t>
    </r>
    <r>
      <rPr>
        <sz val="12"/>
        <color theme="1"/>
        <rFont val="Calibri"/>
        <family val="2"/>
        <charset val="204"/>
        <scheme val="minor"/>
      </rPr>
      <t>, 17, 101-106.</t>
    </r>
  </si>
  <si>
    <r>
      <t xml:space="preserve">O'Leary, A. &amp; Wallach, H. (1980). Familiar size and linear perspective as distance cues in stereoscopic depth constancy. </t>
    </r>
    <r>
      <rPr>
        <i/>
        <sz val="12"/>
        <color theme="1"/>
        <rFont val="Calibri"/>
        <family val="2"/>
        <charset val="204"/>
        <scheme val="minor"/>
      </rPr>
      <t>Perception &amp; Psychophysics</t>
    </r>
    <r>
      <rPr>
        <sz val="12"/>
        <color theme="1"/>
        <rFont val="Calibri"/>
        <family val="2"/>
        <charset val="204"/>
        <scheme val="minor"/>
      </rPr>
      <t>, 1980.</t>
    </r>
  </si>
  <si>
    <r>
      <t xml:space="preserve">Ono, H. (1969). Apparent distance as a function of familiar size. </t>
    </r>
    <r>
      <rPr>
        <i/>
        <sz val="12"/>
        <color theme="1"/>
        <rFont val="Calibri"/>
        <family val="2"/>
        <charset val="204"/>
        <scheme val="minor"/>
      </rPr>
      <t>Journal of Experimental Psychology</t>
    </r>
    <r>
      <rPr>
        <sz val="12"/>
        <color theme="1"/>
        <rFont val="Calibri"/>
        <family val="2"/>
        <charset val="204"/>
        <scheme val="minor"/>
      </rPr>
      <t>, 79, 109-115.</t>
    </r>
  </si>
  <si>
    <r>
      <t xml:space="preserve">Predebon, J. (1979). The role of familiar size in spatial judgments under natural viewing conditions. </t>
    </r>
    <r>
      <rPr>
        <i/>
        <sz val="12"/>
        <color theme="1"/>
        <rFont val="Calibri"/>
        <family val="2"/>
        <charset val="204"/>
        <scheme val="minor"/>
      </rPr>
      <t>Perceptual and Motor Skills</t>
    </r>
    <r>
      <rPr>
        <sz val="12"/>
        <color theme="1"/>
        <rFont val="Calibri"/>
        <family val="2"/>
        <charset val="204"/>
        <scheme val="minor"/>
      </rPr>
      <t>, 48, 171-176.</t>
    </r>
  </si>
  <si>
    <r>
      <t xml:space="preserve">Predebon, J. (1987). Familiar size and judgments of distance: Effects of response mode. </t>
    </r>
    <r>
      <rPr>
        <i/>
        <sz val="12"/>
        <color theme="1"/>
        <rFont val="Calibri"/>
        <family val="2"/>
        <charset val="204"/>
        <scheme val="minor"/>
      </rPr>
      <t>Bulletin of the Psychonomic Society</t>
    </r>
    <r>
      <rPr>
        <sz val="12"/>
        <color theme="1"/>
        <rFont val="Calibri"/>
        <family val="2"/>
        <charset val="204"/>
        <scheme val="minor"/>
      </rPr>
      <t>, 25, 244-246.</t>
    </r>
  </si>
  <si>
    <r>
      <t xml:space="preserve">Predebon, J. (1992b). The role of instructions and familiar size in absolute judgments of size and distance. </t>
    </r>
    <r>
      <rPr>
        <i/>
        <sz val="12"/>
        <color theme="1"/>
        <rFont val="Calibri"/>
        <family val="2"/>
        <charset val="204"/>
        <scheme val="minor"/>
      </rPr>
      <t>Perception &amp; Psychophysics</t>
    </r>
    <r>
      <rPr>
        <sz val="12"/>
        <color theme="1"/>
        <rFont val="Calibri"/>
        <family val="2"/>
        <charset val="204"/>
        <scheme val="minor"/>
      </rPr>
      <t>, 51, 344-354.</t>
    </r>
  </si>
  <si>
    <r>
      <t xml:space="preserve">Predebon, J. (1993). The familiar-size cue to distance and stereoscopic depth perception. </t>
    </r>
    <r>
      <rPr>
        <i/>
        <sz val="12"/>
        <color theme="1"/>
        <rFont val="Calibri"/>
        <family val="2"/>
        <charset val="204"/>
        <scheme val="minor"/>
      </rPr>
      <t>Perception</t>
    </r>
    <r>
      <rPr>
        <sz val="12"/>
        <color theme="1"/>
        <rFont val="Calibri"/>
        <family val="2"/>
        <charset val="204"/>
        <scheme val="minor"/>
      </rPr>
      <t>, 22, 985-995.</t>
    </r>
  </si>
  <si>
    <r>
      <t xml:space="preserve">Predebon, J. &amp; Woolley, J. S. (1994). The familiar-size cue to depth under reduced-cue viewing conditions. </t>
    </r>
    <r>
      <rPr>
        <i/>
        <sz val="12"/>
        <color theme="1"/>
        <rFont val="Calibri"/>
        <family val="2"/>
        <charset val="204"/>
        <scheme val="minor"/>
      </rPr>
      <t>Perception</t>
    </r>
    <r>
      <rPr>
        <sz val="12"/>
        <color theme="1"/>
        <rFont val="Calibri"/>
        <family val="2"/>
        <charset val="204"/>
        <scheme val="minor"/>
      </rPr>
      <t>, 23, 1301-1312.</t>
    </r>
  </si>
  <si>
    <r>
      <t xml:space="preserve">Yonas, A., Pettersen, L., &amp; Granrud, C. E. (1982). Infants' sensitivity to familiar size as information for distance. </t>
    </r>
    <r>
      <rPr>
        <i/>
        <sz val="12"/>
        <color theme="1"/>
        <rFont val="Calibri"/>
        <family val="2"/>
        <charset val="204"/>
        <scheme val="minor"/>
      </rPr>
      <t>Child Development</t>
    </r>
    <r>
      <rPr>
        <sz val="12"/>
        <color theme="1"/>
        <rFont val="Calibri"/>
        <family val="2"/>
        <charset val="204"/>
        <scheme val="minor"/>
      </rPr>
      <t>, 53, 1285-1290.</t>
    </r>
  </si>
  <si>
    <t>Cigarette box (Hi-Lite)</t>
  </si>
  <si>
    <t>Saw</t>
  </si>
  <si>
    <t>Tennis rackuet</t>
  </si>
  <si>
    <t>Magazine</t>
  </si>
  <si>
    <t>Cigarette carton</t>
  </si>
  <si>
    <t>Telephone</t>
  </si>
  <si>
    <t>Ruler</t>
  </si>
  <si>
    <t>Candy bar</t>
  </si>
  <si>
    <t>Playing card</t>
  </si>
  <si>
    <t>Cough drop box</t>
  </si>
  <si>
    <t>Tape dispenser</t>
  </si>
  <si>
    <t>Stamp</t>
  </si>
  <si>
    <t>Razor blade</t>
  </si>
  <si>
    <t>Coin (US Half-dollar)</t>
  </si>
  <si>
    <t>Golf ball</t>
  </si>
  <si>
    <t>Tennis ball</t>
  </si>
  <si>
    <t>Paper money (5AUD)</t>
  </si>
  <si>
    <t>Paper money (1USD)</t>
  </si>
  <si>
    <t>Coin (0.5USD)</t>
  </si>
  <si>
    <t>Coin (0.25USD)</t>
  </si>
  <si>
    <t>Coin (0.1USD)</t>
  </si>
  <si>
    <t>Matchbook</t>
  </si>
  <si>
    <t>Chair</t>
  </si>
  <si>
    <t>Beach ball</t>
  </si>
  <si>
    <t>Marble</t>
  </si>
  <si>
    <t>Credit card</t>
  </si>
  <si>
    <t>Airplane</t>
  </si>
  <si>
    <t>Hosking, S. G. &amp; Crassini, B. (2010). The effects of familiar size and object trajectories on time-to-contact judgements. Experimental Brain Research, 203, 541-552.</t>
  </si>
  <si>
    <t>Soccer ball</t>
  </si>
  <si>
    <t>Basket ball</t>
  </si>
  <si>
    <t>Cigarette</t>
  </si>
  <si>
    <t>9-inch rule</t>
  </si>
  <si>
    <t>Match stick</t>
  </si>
  <si>
    <t>Nail file</t>
  </si>
  <si>
    <t>Pocket comb</t>
  </si>
  <si>
    <t>Medicine bottle</t>
  </si>
  <si>
    <t>Cigar</t>
  </si>
  <si>
    <t>Penknife</t>
  </si>
  <si>
    <t>Postage stamp</t>
  </si>
  <si>
    <t>University catalog</t>
  </si>
  <si>
    <t>Postage stamp (0.05USD)</t>
  </si>
  <si>
    <t>Base ball</t>
  </si>
  <si>
    <t>Human body (boy)</t>
  </si>
  <si>
    <t>Human body (man)</t>
  </si>
  <si>
    <t>Human face (woman)</t>
  </si>
  <si>
    <t>Book (Iwanami-bunko)</t>
  </si>
  <si>
    <t>Postage stam (20JPY)</t>
  </si>
  <si>
    <t>Coin (0.01USD)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</si>
</sst>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8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charset val="204"/>
      <scheme val="minor"/>
    </font>
    <font>
      <b/>
      <sz val="11"/>
      <color theme="0" tint="-0.3499862666707357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0" fillId="0" borderId="0" xfId="0" applyFont="1"/>
    <xf numFmtId="0" fontId="0" fillId="0" borderId="0" xfId="0" applyAlignment="1">
      <alignment horizontal="left" vertical="center" wrapText="1"/>
    </xf>
    <xf numFmtId="0" fontId="10" fillId="0" borderId="0" xfId="0" applyFont="1"/>
    <xf numFmtId="0" fontId="3" fillId="0" borderId="0" xfId="0" applyFont="1"/>
    <xf numFmtId="0" fontId="0" fillId="0" borderId="0" xfId="0" applyFont="1" applyAlignment="1">
      <alignment wrapText="1"/>
    </xf>
    <xf numFmtId="0" fontId="0" fillId="0" borderId="0" xfId="0" applyNumberFormat="1" applyFont="1"/>
    <xf numFmtId="0" fontId="11" fillId="0" borderId="0" xfId="0" applyFont="1" applyAlignment="1">
      <alignment horizontal="right" wrapText="1"/>
    </xf>
    <xf numFmtId="0" fontId="7" fillId="0" borderId="0" xfId="0" applyFont="1" applyFill="1"/>
    <xf numFmtId="0" fontId="10" fillId="0" borderId="0" xfId="0" applyFont="1" applyFill="1"/>
    <xf numFmtId="0" fontId="0" fillId="0" borderId="0" xfId="0" applyFont="1" applyFill="1"/>
    <xf numFmtId="0" fontId="0" fillId="0" borderId="0" xfId="0" applyFont="1" applyFill="1" applyAlignment="1"/>
    <xf numFmtId="0" fontId="13" fillId="0" borderId="0" xfId="0" applyFont="1"/>
    <xf numFmtId="0" fontId="7" fillId="0" borderId="1" xfId="0" applyFont="1" applyBorder="1"/>
    <xf numFmtId="0" fontId="0" fillId="0" borderId="1" xfId="0" applyFont="1" applyBorder="1"/>
    <xf numFmtId="0" fontId="7" fillId="0" borderId="1" xfId="0" applyFont="1" applyFill="1" applyBorder="1"/>
    <xf numFmtId="0" fontId="3" fillId="0" borderId="1" xfId="0" applyFont="1" applyBorder="1"/>
    <xf numFmtId="0" fontId="10" fillId="0" borderId="1" xfId="0" applyFont="1" applyBorder="1"/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0" fillId="0" borderId="0" xfId="0" applyFont="1" applyFill="1" applyAlignment="1">
      <alignment vertical="top"/>
    </xf>
    <xf numFmtId="0" fontId="17" fillId="0" borderId="0" xfId="0" applyFont="1"/>
    <xf numFmtId="0" fontId="0" fillId="0" borderId="1" xfId="0" applyBorder="1"/>
    <xf numFmtId="0" fontId="0" fillId="0" borderId="1" xfId="0" applyFont="1" applyFill="1" applyBorder="1"/>
    <xf numFmtId="0" fontId="0" fillId="0" borderId="0" xfId="0" applyFill="1"/>
    <xf numFmtId="0" fontId="5" fillId="0" borderId="1" xfId="0" applyFont="1" applyBorder="1" applyAlignment="1">
      <alignment horizontal="center" vertical="center"/>
    </xf>
    <xf numFmtId="0" fontId="3" fillId="0" borderId="0" xfId="0" applyNumberFormat="1" applyFont="1"/>
    <xf numFmtId="0" fontId="12" fillId="0" borderId="1" xfId="0" applyFont="1" applyBorder="1" applyAlignment="1">
      <alignment horizontal="left"/>
    </xf>
    <xf numFmtId="0" fontId="0" fillId="0" borderId="1" xfId="0" applyFont="1" applyBorder="1" applyAlignment="1"/>
    <xf numFmtId="0" fontId="0" fillId="0" borderId="1" xfId="0" applyNumberFormat="1" applyFont="1" applyBorder="1"/>
    <xf numFmtId="0" fontId="0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0" fillId="0" borderId="0" xfId="0" applyNumberFormat="1" applyFont="1" applyFill="1"/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8" fillId="0" borderId="0" xfId="0" applyFont="1"/>
    <xf numFmtId="0" fontId="2" fillId="0" borderId="0" xfId="0" applyFont="1" applyAlignment="1">
      <alignment vertical="center"/>
    </xf>
    <xf numFmtId="0" fontId="1" fillId="0" borderId="0" xfId="0" applyFont="1"/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vertical="top"/>
    </xf>
    <xf numFmtId="0" fontId="5" fillId="0" borderId="0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/>
    </xf>
    <xf numFmtId="0" fontId="10" fillId="0" borderId="0" xfId="0" applyFont="1" applyFill="1" applyAlignment="1">
      <alignment horizontal="right" vertical="top"/>
    </xf>
    <xf numFmtId="0" fontId="1" fillId="0" borderId="0" xfId="0" applyNumberFormat="1" applyFont="1"/>
    <xf numFmtId="0" fontId="2" fillId="0" borderId="0" xfId="0" applyFont="1" applyBorder="1" applyAlignment="1">
      <alignment vertical="center"/>
    </xf>
    <xf numFmtId="0" fontId="10" fillId="0" borderId="0" xfId="0" applyFont="1" applyBorder="1"/>
    <xf numFmtId="0" fontId="10" fillId="0" borderId="0" xfId="0" applyFont="1" applyBorder="1" applyAlignment="1">
      <alignment horizontal="right" vertical="top"/>
    </xf>
    <xf numFmtId="0" fontId="0" fillId="0" borderId="0" xfId="0" applyBorder="1"/>
    <xf numFmtId="0" fontId="0" fillId="0" borderId="0" xfId="0" applyFont="1" applyBorder="1"/>
    <xf numFmtId="0" fontId="13" fillId="0" borderId="0" xfId="0" applyFont="1" applyBorder="1"/>
    <xf numFmtId="0" fontId="7" fillId="0" borderId="0" xfId="0" applyFont="1" applyBorder="1"/>
    <xf numFmtId="0" fontId="0" fillId="0" borderId="0" xfId="0" applyFont="1" applyFill="1" applyBorder="1"/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0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9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 wrapText="1"/>
    </xf>
    <xf numFmtId="0" fontId="7" fillId="0" borderId="0" xfId="0" applyFont="1" applyFill="1" applyAlignment="1"/>
    <xf numFmtId="0" fontId="19" fillId="0" borderId="0" xfId="0" applyFont="1" applyFill="1" applyAlignment="1">
      <alignment horizontal="right" vertical="top"/>
    </xf>
    <xf numFmtId="0" fontId="1" fillId="0" borderId="0" xfId="0" applyNumberFormat="1" applyFont="1" applyFill="1"/>
    <xf numFmtId="0" fontId="1" fillId="0" borderId="1" xfId="0" applyFont="1" applyBorder="1"/>
    <xf numFmtId="0" fontId="1" fillId="0" borderId="1" xfId="0" applyFont="1" applyFill="1" applyBorder="1"/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19" fillId="0" borderId="0" xfId="0" applyFont="1" applyFill="1"/>
    <xf numFmtId="0" fontId="19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6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/>
    <xf numFmtId="0" fontId="0" fillId="0" borderId="0" xfId="0" applyFont="1" applyFill="1" applyBorder="1" applyAlignment="1">
      <alignment horizontal="center" vertical="center"/>
    </xf>
    <xf numFmtId="0" fontId="0" fillId="2" borderId="0" xfId="0" applyFont="1" applyFill="1" applyBorder="1"/>
    <xf numFmtId="0" fontId="1" fillId="2" borderId="0" xfId="0" applyFont="1" applyFill="1" applyAlignment="1">
      <alignment horizontal="right"/>
    </xf>
    <xf numFmtId="0" fontId="19" fillId="2" borderId="0" xfId="0" applyFont="1" applyFill="1" applyBorder="1"/>
    <xf numFmtId="0" fontId="10" fillId="0" borderId="1" xfId="0" applyFont="1" applyFill="1" applyBorder="1"/>
    <xf numFmtId="0" fontId="0" fillId="0" borderId="1" xfId="0" applyFill="1" applyBorder="1"/>
    <xf numFmtId="0" fontId="17" fillId="0" borderId="0" xfId="0" applyFont="1" applyBorder="1"/>
    <xf numFmtId="0" fontId="16" fillId="0" borderId="0" xfId="0" applyFont="1" applyFill="1" applyBorder="1"/>
    <xf numFmtId="0" fontId="10" fillId="0" borderId="0" xfId="0" applyFont="1" applyFill="1" applyBorder="1"/>
    <xf numFmtId="0" fontId="17" fillId="0" borderId="0" xfId="0" applyFont="1" applyFill="1" applyBorder="1"/>
    <xf numFmtId="0" fontId="21" fillId="0" borderId="0" xfId="0" applyFont="1" applyBorder="1"/>
    <xf numFmtId="0" fontId="17" fillId="0" borderId="0" xfId="0" applyFont="1" applyFill="1"/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horizontal="right"/>
    </xf>
    <xf numFmtId="0" fontId="12" fillId="0" borderId="1" xfId="0" applyFont="1" applyFill="1" applyBorder="1" applyAlignment="1">
      <alignment horizontal="left"/>
    </xf>
    <xf numFmtId="0" fontId="18" fillId="0" borderId="0" xfId="0" applyFont="1" applyFill="1"/>
    <xf numFmtId="0" fontId="0" fillId="0" borderId="0" xfId="0" applyAlignment="1">
      <alignment horizontal="center"/>
    </xf>
    <xf numFmtId="0" fontId="14" fillId="0" borderId="0" xfId="0" applyFont="1" applyAlignment="1">
      <alignment horizontal="right"/>
    </xf>
    <xf numFmtId="0" fontId="22" fillId="0" borderId="0" xfId="0" applyFont="1" applyFill="1" applyAlignment="1">
      <alignment vertical="center"/>
    </xf>
    <xf numFmtId="0" fontId="22" fillId="0" borderId="0" xfId="0" applyFont="1" applyFill="1"/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0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'Distance (Eq4)'!$A$3</c:f>
              <c:strCache>
                <c:ptCount val="1"/>
                <c:pt idx="0">
                  <c:v>Epstein (1963)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'Distance (Eq4)'!$G$4:$G$6</c:f>
                <c:numCache>
                  <c:formatCode>General</c:formatCode>
                  <c:ptCount val="3"/>
                  <c:pt idx="0">
                    <c:v>23.9</c:v>
                  </c:pt>
                  <c:pt idx="1">
                    <c:v>17.5</c:v>
                  </c:pt>
                  <c:pt idx="2">
                    <c:v>29.7</c:v>
                  </c:pt>
                </c:numCache>
              </c:numRef>
            </c:plus>
            <c:minus>
              <c:numRef>
                <c:f>'Distance (Eq4)'!$G$4:$G$6</c:f>
                <c:numCache>
                  <c:formatCode>General</c:formatCode>
                  <c:ptCount val="3"/>
                  <c:pt idx="0">
                    <c:v>23.9</c:v>
                  </c:pt>
                  <c:pt idx="1">
                    <c:v>17.5</c:v>
                  </c:pt>
                  <c:pt idx="2">
                    <c:v>29.7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'Distance (Eq4)'!$E$4:$E$6</c:f>
              <c:numCache>
                <c:formatCode>General</c:formatCode>
                <c:ptCount val="3"/>
                <c:pt idx="0">
                  <c:v>99.264705882352942</c:v>
                </c:pt>
                <c:pt idx="1">
                  <c:v>135</c:v>
                </c:pt>
                <c:pt idx="2">
                  <c:v>162.22689075630251</c:v>
                </c:pt>
              </c:numCache>
            </c:numRef>
          </c:xVal>
          <c:yVal>
            <c:numRef>
              <c:f>'Distance (Eq4)'!$F$4:$F$6</c:f>
              <c:numCache>
                <c:formatCode>General</c:formatCode>
                <c:ptCount val="3"/>
                <c:pt idx="0">
                  <c:v>112.74</c:v>
                </c:pt>
                <c:pt idx="1">
                  <c:v>132.72999999999999</c:v>
                </c:pt>
                <c:pt idx="2">
                  <c:v>164.19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5E6-4F97-BF1E-8555D538E451}"/>
            </c:ext>
          </c:extLst>
        </c:ser>
        <c:ser>
          <c:idx val="2"/>
          <c:order val="1"/>
          <c:tx>
            <c:v>Fit</c:v>
          </c:tx>
          <c:spPr>
            <a:ln w="3810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C5E6-4F97-BF1E-8555D538E451}"/>
              </c:ext>
            </c:extLst>
          </c:dPt>
          <c:xVal>
            <c:numRef>
              <c:f>'Distance (Eq4)'!$L$87:$L$88</c:f>
              <c:numCache>
                <c:formatCode>General</c:formatCode>
                <c:ptCount val="2"/>
                <c:pt idx="0">
                  <c:v>10</c:v>
                </c:pt>
                <c:pt idx="1">
                  <c:v>2000</c:v>
                </c:pt>
              </c:numCache>
            </c:numRef>
          </c:xVal>
          <c:yVal>
            <c:numRef>
              <c:f>'Distance (Eq4)'!$J$87:$J$88</c:f>
              <c:numCache>
                <c:formatCode>General</c:formatCode>
                <c:ptCount val="2"/>
                <c:pt idx="0">
                  <c:v>7.4706392223062839</c:v>
                </c:pt>
                <c:pt idx="1">
                  <c:v>1494.1278444612567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5E6-4F97-BF1E-8555D538E451}"/>
            </c:ext>
          </c:extLst>
        </c:ser>
        <c:ser>
          <c:idx val="1"/>
          <c:order val="2"/>
          <c:tx>
            <c:strRef>
              <c:f>'Distance (Eq4)'!$A$9</c:f>
              <c:strCache>
                <c:ptCount val="1"/>
                <c:pt idx="0">
                  <c:v>Epstein (1965)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'Distance (Eq4)'!$G$10:$G$12</c:f>
                <c:numCache>
                  <c:formatCode>General</c:formatCode>
                  <c:ptCount val="3"/>
                  <c:pt idx="0">
                    <c:v>20.14</c:v>
                  </c:pt>
                  <c:pt idx="1">
                    <c:v>27.65</c:v>
                  </c:pt>
                  <c:pt idx="2">
                    <c:v>31.62</c:v>
                  </c:pt>
                </c:numCache>
              </c:numRef>
            </c:plus>
            <c:minus>
              <c:numRef>
                <c:f>'Distance (Eq4)'!$G$10:$G$12</c:f>
                <c:numCache>
                  <c:formatCode>General</c:formatCode>
                  <c:ptCount val="3"/>
                  <c:pt idx="0">
                    <c:v>20.14</c:v>
                  </c:pt>
                  <c:pt idx="1">
                    <c:v>27.65</c:v>
                  </c:pt>
                  <c:pt idx="2">
                    <c:v>31.62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'Distance (Eq4)'!$E$10:$E$12</c:f>
              <c:numCache>
                <c:formatCode>General</c:formatCode>
                <c:ptCount val="3"/>
                <c:pt idx="0">
                  <c:v>99.264705882352942</c:v>
                </c:pt>
                <c:pt idx="1">
                  <c:v>135</c:v>
                </c:pt>
                <c:pt idx="2">
                  <c:v>162.22689075630251</c:v>
                </c:pt>
              </c:numCache>
            </c:numRef>
          </c:xVal>
          <c:yVal>
            <c:numRef>
              <c:f>'Distance (Eq4)'!$F$10:$F$12</c:f>
              <c:numCache>
                <c:formatCode>General</c:formatCode>
                <c:ptCount val="3"/>
                <c:pt idx="0">
                  <c:v>103.56</c:v>
                </c:pt>
                <c:pt idx="1">
                  <c:v>128.1</c:v>
                </c:pt>
                <c:pt idx="2">
                  <c:v>151.30000000000001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066-4138-ACC6-5909A7FD4044}"/>
            </c:ext>
          </c:extLst>
        </c:ser>
        <c:ser>
          <c:idx val="3"/>
          <c:order val="3"/>
          <c:tx>
            <c:strRef>
              <c:f>'Distance (Eq4)'!$A$15</c:f>
              <c:strCache>
                <c:ptCount val="1"/>
                <c:pt idx="0">
                  <c:v>Gogel (1969c)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'Distance (Eq4)'!$G$16:$G$25</c:f>
                <c:numCache>
                  <c:formatCode>General</c:formatCode>
                  <c:ptCount val="10"/>
                  <c:pt idx="0">
                    <c:v>30.48</c:v>
                  </c:pt>
                  <c:pt idx="1">
                    <c:v>33.528000000000006</c:v>
                  </c:pt>
                  <c:pt idx="2">
                    <c:v>51.816000000000003</c:v>
                  </c:pt>
                  <c:pt idx="3">
                    <c:v>57.911999999999999</c:v>
                  </c:pt>
                  <c:pt idx="4">
                    <c:v>76.2</c:v>
                  </c:pt>
                  <c:pt idx="5">
                    <c:v>85.343999999999994</c:v>
                  </c:pt>
                  <c:pt idx="6">
                    <c:v>109.72800000000001</c:v>
                  </c:pt>
                  <c:pt idx="7">
                    <c:v>112.77600000000001</c:v>
                  </c:pt>
                  <c:pt idx="8">
                    <c:v>131.06399999999999</c:v>
                  </c:pt>
                  <c:pt idx="9">
                    <c:v>131.06399999999999</c:v>
                  </c:pt>
                </c:numCache>
              </c:numRef>
            </c:plus>
            <c:minus>
              <c:numRef>
                <c:f>'Distance (Eq4)'!$G$16:$G$25</c:f>
                <c:numCache>
                  <c:formatCode>General</c:formatCode>
                  <c:ptCount val="10"/>
                  <c:pt idx="0">
                    <c:v>30.48</c:v>
                  </c:pt>
                  <c:pt idx="1">
                    <c:v>33.528000000000006</c:v>
                  </c:pt>
                  <c:pt idx="2">
                    <c:v>51.816000000000003</c:v>
                  </c:pt>
                  <c:pt idx="3">
                    <c:v>57.911999999999999</c:v>
                  </c:pt>
                  <c:pt idx="4">
                    <c:v>76.2</c:v>
                  </c:pt>
                  <c:pt idx="5">
                    <c:v>85.343999999999994</c:v>
                  </c:pt>
                  <c:pt idx="6">
                    <c:v>109.72800000000001</c:v>
                  </c:pt>
                  <c:pt idx="7">
                    <c:v>112.77600000000001</c:v>
                  </c:pt>
                  <c:pt idx="8">
                    <c:v>131.06399999999999</c:v>
                  </c:pt>
                  <c:pt idx="9">
                    <c:v>131.06399999999999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'Distance (Eq4)'!$E$16:$E$25</c:f>
              <c:numCache>
                <c:formatCode>General</c:formatCode>
                <c:ptCount val="10"/>
                <c:pt idx="0">
                  <c:v>121.92</c:v>
                </c:pt>
                <c:pt idx="1">
                  <c:v>54.864000000000004</c:v>
                </c:pt>
                <c:pt idx="2">
                  <c:v>213.36</c:v>
                </c:pt>
                <c:pt idx="3">
                  <c:v>121.92</c:v>
                </c:pt>
                <c:pt idx="4">
                  <c:v>335.28000000000003</c:v>
                </c:pt>
                <c:pt idx="5">
                  <c:v>192.024</c:v>
                </c:pt>
                <c:pt idx="6">
                  <c:v>457.2</c:v>
                </c:pt>
                <c:pt idx="7">
                  <c:v>262.12799999999999</c:v>
                </c:pt>
                <c:pt idx="8">
                  <c:v>548.64</c:v>
                </c:pt>
                <c:pt idx="9">
                  <c:v>310.89599999999996</c:v>
                </c:pt>
              </c:numCache>
            </c:numRef>
          </c:xVal>
          <c:yVal>
            <c:numRef>
              <c:f>'Distance (Eq4)'!$F$16:$F$25</c:f>
              <c:numCache>
                <c:formatCode>General</c:formatCode>
                <c:ptCount val="10"/>
                <c:pt idx="0">
                  <c:v>60.96</c:v>
                </c:pt>
                <c:pt idx="1">
                  <c:v>45.72</c:v>
                </c:pt>
                <c:pt idx="2">
                  <c:v>131.06399999999999</c:v>
                </c:pt>
                <c:pt idx="3">
                  <c:v>106.68</c:v>
                </c:pt>
                <c:pt idx="4">
                  <c:v>204.21600000000001</c:v>
                </c:pt>
                <c:pt idx="5">
                  <c:v>182.88</c:v>
                </c:pt>
                <c:pt idx="6">
                  <c:v>292.608</c:v>
                </c:pt>
                <c:pt idx="7">
                  <c:v>243.84</c:v>
                </c:pt>
                <c:pt idx="8">
                  <c:v>353.56799999999998</c:v>
                </c:pt>
                <c:pt idx="9">
                  <c:v>289.56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066-4138-ACC6-5909A7FD4044}"/>
            </c:ext>
          </c:extLst>
        </c:ser>
        <c:ser>
          <c:idx val="4"/>
          <c:order val="4"/>
          <c:tx>
            <c:strRef>
              <c:f>'Distance (Eq4)'!$A$28</c:f>
              <c:strCache>
                <c:ptCount val="1"/>
                <c:pt idx="0">
                  <c:v>Gogel (1976)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noFill/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'Distance (Eq4)'!$G$29:$G$31</c:f>
                <c:numCache>
                  <c:formatCode>General</c:formatCode>
                  <c:ptCount val="3"/>
                  <c:pt idx="0">
                    <c:v>52.445209504777459</c:v>
                  </c:pt>
                  <c:pt idx="1">
                    <c:v>257.65468654771252</c:v>
                  </c:pt>
                  <c:pt idx="2">
                    <c:v>484.90946319905947</c:v>
                  </c:pt>
                </c:numCache>
              </c:numRef>
            </c:plus>
            <c:minus>
              <c:numRef>
                <c:f>'Distance (Eq4)'!$G$29:$G$31</c:f>
                <c:numCache>
                  <c:formatCode>General</c:formatCode>
                  <c:ptCount val="3"/>
                  <c:pt idx="0">
                    <c:v>52.445209504777459</c:v>
                  </c:pt>
                  <c:pt idx="1">
                    <c:v>257.65468654771252</c:v>
                  </c:pt>
                  <c:pt idx="2">
                    <c:v>484.90946319905947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'Distance (Eq4)'!$E$29:$E$31</c:f>
              <c:numCache>
                <c:formatCode>General</c:formatCode>
                <c:ptCount val="3"/>
                <c:pt idx="0">
                  <c:v>63</c:v>
                </c:pt>
                <c:pt idx="1">
                  <c:v>185</c:v>
                </c:pt>
                <c:pt idx="2">
                  <c:v>1236</c:v>
                </c:pt>
              </c:numCache>
            </c:numRef>
          </c:xVal>
          <c:yVal>
            <c:numRef>
              <c:f>'Distance (Eq4)'!$F$29:$F$31</c:f>
              <c:numCache>
                <c:formatCode>General</c:formatCode>
                <c:ptCount val="3"/>
                <c:pt idx="0">
                  <c:v>54.5</c:v>
                </c:pt>
                <c:pt idx="1">
                  <c:v>161.75</c:v>
                </c:pt>
                <c:pt idx="2">
                  <c:v>411.25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066-4138-ACC6-5909A7FD4044}"/>
            </c:ext>
          </c:extLst>
        </c:ser>
        <c:ser>
          <c:idx val="5"/>
          <c:order val="5"/>
          <c:tx>
            <c:strRef>
              <c:f>'Distance (Eq4)'!$A$36</c:f>
              <c:strCache>
                <c:ptCount val="1"/>
                <c:pt idx="0">
                  <c:v>Gogel &amp; Mertens (1968)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B050"/>
              </a:solidFill>
              <a:ln>
                <a:noFill/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'Distance (Eq4)'!$G$37:$G$41</c:f>
                <c:numCache>
                  <c:formatCode>General</c:formatCode>
                  <c:ptCount val="5"/>
                  <c:pt idx="0">
                    <c:v>83</c:v>
                  </c:pt>
                  <c:pt idx="1">
                    <c:v>66</c:v>
                  </c:pt>
                  <c:pt idx="2">
                    <c:v>50</c:v>
                  </c:pt>
                  <c:pt idx="3">
                    <c:v>53</c:v>
                  </c:pt>
                  <c:pt idx="4">
                    <c:v>50</c:v>
                  </c:pt>
                </c:numCache>
              </c:numRef>
            </c:plus>
            <c:minus>
              <c:numRef>
                <c:f>'Distance (Eq4)'!$G$37:$G$41</c:f>
                <c:numCache>
                  <c:formatCode>General</c:formatCode>
                  <c:ptCount val="5"/>
                  <c:pt idx="0">
                    <c:v>83</c:v>
                  </c:pt>
                  <c:pt idx="1">
                    <c:v>66</c:v>
                  </c:pt>
                  <c:pt idx="2">
                    <c:v>50</c:v>
                  </c:pt>
                  <c:pt idx="3">
                    <c:v>53</c:v>
                  </c:pt>
                  <c:pt idx="4">
                    <c:v>50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'Distance (Eq4)'!$E$37:$E$41</c:f>
              <c:numCache>
                <c:formatCode>General</c:formatCode>
                <c:ptCount val="5"/>
                <c:pt idx="0">
                  <c:v>299</c:v>
                </c:pt>
                <c:pt idx="1">
                  <c:v>234</c:v>
                </c:pt>
                <c:pt idx="2">
                  <c:v>128</c:v>
                </c:pt>
                <c:pt idx="3">
                  <c:v>87</c:v>
                </c:pt>
                <c:pt idx="4">
                  <c:v>63</c:v>
                </c:pt>
              </c:numCache>
            </c:numRef>
          </c:xVal>
          <c:yVal>
            <c:numRef>
              <c:f>'Distance (Eq4)'!$F$37:$F$41</c:f>
              <c:numCache>
                <c:formatCode>General</c:formatCode>
                <c:ptCount val="5"/>
                <c:pt idx="0">
                  <c:v>159</c:v>
                </c:pt>
                <c:pt idx="1">
                  <c:v>123</c:v>
                </c:pt>
                <c:pt idx="2">
                  <c:v>86</c:v>
                </c:pt>
                <c:pt idx="3">
                  <c:v>81</c:v>
                </c:pt>
                <c:pt idx="4">
                  <c:v>66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066-4138-ACC6-5909A7FD4044}"/>
            </c:ext>
          </c:extLst>
        </c:ser>
        <c:ser>
          <c:idx val="6"/>
          <c:order val="6"/>
          <c:tx>
            <c:strRef>
              <c:f>'Distance (Eq4)'!$A$44</c:f>
              <c:strCache>
                <c:ptCount val="1"/>
                <c:pt idx="0">
                  <c:v>Predebon &amp; Woolley (1994)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noFill/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'Distance (Eq4)'!$G$45:$G$50</c:f>
                <c:numCache>
                  <c:formatCode>General</c:formatCode>
                  <c:ptCount val="6"/>
                  <c:pt idx="0">
                    <c:v>33.616004712629163</c:v>
                  </c:pt>
                  <c:pt idx="1">
                    <c:v>70.830460488582816</c:v>
                  </c:pt>
                  <c:pt idx="4">
                    <c:v>20.170000000000002</c:v>
                  </c:pt>
                  <c:pt idx="5">
                    <c:v>63.06</c:v>
                  </c:pt>
                </c:numCache>
              </c:numRef>
            </c:plus>
            <c:minus>
              <c:numRef>
                <c:f>'Distance (Eq4)'!$G$45:$G$50</c:f>
                <c:numCache>
                  <c:formatCode>General</c:formatCode>
                  <c:ptCount val="6"/>
                  <c:pt idx="0">
                    <c:v>33.616004712629163</c:v>
                  </c:pt>
                  <c:pt idx="1">
                    <c:v>70.830460488582816</c:v>
                  </c:pt>
                  <c:pt idx="4">
                    <c:v>20.170000000000002</c:v>
                  </c:pt>
                  <c:pt idx="5">
                    <c:v>63.06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'Distance (Eq4)'!$E$45:$E$50</c:f>
              <c:numCache>
                <c:formatCode>General</c:formatCode>
                <c:ptCount val="6"/>
                <c:pt idx="0">
                  <c:v>100</c:v>
                </c:pt>
                <c:pt idx="1">
                  <c:v>142.85714285714286</c:v>
                </c:pt>
                <c:pt idx="4">
                  <c:v>84.033613445378151</c:v>
                </c:pt>
                <c:pt idx="5">
                  <c:v>129.87012987012986</c:v>
                </c:pt>
              </c:numCache>
            </c:numRef>
          </c:xVal>
          <c:yVal>
            <c:numRef>
              <c:f>'Distance (Eq4)'!$F$45:$F$50</c:f>
              <c:numCache>
                <c:formatCode>General</c:formatCode>
                <c:ptCount val="6"/>
                <c:pt idx="0">
                  <c:v>63.42777777777777</c:v>
                </c:pt>
                <c:pt idx="1">
                  <c:v>115.48055555555554</c:v>
                </c:pt>
                <c:pt idx="4">
                  <c:v>49.3</c:v>
                </c:pt>
                <c:pt idx="5">
                  <c:v>123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066-4138-ACC6-5909A7FD4044}"/>
            </c:ext>
          </c:extLst>
        </c:ser>
        <c:ser>
          <c:idx val="7"/>
          <c:order val="7"/>
          <c:tx>
            <c:strRef>
              <c:f>'Distance (Eq4)'!$A$53</c:f>
              <c:strCache>
                <c:ptCount val="1"/>
                <c:pt idx="0">
                  <c:v>Higashiyama (1984)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noFill/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'Distance (Eq4)'!$G$54:$G$56</c:f>
                <c:numCache>
                  <c:formatCode>General</c:formatCode>
                  <c:ptCount val="3"/>
                  <c:pt idx="0">
                    <c:v>90</c:v>
                  </c:pt>
                  <c:pt idx="1">
                    <c:v>53</c:v>
                  </c:pt>
                  <c:pt idx="2">
                    <c:v>61</c:v>
                  </c:pt>
                </c:numCache>
              </c:numRef>
            </c:plus>
            <c:minus>
              <c:numRef>
                <c:f>'Distance (Eq4)'!$G$54:$G$56</c:f>
                <c:numCache>
                  <c:formatCode>General</c:formatCode>
                  <c:ptCount val="3"/>
                  <c:pt idx="0">
                    <c:v>90</c:v>
                  </c:pt>
                  <c:pt idx="1">
                    <c:v>53</c:v>
                  </c:pt>
                  <c:pt idx="2">
                    <c:v>61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'Distance (Eq4)'!$E$54:$E$56</c:f>
              <c:numCache>
                <c:formatCode>General</c:formatCode>
                <c:ptCount val="3"/>
                <c:pt idx="0">
                  <c:v>182.45901639344262</c:v>
                </c:pt>
                <c:pt idx="1">
                  <c:v>99.049180327868868</c:v>
                </c:pt>
                <c:pt idx="2">
                  <c:v>43.442622950819676</c:v>
                </c:pt>
              </c:numCache>
            </c:numRef>
          </c:xVal>
          <c:yVal>
            <c:numRef>
              <c:f>'Distance (Eq4)'!$F$54:$F$56</c:f>
              <c:numCache>
                <c:formatCode>General</c:formatCode>
                <c:ptCount val="3"/>
                <c:pt idx="0">
                  <c:v>160</c:v>
                </c:pt>
                <c:pt idx="1">
                  <c:v>96</c:v>
                </c:pt>
                <c:pt idx="2">
                  <c:v>57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2066-4138-ACC6-5909A7FD4044}"/>
            </c:ext>
          </c:extLst>
        </c:ser>
        <c:ser>
          <c:idx val="8"/>
          <c:order val="8"/>
          <c:tx>
            <c:strRef>
              <c:f>'Distance (Eq4)'!$A$59</c:f>
              <c:strCache>
                <c:ptCount val="1"/>
                <c:pt idx="0">
                  <c:v>Ittelson (1951)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4"/>
              </a:solidFill>
              <a:ln>
                <a:noFill/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'Distance (Eq4)'!$G$60:$G$61</c:f>
                <c:numCache>
                  <c:formatCode>General</c:formatCode>
                  <c:ptCount val="2"/>
                  <c:pt idx="0">
                    <c:v>30.784800000000001</c:v>
                  </c:pt>
                  <c:pt idx="1">
                    <c:v>52.730400000000003</c:v>
                  </c:pt>
                </c:numCache>
              </c:numRef>
            </c:plus>
            <c:minus>
              <c:numRef>
                <c:f>'Distance (Eq4)'!$G$60:$G$61</c:f>
                <c:numCache>
                  <c:formatCode>General</c:formatCode>
                  <c:ptCount val="2"/>
                  <c:pt idx="0">
                    <c:v>30.784800000000001</c:v>
                  </c:pt>
                  <c:pt idx="1">
                    <c:v>52.730400000000003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'Distance (Eq4)'!$E$60:$E$61</c:f>
              <c:numCache>
                <c:formatCode>General</c:formatCode>
                <c:ptCount val="2"/>
                <c:pt idx="0">
                  <c:v>274.32</c:v>
                </c:pt>
                <c:pt idx="1">
                  <c:v>274.32</c:v>
                </c:pt>
              </c:numCache>
            </c:numRef>
          </c:xVal>
          <c:yVal>
            <c:numRef>
              <c:f>'Distance (Eq4)'!$F$60:$F$61</c:f>
              <c:numCache>
                <c:formatCode>General</c:formatCode>
                <c:ptCount val="2"/>
                <c:pt idx="0">
                  <c:v>261.51839999999999</c:v>
                </c:pt>
                <c:pt idx="1">
                  <c:v>273.10080000000005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2066-4138-ACC6-5909A7FD4044}"/>
            </c:ext>
          </c:extLst>
        </c:ser>
        <c:ser>
          <c:idx val="9"/>
          <c:order val="9"/>
          <c:tx>
            <c:strRef>
              <c:f>'Distance (Eq4)'!$A$64</c:f>
              <c:strCache>
                <c:ptCount val="1"/>
                <c:pt idx="0">
                  <c:v>Gogel (1969b)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'Distance (Eq4)'!$E$65:$E$80</c:f>
              <c:numCache>
                <c:formatCode>General</c:formatCode>
                <c:ptCount val="16"/>
                <c:pt idx="0">
                  <c:v>2425</c:v>
                </c:pt>
                <c:pt idx="1">
                  <c:v>1017</c:v>
                </c:pt>
                <c:pt idx="2">
                  <c:v>873</c:v>
                </c:pt>
                <c:pt idx="3">
                  <c:v>683</c:v>
                </c:pt>
                <c:pt idx="4">
                  <c:v>666</c:v>
                </c:pt>
                <c:pt idx="5">
                  <c:v>428</c:v>
                </c:pt>
                <c:pt idx="6">
                  <c:v>357</c:v>
                </c:pt>
                <c:pt idx="7">
                  <c:v>287</c:v>
                </c:pt>
                <c:pt idx="8">
                  <c:v>185</c:v>
                </c:pt>
                <c:pt idx="9">
                  <c:v>151</c:v>
                </c:pt>
                <c:pt idx="10">
                  <c:v>117</c:v>
                </c:pt>
                <c:pt idx="11">
                  <c:v>107</c:v>
                </c:pt>
                <c:pt idx="12">
                  <c:v>88</c:v>
                </c:pt>
                <c:pt idx="13">
                  <c:v>77</c:v>
                </c:pt>
                <c:pt idx="14">
                  <c:v>63</c:v>
                </c:pt>
                <c:pt idx="15">
                  <c:v>54</c:v>
                </c:pt>
              </c:numCache>
            </c:numRef>
          </c:xVal>
          <c:yVal>
            <c:numRef>
              <c:f>'Distance (Eq4)'!$F$65:$F$80</c:f>
              <c:numCache>
                <c:formatCode>General</c:formatCode>
                <c:ptCount val="16"/>
                <c:pt idx="0">
                  <c:v>853</c:v>
                </c:pt>
                <c:pt idx="1">
                  <c:v>436</c:v>
                </c:pt>
                <c:pt idx="2">
                  <c:v>495</c:v>
                </c:pt>
                <c:pt idx="3">
                  <c:v>413</c:v>
                </c:pt>
                <c:pt idx="4">
                  <c:v>379</c:v>
                </c:pt>
                <c:pt idx="5">
                  <c:v>260</c:v>
                </c:pt>
                <c:pt idx="6">
                  <c:v>232</c:v>
                </c:pt>
                <c:pt idx="7">
                  <c:v>158</c:v>
                </c:pt>
                <c:pt idx="8">
                  <c:v>110</c:v>
                </c:pt>
                <c:pt idx="9">
                  <c:v>106</c:v>
                </c:pt>
                <c:pt idx="10">
                  <c:v>82</c:v>
                </c:pt>
                <c:pt idx="11">
                  <c:v>82</c:v>
                </c:pt>
                <c:pt idx="12">
                  <c:v>97</c:v>
                </c:pt>
                <c:pt idx="13">
                  <c:v>59</c:v>
                </c:pt>
                <c:pt idx="14">
                  <c:v>50</c:v>
                </c:pt>
                <c:pt idx="15">
                  <c:v>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2066-4138-ACC6-5909A7FD4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23200"/>
        <c:axId val="108325120"/>
      </c:scatterChart>
      <c:valAx>
        <c:axId val="108323200"/>
        <c:scaling>
          <c:logBase val="10"/>
          <c:orientation val="minMax"/>
          <c:max val="3000"/>
          <c:min val="3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/>
        </c:spPr>
        <c:crossAx val="108325120"/>
        <c:crosses val="autoZero"/>
        <c:crossBetween val="midCat"/>
      </c:valAx>
      <c:valAx>
        <c:axId val="108325120"/>
        <c:scaling>
          <c:logBase val="10"/>
          <c:orientation val="minMax"/>
          <c:max val="3000"/>
          <c:min val="3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3232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392199428762192"/>
          <c:y val="9.9138184205523443E-3"/>
          <c:w val="0.414948092055271"/>
          <c:h val="0.985672358027214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'Distance (Eq4)'!$A$3</c:f>
              <c:strCache>
                <c:ptCount val="1"/>
                <c:pt idx="0">
                  <c:v>Epstein (1963)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'Distance (Eq4)'!$E$4:$E$6</c:f>
              <c:numCache>
                <c:formatCode>General</c:formatCode>
                <c:ptCount val="3"/>
                <c:pt idx="0">
                  <c:v>99.264705882352942</c:v>
                </c:pt>
                <c:pt idx="1">
                  <c:v>135</c:v>
                </c:pt>
                <c:pt idx="2">
                  <c:v>162.22689075630251</c:v>
                </c:pt>
              </c:numCache>
            </c:numRef>
          </c:xVal>
          <c:yVal>
            <c:numRef>
              <c:f>'Distance (Eq4)'!$G$4:$G$6</c:f>
              <c:numCache>
                <c:formatCode>General</c:formatCode>
                <c:ptCount val="3"/>
                <c:pt idx="0">
                  <c:v>23.9</c:v>
                </c:pt>
                <c:pt idx="1">
                  <c:v>17.5</c:v>
                </c:pt>
                <c:pt idx="2">
                  <c:v>29.7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5E6-4F97-BF1E-8555D538E451}"/>
            </c:ext>
          </c:extLst>
        </c:ser>
        <c:ser>
          <c:idx val="2"/>
          <c:order val="1"/>
          <c:tx>
            <c:v>Fit</c:v>
          </c:tx>
          <c:spPr>
            <a:ln w="3810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C5E6-4F97-BF1E-8555D538E451}"/>
              </c:ext>
            </c:extLst>
          </c:dPt>
          <c:xVal>
            <c:numRef>
              <c:f>'Distance (Eq4)'!$L$87:$L$88</c:f>
              <c:numCache>
                <c:formatCode>General</c:formatCode>
                <c:ptCount val="2"/>
                <c:pt idx="0">
                  <c:v>10</c:v>
                </c:pt>
                <c:pt idx="1">
                  <c:v>2000</c:v>
                </c:pt>
              </c:numCache>
            </c:numRef>
          </c:xVal>
          <c:yVal>
            <c:numRef>
              <c:f>'Distance (Eq4)'!$K$87:$K$88</c:f>
              <c:numCache>
                <c:formatCode>General</c:formatCode>
                <c:ptCount val="2"/>
                <c:pt idx="0">
                  <c:v>3.499395325558456</c:v>
                </c:pt>
                <c:pt idx="1">
                  <c:v>699.87906511169115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5E6-4F97-BF1E-8555D538E451}"/>
            </c:ext>
          </c:extLst>
        </c:ser>
        <c:ser>
          <c:idx val="1"/>
          <c:order val="2"/>
          <c:tx>
            <c:strRef>
              <c:f>'Distance (Eq4)'!$A$9</c:f>
              <c:strCache>
                <c:ptCount val="1"/>
                <c:pt idx="0">
                  <c:v>Epstein (1965)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</c:marker>
          <c:xVal>
            <c:numRef>
              <c:f>'Distance (Eq4)'!$E$10:$E$12</c:f>
              <c:numCache>
                <c:formatCode>General</c:formatCode>
                <c:ptCount val="3"/>
                <c:pt idx="0">
                  <c:v>99.264705882352942</c:v>
                </c:pt>
                <c:pt idx="1">
                  <c:v>135</c:v>
                </c:pt>
                <c:pt idx="2">
                  <c:v>162.22689075630251</c:v>
                </c:pt>
              </c:numCache>
            </c:numRef>
          </c:xVal>
          <c:yVal>
            <c:numRef>
              <c:f>'Distance (Eq4)'!$G$10:$G$12</c:f>
              <c:numCache>
                <c:formatCode>General</c:formatCode>
                <c:ptCount val="3"/>
                <c:pt idx="0">
                  <c:v>20.14</c:v>
                </c:pt>
                <c:pt idx="1">
                  <c:v>27.65</c:v>
                </c:pt>
                <c:pt idx="2">
                  <c:v>31.62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DAC-416A-B857-7716416BD828}"/>
            </c:ext>
          </c:extLst>
        </c:ser>
        <c:ser>
          <c:idx val="3"/>
          <c:order val="3"/>
          <c:tx>
            <c:strRef>
              <c:f>'Distance (Eq4)'!$A$15</c:f>
              <c:strCache>
                <c:ptCount val="1"/>
                <c:pt idx="0">
                  <c:v>Gogel (1969c)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</c:spPr>
          </c:marker>
          <c:xVal>
            <c:numRef>
              <c:f>'Distance (Eq4)'!$E$16:$E$25</c:f>
              <c:numCache>
                <c:formatCode>General</c:formatCode>
                <c:ptCount val="10"/>
                <c:pt idx="0">
                  <c:v>121.92</c:v>
                </c:pt>
                <c:pt idx="1">
                  <c:v>54.864000000000004</c:v>
                </c:pt>
                <c:pt idx="2">
                  <c:v>213.36</c:v>
                </c:pt>
                <c:pt idx="3">
                  <c:v>121.92</c:v>
                </c:pt>
                <c:pt idx="4">
                  <c:v>335.28000000000003</c:v>
                </c:pt>
                <c:pt idx="5">
                  <c:v>192.024</c:v>
                </c:pt>
                <c:pt idx="6">
                  <c:v>457.2</c:v>
                </c:pt>
                <c:pt idx="7">
                  <c:v>262.12799999999999</c:v>
                </c:pt>
                <c:pt idx="8">
                  <c:v>548.64</c:v>
                </c:pt>
                <c:pt idx="9">
                  <c:v>310.89599999999996</c:v>
                </c:pt>
              </c:numCache>
            </c:numRef>
          </c:xVal>
          <c:yVal>
            <c:numRef>
              <c:f>'Distance (Eq4)'!$G$16:$G$25</c:f>
              <c:numCache>
                <c:formatCode>General</c:formatCode>
                <c:ptCount val="10"/>
                <c:pt idx="0">
                  <c:v>30.48</c:v>
                </c:pt>
                <c:pt idx="1">
                  <c:v>33.528000000000006</c:v>
                </c:pt>
                <c:pt idx="2">
                  <c:v>51.816000000000003</c:v>
                </c:pt>
                <c:pt idx="3">
                  <c:v>57.911999999999999</c:v>
                </c:pt>
                <c:pt idx="4">
                  <c:v>76.2</c:v>
                </c:pt>
                <c:pt idx="5">
                  <c:v>85.343999999999994</c:v>
                </c:pt>
                <c:pt idx="6">
                  <c:v>109.72800000000001</c:v>
                </c:pt>
                <c:pt idx="7">
                  <c:v>112.77600000000001</c:v>
                </c:pt>
                <c:pt idx="8">
                  <c:v>131.06399999999999</c:v>
                </c:pt>
                <c:pt idx="9">
                  <c:v>131.06399999999999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AC-416A-B857-7716416BD828}"/>
            </c:ext>
          </c:extLst>
        </c:ser>
        <c:ser>
          <c:idx val="4"/>
          <c:order val="4"/>
          <c:tx>
            <c:strRef>
              <c:f>'Distance (Eq4)'!$A$28</c:f>
              <c:strCache>
                <c:ptCount val="1"/>
                <c:pt idx="0">
                  <c:v>Gogel (1976)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noFill/>
              </a:ln>
            </c:spPr>
          </c:marker>
          <c:xVal>
            <c:numRef>
              <c:f>'Distance (Eq4)'!$E$29:$E$31</c:f>
              <c:numCache>
                <c:formatCode>General</c:formatCode>
                <c:ptCount val="3"/>
                <c:pt idx="0">
                  <c:v>63</c:v>
                </c:pt>
                <c:pt idx="1">
                  <c:v>185</c:v>
                </c:pt>
                <c:pt idx="2">
                  <c:v>1236</c:v>
                </c:pt>
              </c:numCache>
            </c:numRef>
          </c:xVal>
          <c:yVal>
            <c:numRef>
              <c:f>'Distance (Eq4)'!$G$29:$G$31</c:f>
              <c:numCache>
                <c:formatCode>General</c:formatCode>
                <c:ptCount val="3"/>
                <c:pt idx="0">
                  <c:v>52.445209504777459</c:v>
                </c:pt>
                <c:pt idx="1">
                  <c:v>257.65468654771252</c:v>
                </c:pt>
                <c:pt idx="2">
                  <c:v>484.90946319905947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DAC-416A-B857-7716416BD828}"/>
            </c:ext>
          </c:extLst>
        </c:ser>
        <c:ser>
          <c:idx val="5"/>
          <c:order val="5"/>
          <c:tx>
            <c:strRef>
              <c:f>'Distance (Eq4)'!$A$36</c:f>
              <c:strCache>
                <c:ptCount val="1"/>
                <c:pt idx="0">
                  <c:v>Gogel &amp; Mertens (1968)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'Distance (Eq4)'!$E$37:$E$41</c:f>
              <c:numCache>
                <c:formatCode>General</c:formatCode>
                <c:ptCount val="5"/>
                <c:pt idx="0">
                  <c:v>299</c:v>
                </c:pt>
                <c:pt idx="1">
                  <c:v>234</c:v>
                </c:pt>
                <c:pt idx="2">
                  <c:v>128</c:v>
                </c:pt>
                <c:pt idx="3">
                  <c:v>87</c:v>
                </c:pt>
                <c:pt idx="4">
                  <c:v>63</c:v>
                </c:pt>
              </c:numCache>
            </c:numRef>
          </c:xVal>
          <c:yVal>
            <c:numRef>
              <c:f>'Distance (Eq4)'!$G$37:$G$41</c:f>
              <c:numCache>
                <c:formatCode>General</c:formatCode>
                <c:ptCount val="5"/>
                <c:pt idx="0">
                  <c:v>83</c:v>
                </c:pt>
                <c:pt idx="1">
                  <c:v>66</c:v>
                </c:pt>
                <c:pt idx="2">
                  <c:v>50</c:v>
                </c:pt>
                <c:pt idx="3">
                  <c:v>53</c:v>
                </c:pt>
                <c:pt idx="4">
                  <c:v>50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DAC-416A-B857-7716416BD828}"/>
            </c:ext>
          </c:extLst>
        </c:ser>
        <c:ser>
          <c:idx val="6"/>
          <c:order val="6"/>
          <c:tx>
            <c:strRef>
              <c:f>'Distance (Eq4)'!$A$44</c:f>
              <c:strCache>
                <c:ptCount val="1"/>
                <c:pt idx="0">
                  <c:v>Predebon &amp; Woolley (1994)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noFill/>
              </a:ln>
            </c:spPr>
          </c:marker>
          <c:xVal>
            <c:numRef>
              <c:f>'Distance (Eq4)'!$E$45:$E$50</c:f>
              <c:numCache>
                <c:formatCode>General</c:formatCode>
                <c:ptCount val="6"/>
                <c:pt idx="0">
                  <c:v>100</c:v>
                </c:pt>
                <c:pt idx="1">
                  <c:v>142.85714285714286</c:v>
                </c:pt>
                <c:pt idx="4">
                  <c:v>84.033613445378151</c:v>
                </c:pt>
                <c:pt idx="5">
                  <c:v>129.87012987012986</c:v>
                </c:pt>
              </c:numCache>
            </c:numRef>
          </c:xVal>
          <c:yVal>
            <c:numRef>
              <c:f>'Distance (Eq4)'!$G$45:$G$50</c:f>
              <c:numCache>
                <c:formatCode>General</c:formatCode>
                <c:ptCount val="6"/>
                <c:pt idx="0">
                  <c:v>33.616004712629163</c:v>
                </c:pt>
                <c:pt idx="1">
                  <c:v>70.830460488582816</c:v>
                </c:pt>
                <c:pt idx="4">
                  <c:v>20.170000000000002</c:v>
                </c:pt>
                <c:pt idx="5">
                  <c:v>63.06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DAC-416A-B857-7716416BD828}"/>
            </c:ext>
          </c:extLst>
        </c:ser>
        <c:ser>
          <c:idx val="7"/>
          <c:order val="7"/>
          <c:tx>
            <c:strRef>
              <c:f>'Distance (Eq4)'!$A$53</c:f>
              <c:strCache>
                <c:ptCount val="1"/>
                <c:pt idx="0">
                  <c:v>Higashiyama (1984)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'Distance (Eq4)'!$E$54:$E$56</c:f>
              <c:numCache>
                <c:formatCode>General</c:formatCode>
                <c:ptCount val="3"/>
                <c:pt idx="0">
                  <c:v>182.45901639344262</c:v>
                </c:pt>
                <c:pt idx="1">
                  <c:v>99.049180327868868</c:v>
                </c:pt>
                <c:pt idx="2">
                  <c:v>43.442622950819676</c:v>
                </c:pt>
              </c:numCache>
            </c:numRef>
          </c:xVal>
          <c:yVal>
            <c:numRef>
              <c:f>'Distance (Eq4)'!$G$54:$G$56</c:f>
              <c:numCache>
                <c:formatCode>General</c:formatCode>
                <c:ptCount val="3"/>
                <c:pt idx="0">
                  <c:v>90</c:v>
                </c:pt>
                <c:pt idx="1">
                  <c:v>53</c:v>
                </c:pt>
                <c:pt idx="2">
                  <c:v>61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DAC-416A-B857-7716416BD828}"/>
            </c:ext>
          </c:extLst>
        </c:ser>
        <c:ser>
          <c:idx val="8"/>
          <c:order val="8"/>
          <c:tx>
            <c:strRef>
              <c:f>'Distance (Eq4)'!$A$59:$A$61</c:f>
              <c:strCache>
                <c:ptCount val="1"/>
                <c:pt idx="0">
                  <c:v>Ittelson (1951)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4"/>
              </a:solidFill>
              <a:ln>
                <a:noFill/>
              </a:ln>
            </c:spPr>
          </c:marker>
          <c:xVal>
            <c:numRef>
              <c:f>'Distance (Eq4)'!$E$60:$E$61</c:f>
              <c:numCache>
                <c:formatCode>General</c:formatCode>
                <c:ptCount val="2"/>
                <c:pt idx="0">
                  <c:v>274.32</c:v>
                </c:pt>
                <c:pt idx="1">
                  <c:v>274.32</c:v>
                </c:pt>
              </c:numCache>
            </c:numRef>
          </c:xVal>
          <c:yVal>
            <c:numRef>
              <c:f>'Distance (Eq4)'!$G$60:$G$61</c:f>
              <c:numCache>
                <c:formatCode>General</c:formatCode>
                <c:ptCount val="2"/>
                <c:pt idx="0">
                  <c:v>30.784800000000001</c:v>
                </c:pt>
                <c:pt idx="1">
                  <c:v>52.730400000000003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FDAC-416A-B857-7716416BD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52480"/>
        <c:axId val="108054400"/>
      </c:scatterChart>
      <c:valAx>
        <c:axId val="108052480"/>
        <c:scaling>
          <c:logBase val="10"/>
          <c:orientation val="minMax"/>
          <c:max val="3000"/>
          <c:min val="30"/>
        </c:scaling>
        <c:delete val="0"/>
        <c:axPos val="b"/>
        <c:numFmt formatCode="General" sourceLinked="1"/>
        <c:majorTickMark val="out"/>
        <c:minorTickMark val="none"/>
        <c:tickLblPos val="nextTo"/>
        <c:crossAx val="108054400"/>
        <c:crosses val="autoZero"/>
        <c:crossBetween val="midCat"/>
      </c:valAx>
      <c:valAx>
        <c:axId val="108054400"/>
        <c:scaling>
          <c:logBase val="10"/>
          <c:orientation val="minMax"/>
          <c:max val="1000"/>
          <c:min val="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052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497210017881665"/>
          <c:y val="5.24815134722365E-2"/>
          <c:w val="0.36785392474914053"/>
          <c:h val="0.9247075330514685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Responded depth (Familiarity depth)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'Depth (Eq3)'!$A$3</c:f>
              <c:strCache>
                <c:ptCount val="1"/>
                <c:pt idx="0">
                  <c:v>Gogel &amp; Mertens (1968)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9"/>
            <c:spPr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'Depth (Eq3)'!$N$4:$N$13</c:f>
                <c:numCache>
                  <c:formatCode>General</c:formatCode>
                  <c:ptCount val="10"/>
                  <c:pt idx="0">
                    <c:v>0.31746031746031744</c:v>
                  </c:pt>
                  <c:pt idx="1">
                    <c:v>0.22222222222222221</c:v>
                  </c:pt>
                  <c:pt idx="2">
                    <c:v>0.16091954022988506</c:v>
                  </c:pt>
                  <c:pt idx="3">
                    <c:v>0.66666666666666663</c:v>
                  </c:pt>
                  <c:pt idx="4">
                    <c:v>0.1640625</c:v>
                  </c:pt>
                  <c:pt idx="5">
                    <c:v>0.44827586206896552</c:v>
                  </c:pt>
                  <c:pt idx="6">
                    <c:v>0.8571428571428571</c:v>
                  </c:pt>
                  <c:pt idx="7">
                    <c:v>0.3828125</c:v>
                  </c:pt>
                  <c:pt idx="8">
                    <c:v>0.57471264367816088</c:v>
                  </c:pt>
                  <c:pt idx="9">
                    <c:v>0.10683760683760683</c:v>
                  </c:pt>
                </c:numCache>
              </c:numRef>
            </c:plus>
            <c:minus>
              <c:numRef>
                <c:f>'Depth (Eq3)'!$N$4:$N$13</c:f>
                <c:numCache>
                  <c:formatCode>General</c:formatCode>
                  <c:ptCount val="10"/>
                  <c:pt idx="0">
                    <c:v>0.31746031746031744</c:v>
                  </c:pt>
                  <c:pt idx="1">
                    <c:v>0.22222222222222221</c:v>
                  </c:pt>
                  <c:pt idx="2">
                    <c:v>0.16091954022988506</c:v>
                  </c:pt>
                  <c:pt idx="3">
                    <c:v>0.66666666666666663</c:v>
                  </c:pt>
                  <c:pt idx="4">
                    <c:v>0.1640625</c:v>
                  </c:pt>
                  <c:pt idx="5">
                    <c:v>0.44827586206896552</c:v>
                  </c:pt>
                  <c:pt idx="6">
                    <c:v>0.8571428571428571</c:v>
                  </c:pt>
                  <c:pt idx="7">
                    <c:v>0.3828125</c:v>
                  </c:pt>
                  <c:pt idx="8">
                    <c:v>0.57471264367816088</c:v>
                  </c:pt>
                  <c:pt idx="9">
                    <c:v>0.10683760683760683</c:v>
                  </c:pt>
                </c:numCache>
              </c:numRef>
            </c:minus>
          </c:errBars>
          <c:xVal>
            <c:numRef>
              <c:f>'Depth (Eq3)'!$O$4:$O$13</c:f>
              <c:numCache>
                <c:formatCode>General</c:formatCode>
                <c:ptCount val="10"/>
                <c:pt idx="0">
                  <c:v>1.0317460317460319</c:v>
                </c:pt>
                <c:pt idx="1">
                  <c:v>0.38095238095238093</c:v>
                </c:pt>
                <c:pt idx="2">
                  <c:v>0.47126436781609193</c:v>
                </c:pt>
                <c:pt idx="3">
                  <c:v>2.7142857142857144</c:v>
                </c:pt>
                <c:pt idx="4">
                  <c:v>0.828125</c:v>
                </c:pt>
                <c:pt idx="5">
                  <c:v>1.6896551724137931</c:v>
                </c:pt>
                <c:pt idx="6">
                  <c:v>3.746031746031746</c:v>
                </c:pt>
                <c:pt idx="7">
                  <c:v>1.3359375</c:v>
                </c:pt>
                <c:pt idx="8">
                  <c:v>2.4367816091954024</c:v>
                </c:pt>
                <c:pt idx="9">
                  <c:v>0.27777777777777779</c:v>
                </c:pt>
              </c:numCache>
            </c:numRef>
          </c:xVal>
          <c:yVal>
            <c:numRef>
              <c:f>'Depth (Eq3)'!$M$4:$M$13</c:f>
              <c:numCache>
                <c:formatCode>General</c:formatCode>
                <c:ptCount val="10"/>
                <c:pt idx="0">
                  <c:v>0.41269841269841268</c:v>
                </c:pt>
                <c:pt idx="1">
                  <c:v>0.34920634920634919</c:v>
                </c:pt>
                <c:pt idx="2">
                  <c:v>-6.8965517241379309E-2</c:v>
                </c:pt>
                <c:pt idx="3">
                  <c:v>1.0317460317460319</c:v>
                </c:pt>
                <c:pt idx="4">
                  <c:v>0.2890625</c:v>
                </c:pt>
                <c:pt idx="5">
                  <c:v>0.52873563218390807</c:v>
                </c:pt>
                <c:pt idx="6">
                  <c:v>1.4126984126984128</c:v>
                </c:pt>
                <c:pt idx="7">
                  <c:v>0.6015625</c:v>
                </c:pt>
                <c:pt idx="8">
                  <c:v>0.7816091954022989</c:v>
                </c:pt>
                <c:pt idx="9">
                  <c:v>0.14957264957264957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6A7-D346-AA81-718E14B07620}"/>
            </c:ext>
          </c:extLst>
        </c:ser>
        <c:ser>
          <c:idx val="1"/>
          <c:order val="1"/>
          <c:tx>
            <c:strRef>
              <c:f>'Depth (Eq3)'!$A$16</c:f>
              <c:strCache>
                <c:ptCount val="1"/>
                <c:pt idx="0">
                  <c:v>Epstein &amp; Baratz (1964)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'Depth (Eq3)'!$N$17:$N$23</c:f>
                <c:numCache>
                  <c:formatCode>General</c:formatCode>
                  <c:ptCount val="7"/>
                  <c:pt idx="0">
                    <c:v>0.29521136248289631</c:v>
                  </c:pt>
                  <c:pt idx="1">
                    <c:v>0.29312036032891925</c:v>
                  </c:pt>
                  <c:pt idx="2">
                    <c:v>0.22827706270255299</c:v>
                  </c:pt>
                  <c:pt idx="3">
                    <c:v>0.27501912127161737</c:v>
                  </c:pt>
                  <c:pt idx="4">
                    <c:v>0.3153141128321979</c:v>
                  </c:pt>
                  <c:pt idx="5">
                    <c:v>0.46978871257218702</c:v>
                  </c:pt>
                  <c:pt idx="6">
                    <c:v>0.47897542263264431</c:v>
                  </c:pt>
                </c:numCache>
              </c:numRef>
            </c:plus>
            <c:minus>
              <c:numRef>
                <c:f>'Depth (Eq3)'!$N$17:$N$23</c:f>
                <c:numCache>
                  <c:formatCode>General</c:formatCode>
                  <c:ptCount val="7"/>
                  <c:pt idx="0">
                    <c:v>0.29521136248289631</c:v>
                  </c:pt>
                  <c:pt idx="1">
                    <c:v>0.29312036032891925</c:v>
                  </c:pt>
                  <c:pt idx="2">
                    <c:v>0.22827706270255299</c:v>
                  </c:pt>
                  <c:pt idx="3">
                    <c:v>0.27501912127161737</c:v>
                  </c:pt>
                  <c:pt idx="4">
                    <c:v>0.3153141128321979</c:v>
                  </c:pt>
                  <c:pt idx="5">
                    <c:v>0.46978871257218702</c:v>
                  </c:pt>
                  <c:pt idx="6">
                    <c:v>0.47897542263264431</c:v>
                  </c:pt>
                </c:numCache>
              </c:numRef>
            </c:minus>
          </c:errBars>
          <c:xVal>
            <c:numRef>
              <c:f>'Depth (Eq3)'!$O$17:$O$23</c:f>
              <c:numCache>
                <c:formatCode>General</c:formatCode>
                <c:ptCount val="7"/>
                <c:pt idx="0">
                  <c:v>0.4705882352941177</c:v>
                </c:pt>
                <c:pt idx="1">
                  <c:v>0.19999999999999996</c:v>
                </c:pt>
                <c:pt idx="2">
                  <c:v>0.47058823529411764</c:v>
                </c:pt>
                <c:pt idx="3">
                  <c:v>0.76470588235294124</c:v>
                </c:pt>
                <c:pt idx="4">
                  <c:v>0.4705882352941177</c:v>
                </c:pt>
                <c:pt idx="5">
                  <c:v>1.1626297577854672</c:v>
                </c:pt>
                <c:pt idx="6">
                  <c:v>0.4705882352941177</c:v>
                </c:pt>
              </c:numCache>
            </c:numRef>
          </c:xVal>
          <c:yVal>
            <c:numRef>
              <c:f>'Depth (Eq3)'!$M$17:$M$23</c:f>
              <c:numCache>
                <c:formatCode>General</c:formatCode>
                <c:ptCount val="7"/>
                <c:pt idx="0">
                  <c:v>0.55108932461873639</c:v>
                </c:pt>
                <c:pt idx="1">
                  <c:v>0.37411764705882361</c:v>
                </c:pt>
                <c:pt idx="2">
                  <c:v>0.32081481481481483</c:v>
                </c:pt>
                <c:pt idx="3">
                  <c:v>0.4608888888888889</c:v>
                </c:pt>
                <c:pt idx="4">
                  <c:v>0.32886710239651429</c:v>
                </c:pt>
                <c:pt idx="5">
                  <c:v>0.50991285403050113</c:v>
                </c:pt>
                <c:pt idx="6">
                  <c:v>0.28703703703703698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6A7-D346-AA81-718E14B07620}"/>
            </c:ext>
          </c:extLst>
        </c:ser>
        <c:ser>
          <c:idx val="3"/>
          <c:order val="2"/>
          <c:tx>
            <c:v>ML-fit</c:v>
          </c:tx>
          <c:spPr>
            <a:ln w="6350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'Depth (Eq3)'!$V$30:$V$31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'Depth (Eq3)'!$T$30:$T$31</c:f>
              <c:numCache>
                <c:formatCode>General</c:formatCode>
                <c:ptCount val="2"/>
                <c:pt idx="0">
                  <c:v>0</c:v>
                </c:pt>
                <c:pt idx="1">
                  <c:v>1.5360346219574881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6A7-D346-AA81-718E14B07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60512"/>
        <c:axId val="108162048"/>
      </c:scatterChart>
      <c:valAx>
        <c:axId val="10816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162048"/>
        <c:crosses val="autoZero"/>
        <c:crossBetween val="midCat"/>
      </c:valAx>
      <c:valAx>
        <c:axId val="108162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160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SD</a:t>
            </a:r>
            <a:r>
              <a:rPr lang="en-US" baseline="0"/>
              <a:t> (Familiarity depth)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'Depth (Eq3)'!$A$3</c:f>
              <c:strCache>
                <c:ptCount val="1"/>
                <c:pt idx="0">
                  <c:v>Gogel &amp; Mertens (1968)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9"/>
            <c:spPr>
              <a:ln>
                <a:noFill/>
              </a:ln>
            </c:spPr>
          </c:marker>
          <c:xVal>
            <c:numRef>
              <c:f>'Depth (Eq3)'!$O$4:$O$13</c:f>
              <c:numCache>
                <c:formatCode>General</c:formatCode>
                <c:ptCount val="10"/>
                <c:pt idx="0">
                  <c:v>1.0317460317460319</c:v>
                </c:pt>
                <c:pt idx="1">
                  <c:v>0.38095238095238093</c:v>
                </c:pt>
                <c:pt idx="2">
                  <c:v>0.47126436781609193</c:v>
                </c:pt>
                <c:pt idx="3">
                  <c:v>2.7142857142857144</c:v>
                </c:pt>
                <c:pt idx="4">
                  <c:v>0.828125</c:v>
                </c:pt>
                <c:pt idx="5">
                  <c:v>1.6896551724137931</c:v>
                </c:pt>
                <c:pt idx="6">
                  <c:v>3.746031746031746</c:v>
                </c:pt>
                <c:pt idx="7">
                  <c:v>1.3359375</c:v>
                </c:pt>
                <c:pt idx="8">
                  <c:v>2.4367816091954024</c:v>
                </c:pt>
                <c:pt idx="9">
                  <c:v>0.27777777777777779</c:v>
                </c:pt>
              </c:numCache>
            </c:numRef>
          </c:xVal>
          <c:yVal>
            <c:numRef>
              <c:f>'Depth (Eq3)'!$N$4:$N$13</c:f>
              <c:numCache>
                <c:formatCode>General</c:formatCode>
                <c:ptCount val="10"/>
                <c:pt idx="0">
                  <c:v>0.31746031746031744</c:v>
                </c:pt>
                <c:pt idx="1">
                  <c:v>0.22222222222222221</c:v>
                </c:pt>
                <c:pt idx="2">
                  <c:v>0.16091954022988506</c:v>
                </c:pt>
                <c:pt idx="3">
                  <c:v>0.66666666666666663</c:v>
                </c:pt>
                <c:pt idx="4">
                  <c:v>0.1640625</c:v>
                </c:pt>
                <c:pt idx="5">
                  <c:v>0.44827586206896552</c:v>
                </c:pt>
                <c:pt idx="6">
                  <c:v>0.8571428571428571</c:v>
                </c:pt>
                <c:pt idx="7">
                  <c:v>0.3828125</c:v>
                </c:pt>
                <c:pt idx="8">
                  <c:v>0.57471264367816088</c:v>
                </c:pt>
                <c:pt idx="9">
                  <c:v>0.10683760683760683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7EE-3542-8444-47C5FD232855}"/>
            </c:ext>
          </c:extLst>
        </c:ser>
        <c:ser>
          <c:idx val="1"/>
          <c:order val="1"/>
          <c:tx>
            <c:strRef>
              <c:f>'Depth (Eq3)'!$A$16</c:f>
              <c:strCache>
                <c:ptCount val="1"/>
                <c:pt idx="0">
                  <c:v>Epstein &amp; Baratz (1964)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ln>
                <a:noFill/>
              </a:ln>
            </c:spPr>
          </c:marker>
          <c:xVal>
            <c:numRef>
              <c:f>'Depth (Eq3)'!$O$17:$O$23</c:f>
              <c:numCache>
                <c:formatCode>General</c:formatCode>
                <c:ptCount val="7"/>
                <c:pt idx="0">
                  <c:v>0.4705882352941177</c:v>
                </c:pt>
                <c:pt idx="1">
                  <c:v>0.19999999999999996</c:v>
                </c:pt>
                <c:pt idx="2">
                  <c:v>0.47058823529411764</c:v>
                </c:pt>
                <c:pt idx="3">
                  <c:v>0.76470588235294124</c:v>
                </c:pt>
                <c:pt idx="4">
                  <c:v>0.4705882352941177</c:v>
                </c:pt>
                <c:pt idx="5">
                  <c:v>1.1626297577854672</c:v>
                </c:pt>
                <c:pt idx="6">
                  <c:v>0.4705882352941177</c:v>
                </c:pt>
              </c:numCache>
            </c:numRef>
          </c:xVal>
          <c:yVal>
            <c:numRef>
              <c:f>'Depth (Eq3)'!$N$17:$N$23</c:f>
              <c:numCache>
                <c:formatCode>General</c:formatCode>
                <c:ptCount val="7"/>
                <c:pt idx="0">
                  <c:v>0.29521136248289631</c:v>
                </c:pt>
                <c:pt idx="1">
                  <c:v>0.29312036032891925</c:v>
                </c:pt>
                <c:pt idx="2">
                  <c:v>0.22827706270255299</c:v>
                </c:pt>
                <c:pt idx="3">
                  <c:v>0.27501912127161737</c:v>
                </c:pt>
                <c:pt idx="4">
                  <c:v>0.3153141128321979</c:v>
                </c:pt>
                <c:pt idx="5">
                  <c:v>0.46978871257218702</c:v>
                </c:pt>
                <c:pt idx="6">
                  <c:v>0.47897542263264431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7EE-3542-8444-47C5FD232855}"/>
            </c:ext>
          </c:extLst>
        </c:ser>
        <c:ser>
          <c:idx val="3"/>
          <c:order val="2"/>
          <c:spPr>
            <a:ln w="6350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'Depth (Eq3)'!$V$30:$V$31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'Depth (Eq3)'!$U$30:$U$31</c:f>
              <c:numCache>
                <c:formatCode>General</c:formatCode>
                <c:ptCount val="2"/>
                <c:pt idx="0">
                  <c:v>0.17193680258195396</c:v>
                </c:pt>
                <c:pt idx="1">
                  <c:v>0.87669307454015455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7EE-3542-8444-47C5FD232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05952"/>
        <c:axId val="108207488"/>
      </c:scatterChart>
      <c:valAx>
        <c:axId val="10820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207488"/>
        <c:crosses val="autoZero"/>
        <c:crossBetween val="midCat"/>
      </c:valAx>
      <c:valAx>
        <c:axId val="108207488"/>
        <c:scaling>
          <c:orientation val="minMax"/>
          <c:max val="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205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Probability</a:t>
            </a:r>
            <a:r>
              <a:rPr lang="en-US" baseline="0"/>
              <a:t> Correct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'Depth (Eq3)'!$A$3</c:f>
              <c:strCache>
                <c:ptCount val="1"/>
                <c:pt idx="0">
                  <c:v>Gogel &amp; Mertens (1968)</c:v>
                </c:pt>
              </c:strCache>
            </c:strRef>
          </c:tx>
          <c:spPr>
            <a:ln w="28575">
              <a:noFill/>
            </a:ln>
          </c:spPr>
          <c:xVal>
            <c:numRef>
              <c:f>'Depth (Eq3)'!$O$4:$O$13</c:f>
              <c:numCache>
                <c:formatCode>General</c:formatCode>
                <c:ptCount val="10"/>
                <c:pt idx="0">
                  <c:v>1.0317460317460319</c:v>
                </c:pt>
                <c:pt idx="1">
                  <c:v>0.38095238095238093</c:v>
                </c:pt>
                <c:pt idx="2">
                  <c:v>0.47126436781609193</c:v>
                </c:pt>
                <c:pt idx="3">
                  <c:v>2.7142857142857144</c:v>
                </c:pt>
                <c:pt idx="4">
                  <c:v>0.828125</c:v>
                </c:pt>
                <c:pt idx="5">
                  <c:v>1.6896551724137931</c:v>
                </c:pt>
                <c:pt idx="6">
                  <c:v>3.746031746031746</c:v>
                </c:pt>
                <c:pt idx="7">
                  <c:v>1.3359375</c:v>
                </c:pt>
                <c:pt idx="8">
                  <c:v>2.4367816091954024</c:v>
                </c:pt>
                <c:pt idx="9">
                  <c:v>0.27777777777777779</c:v>
                </c:pt>
              </c:numCache>
            </c:numRef>
          </c:xVal>
          <c:yVal>
            <c:numRef>
              <c:f>'Depth (Eq3)'!$R$4:$R$13</c:f>
              <c:numCache>
                <c:formatCode>General</c:formatCode>
                <c:ptCount val="10"/>
                <c:pt idx="0">
                  <c:v>0.9031995154143897</c:v>
                </c:pt>
                <c:pt idx="1">
                  <c:v>0.94195843313067251</c:v>
                </c:pt>
                <c:pt idx="2">
                  <c:v>0.33411757089762462</c:v>
                </c:pt>
                <c:pt idx="3">
                  <c:v>0.9391429786530846</c:v>
                </c:pt>
                <c:pt idx="4">
                  <c:v>0.96095730503157228</c:v>
                </c:pt>
                <c:pt idx="5">
                  <c:v>0.88089788060036511</c:v>
                </c:pt>
                <c:pt idx="6">
                  <c:v>0.9503388629602193</c:v>
                </c:pt>
                <c:pt idx="7">
                  <c:v>0.94195843313067251</c:v>
                </c:pt>
                <c:pt idx="8">
                  <c:v>0.91308503805291497</c:v>
                </c:pt>
                <c:pt idx="9">
                  <c:v>0.91924334076622893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8C2-B248-94BA-08D90C3BB872}"/>
            </c:ext>
          </c:extLst>
        </c:ser>
        <c:ser>
          <c:idx val="1"/>
          <c:order val="1"/>
          <c:tx>
            <c:strRef>
              <c:f>'Depth (Eq3)'!$A$16</c:f>
              <c:strCache>
                <c:ptCount val="1"/>
                <c:pt idx="0">
                  <c:v>Epstein &amp; Baratz (1964)</c:v>
                </c:pt>
              </c:strCache>
            </c:strRef>
          </c:tx>
          <c:spPr>
            <a:ln w="28575">
              <a:noFill/>
            </a:ln>
          </c:spPr>
          <c:xVal>
            <c:numRef>
              <c:f>'Depth (Eq3)'!$O$17:$O$23</c:f>
              <c:numCache>
                <c:formatCode>General</c:formatCode>
                <c:ptCount val="7"/>
                <c:pt idx="0">
                  <c:v>0.4705882352941177</c:v>
                </c:pt>
                <c:pt idx="1">
                  <c:v>0.19999999999999996</c:v>
                </c:pt>
                <c:pt idx="2">
                  <c:v>0.47058823529411764</c:v>
                </c:pt>
                <c:pt idx="3">
                  <c:v>0.76470588235294124</c:v>
                </c:pt>
                <c:pt idx="4">
                  <c:v>0.4705882352941177</c:v>
                </c:pt>
                <c:pt idx="5">
                  <c:v>1.1626297577854672</c:v>
                </c:pt>
                <c:pt idx="6">
                  <c:v>0.4705882352941177</c:v>
                </c:pt>
              </c:numCache>
            </c:numRef>
          </c:xVal>
          <c:yVal>
            <c:numRef>
              <c:f>'Depth (Eq3)'!$R$17:$R$23</c:f>
              <c:numCache>
                <c:formatCode>General</c:formatCode>
                <c:ptCount val="7"/>
                <c:pt idx="0">
                  <c:v>0.96903257753935568</c:v>
                </c:pt>
                <c:pt idx="1">
                  <c:v>0.8990801559550976</c:v>
                </c:pt>
                <c:pt idx="2">
                  <c:v>0.9200450611394555</c:v>
                </c:pt>
                <c:pt idx="3">
                  <c:v>0.95311553249157444</c:v>
                </c:pt>
                <c:pt idx="4">
                  <c:v>0.85152180158853275</c:v>
                </c:pt>
                <c:pt idx="5">
                  <c:v>0.86112970587515525</c:v>
                </c:pt>
                <c:pt idx="6">
                  <c:v>0.72550457416005321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15-4C46-B252-6B63B5E0B460}"/>
            </c:ext>
          </c:extLst>
        </c:ser>
        <c:ser>
          <c:idx val="3"/>
          <c:order val="2"/>
          <c:tx>
            <c:v>Distance-based (Eq4)</c:v>
          </c:tx>
          <c:spPr>
            <a:ln w="63500">
              <a:solidFill>
                <a:schemeClr val="bg1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'Probability Correct'!$E$3:$E$43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'Probability Correct'!$H$3:$H$43</c:f>
              <c:numCache>
                <c:formatCode>General</c:formatCode>
                <c:ptCount val="41"/>
                <c:pt idx="0">
                  <c:v>0.5</c:v>
                </c:pt>
                <c:pt idx="1">
                  <c:v>0.55709368094767608</c:v>
                </c:pt>
                <c:pt idx="2">
                  <c:v>0.60770325434879346</c:v>
                </c:pt>
                <c:pt idx="3">
                  <c:v>0.65191286063685272</c:v>
                </c:pt>
                <c:pt idx="4">
                  <c:v>0.69017257040315472</c:v>
                </c:pt>
                <c:pt idx="5">
                  <c:v>0.7231072823281437</c:v>
                </c:pt>
                <c:pt idx="6">
                  <c:v>0.75139205662843445</c:v>
                </c:pt>
                <c:pt idx="7">
                  <c:v>0.77567984709170157</c:v>
                </c:pt>
                <c:pt idx="8">
                  <c:v>0.79656515375154413</c:v>
                </c:pt>
                <c:pt idx="9">
                  <c:v>0.81456997460220915</c:v>
                </c:pt>
                <c:pt idx="10">
                  <c:v>0.83014241938670008</c:v>
                </c:pt>
                <c:pt idx="11">
                  <c:v>0.84366178930643976</c:v>
                </c:pt>
                <c:pt idx="12">
                  <c:v>0.85544641779228625</c:v>
                </c:pt>
                <c:pt idx="13">
                  <c:v>0.8657622039069941</c:v>
                </c:pt>
                <c:pt idx="14">
                  <c:v>0.87483077595267544</c:v>
                </c:pt>
                <c:pt idx="15">
                  <c:v>0.88283680874610393</c:v>
                </c:pt>
                <c:pt idx="16">
                  <c:v>0.88993434126612514</c:v>
                </c:pt>
                <c:pt idx="17">
                  <c:v>0.89625210799396171</c:v>
                </c:pt>
                <c:pt idx="18">
                  <c:v>0.9018979742717611</c:v>
                </c:pt>
                <c:pt idx="19">
                  <c:v>0.90696259394297152</c:v>
                </c:pt>
                <c:pt idx="20">
                  <c:v>0.91152241010208357</c:v>
                </c:pt>
                <c:pt idx="21">
                  <c:v>0.91564211036963394</c:v>
                </c:pt>
                <c:pt idx="22">
                  <c:v>0.91937663402559366</c:v>
                </c:pt>
                <c:pt idx="23">
                  <c:v>0.92277281337114969</c:v>
                </c:pt>
                <c:pt idx="24">
                  <c:v>0.92587071766365514</c:v>
                </c:pt>
                <c:pt idx="25">
                  <c:v>0.92870475562723731</c:v>
                </c:pt>
                <c:pt idx="26">
                  <c:v>0.93130458206815503</c:v>
                </c:pt>
                <c:pt idx="27">
                  <c:v>0.93369584543371875</c:v>
                </c:pt>
                <c:pt idx="28">
                  <c:v>0.9359008060451609</c:v>
                </c:pt>
                <c:pt idx="29">
                  <c:v>0.93793884897326918</c:v>
                </c:pt>
                <c:pt idx="30">
                  <c:v>0.93982691088231385</c:v>
                </c:pt>
                <c:pt idx="31">
                  <c:v>0.94157983643828658</c:v>
                </c:pt>
                <c:pt idx="32">
                  <c:v>0.94321067688686355</c:v>
                </c:pt>
                <c:pt idx="33">
                  <c:v>0.94473094100950195</c:v>
                </c:pt>
                <c:pt idx="34">
                  <c:v>0.94615080674394914</c:v>
                </c:pt>
                <c:pt idx="35">
                  <c:v>0.94747930021239168</c:v>
                </c:pt>
                <c:pt idx="36">
                  <c:v>0.9487244476597102</c:v>
                </c:pt>
                <c:pt idx="37">
                  <c:v>0.9498934048046267</c:v>
                </c:pt>
                <c:pt idx="38">
                  <c:v>0.95099256729925041</c:v>
                </c:pt>
                <c:pt idx="39">
                  <c:v>0.95202766533899863</c:v>
                </c:pt>
                <c:pt idx="40">
                  <c:v>0.9530038449344217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8C2-B248-94BA-08D90C3BB872}"/>
            </c:ext>
          </c:extLst>
        </c:ser>
        <c:ser>
          <c:idx val="4"/>
          <c:order val="3"/>
          <c:tx>
            <c:v>Depth-based (Eq3)</c:v>
          </c:tx>
          <c:spPr>
            <a:ln w="381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'Probability Correct'!$E$3:$E$43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'Probability Correct'!$L$3:$L$43</c:f>
              <c:numCache>
                <c:formatCode>General</c:formatCode>
                <c:ptCount val="41"/>
                <c:pt idx="0">
                  <c:v>0.5</c:v>
                </c:pt>
                <c:pt idx="1">
                  <c:v>0.58026971955733708</c:v>
                </c:pt>
                <c:pt idx="2">
                  <c:v>0.64457328172047368</c:v>
                </c:pt>
                <c:pt idx="3">
                  <c:v>0.6958430841064509</c:v>
                </c:pt>
                <c:pt idx="4">
                  <c:v>0.73684378825015306</c:v>
                </c:pt>
                <c:pt idx="5">
                  <c:v>0.76986100888628328</c:v>
                </c:pt>
                <c:pt idx="6">
                  <c:v>0.7966852878325662</c:v>
                </c:pt>
                <c:pt idx="7">
                  <c:v>0.81868797392843151</c:v>
                </c:pt>
                <c:pt idx="8">
                  <c:v>0.83691138077320204</c:v>
                </c:pt>
                <c:pt idx="9">
                  <c:v>0.85214788351884319</c:v>
                </c:pt>
                <c:pt idx="10">
                  <c:v>0.86500252140072986</c:v>
                </c:pt>
                <c:pt idx="11">
                  <c:v>0.87594040046480814</c:v>
                </c:pt>
                <c:pt idx="12">
                  <c:v>0.88532189350765289</c:v>
                </c:pt>
                <c:pt idx="13">
                  <c:v>0.89342859078855119</c:v>
                </c:pt>
                <c:pt idx="14">
                  <c:v>0.90048242156983527</c:v>
                </c:pt>
                <c:pt idx="15">
                  <c:v>0.9066597895149755</c:v>
                </c:pt>
                <c:pt idx="16">
                  <c:v>0.91210207909672492</c:v>
                </c:pt>
                <c:pt idx="17">
                  <c:v>0.91692351704240305</c:v>
                </c:pt>
                <c:pt idx="18">
                  <c:v>0.92121709809440444</c:v>
                </c:pt>
                <c:pt idx="19">
                  <c:v>0.92505908607477927</c:v>
                </c:pt>
                <c:pt idx="20">
                  <c:v>0.92851245939036386</c:v>
                </c:pt>
                <c:pt idx="21">
                  <c:v>0.931629568886991</c:v>
                </c:pt>
                <c:pt idx="22">
                  <c:v>0.93445420363025689</c:v>
                </c:pt>
                <c:pt idx="23">
                  <c:v>0.93702320832114705</c:v>
                </c:pt>
                <c:pt idx="24">
                  <c:v>0.93936775867202349</c:v>
                </c:pt>
                <c:pt idx="25">
                  <c:v>0.94151437396716042</c:v>
                </c:pt>
                <c:pt idx="26">
                  <c:v>0.94348572625833804</c:v>
                </c:pt>
                <c:pt idx="27">
                  <c:v>0.94530129112210404</c:v>
                </c:pt>
                <c:pt idx="28">
                  <c:v>0.946977874164734</c:v>
                </c:pt>
                <c:pt idx="29">
                  <c:v>0.94853003946395664</c:v>
                </c:pt>
                <c:pt idx="30">
                  <c:v>0.9499704601420883</c:v>
                </c:pt>
                <c:pt idx="31">
                  <c:v>0.95131020674204381</c:v>
                </c:pt>
                <c:pt idx="32">
                  <c:v>0.95255898564248942</c:v>
                </c:pt>
                <c:pt idx="33">
                  <c:v>0.95372533712299368</c:v>
                </c:pt>
                <c:pt idx="34">
                  <c:v>0.9548168006711939</c:v>
                </c:pt>
                <c:pt idx="35">
                  <c:v>0.95584005356234336</c:v>
                </c:pt>
                <c:pt idx="36">
                  <c:v>0.95680102752665508</c:v>
                </c:pt>
                <c:pt idx="37">
                  <c:v>0.95770500736936792</c:v>
                </c:pt>
                <c:pt idx="38">
                  <c:v>0.95855671466087533</c:v>
                </c:pt>
                <c:pt idx="39">
                  <c:v>0.95936037902319959</c:v>
                </c:pt>
                <c:pt idx="40">
                  <c:v>0.96011979906945766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815-4C46-B252-6B63B5E0B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50016"/>
        <c:axId val="108551552"/>
      </c:scatterChart>
      <c:valAx>
        <c:axId val="108550016"/>
        <c:scaling>
          <c:orientation val="minMax"/>
          <c:max val="4"/>
        </c:scaling>
        <c:delete val="0"/>
        <c:axPos val="b"/>
        <c:numFmt formatCode="General" sourceLinked="1"/>
        <c:majorTickMark val="out"/>
        <c:minorTickMark val="none"/>
        <c:tickLblPos val="nextTo"/>
        <c:crossAx val="108551552"/>
        <c:crosses val="autoZero"/>
        <c:crossBetween val="midCat"/>
      </c:valAx>
      <c:valAx>
        <c:axId val="10855155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550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113601</xdr:colOff>
      <xdr:row>2</xdr:row>
      <xdr:rowOff>95250</xdr:rowOff>
    </xdr:from>
    <xdr:to>
      <xdr:col>18</xdr:col>
      <xdr:colOff>259513</xdr:colOff>
      <xdr:row>17</xdr:row>
      <xdr:rowOff>155345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113601</xdr:colOff>
      <xdr:row>19</xdr:row>
      <xdr:rowOff>114951</xdr:rowOff>
    </xdr:from>
    <xdr:to>
      <xdr:col>18</xdr:col>
      <xdr:colOff>259513</xdr:colOff>
      <xdr:row>35</xdr:row>
      <xdr:rowOff>45725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9A1C694A-F0D2-4FC6-B673-22497FAB7C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121664</xdr:colOff>
      <xdr:row>24</xdr:row>
      <xdr:rowOff>71316</xdr:rowOff>
    </xdr:from>
    <xdr:to>
      <xdr:col>4</xdr:col>
      <xdr:colOff>751095</xdr:colOff>
      <xdr:row>44</xdr:row>
      <xdr:rowOff>179314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816989</xdr:colOff>
      <xdr:row>24</xdr:row>
      <xdr:rowOff>76038</xdr:rowOff>
    </xdr:from>
    <xdr:to>
      <xdr:col>12</xdr:col>
      <xdr:colOff>836820</xdr:colOff>
      <xdr:row>45</xdr:row>
      <xdr:rowOff>119901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10</xdr:row>
      <xdr:rowOff>135306</xdr:rowOff>
    </xdr:from>
    <xdr:to>
      <xdr:col>10</xdr:col>
      <xdr:colOff>266700</xdr:colOff>
      <xdr:row>30</xdr:row>
      <xdr:rowOff>57151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tabSelected="1" workbookViewId="0"/>
  </sheetViews>
  <sheetFormatPr defaultRowHeight="15.75" x14ac:dyDescent="0.25"/>
  <cols>
    <col min="1" max="1" width="12.7109375" style="129" customWidth="1"/>
    <col min="2" max="2" width="40.7109375" customWidth="1"/>
  </cols>
  <sheetData>
    <row r="1" spans="1:2" x14ac:dyDescent="0.25">
      <c r="A1" s="128" t="s">
        <v>145</v>
      </c>
    </row>
    <row r="2" spans="1:2" x14ac:dyDescent="0.25">
      <c r="A2" s="128"/>
      <c r="B2" t="s">
        <v>203</v>
      </c>
    </row>
    <row r="3" spans="1:2" x14ac:dyDescent="0.25">
      <c r="A3" s="128"/>
      <c r="B3" t="s">
        <v>202</v>
      </c>
    </row>
    <row r="4" spans="1:2" x14ac:dyDescent="0.25">
      <c r="A4" s="128" t="s">
        <v>146</v>
      </c>
    </row>
    <row r="5" spans="1:2" x14ac:dyDescent="0.25">
      <c r="A5" s="128"/>
      <c r="B5" t="s">
        <v>200</v>
      </c>
    </row>
    <row r="6" spans="1:2" x14ac:dyDescent="0.25">
      <c r="A6" s="128"/>
      <c r="B6" t="s">
        <v>219</v>
      </c>
    </row>
    <row r="7" spans="1:2" x14ac:dyDescent="0.25">
      <c r="A7" s="128" t="s">
        <v>147</v>
      </c>
    </row>
    <row r="8" spans="1:2" x14ac:dyDescent="0.25">
      <c r="A8" s="128"/>
      <c r="B8" t="s">
        <v>187</v>
      </c>
    </row>
    <row r="9" spans="1:2" x14ac:dyDescent="0.25">
      <c r="A9" s="128" t="s">
        <v>148</v>
      </c>
    </row>
    <row r="10" spans="1:2" x14ac:dyDescent="0.25">
      <c r="A10" s="128"/>
      <c r="B10" t="s">
        <v>199</v>
      </c>
    </row>
    <row r="11" spans="1:2" x14ac:dyDescent="0.25">
      <c r="A11" s="128"/>
      <c r="B11" t="s">
        <v>198</v>
      </c>
    </row>
    <row r="12" spans="1:2" x14ac:dyDescent="0.25">
      <c r="A12" s="128"/>
      <c r="B12" t="s">
        <v>197</v>
      </c>
    </row>
    <row r="13" spans="1:2" x14ac:dyDescent="0.25">
      <c r="A13" s="128" t="s">
        <v>149</v>
      </c>
    </row>
    <row r="14" spans="1:2" x14ac:dyDescent="0.25">
      <c r="A14" s="128"/>
      <c r="B14" t="s">
        <v>199</v>
      </c>
    </row>
    <row r="15" spans="1:2" x14ac:dyDescent="0.25">
      <c r="A15" s="128"/>
      <c r="B15" t="s">
        <v>198</v>
      </c>
    </row>
    <row r="16" spans="1:2" x14ac:dyDescent="0.25">
      <c r="A16" s="128"/>
      <c r="B16" t="s">
        <v>197</v>
      </c>
    </row>
    <row r="17" spans="1:2" x14ac:dyDescent="0.25">
      <c r="A17" s="128" t="s">
        <v>150</v>
      </c>
    </row>
    <row r="18" spans="1:2" x14ac:dyDescent="0.25">
      <c r="A18" s="128"/>
      <c r="B18" t="s">
        <v>199</v>
      </c>
    </row>
    <row r="19" spans="1:2" x14ac:dyDescent="0.25">
      <c r="A19" s="128"/>
      <c r="B19" t="s">
        <v>198</v>
      </c>
    </row>
    <row r="20" spans="1:2" x14ac:dyDescent="0.25">
      <c r="A20" s="128"/>
      <c r="B20" t="s">
        <v>197</v>
      </c>
    </row>
    <row r="21" spans="1:2" x14ac:dyDescent="0.25">
      <c r="A21" s="128" t="s">
        <v>151</v>
      </c>
    </row>
    <row r="22" spans="1:2" x14ac:dyDescent="0.25">
      <c r="A22" s="128"/>
      <c r="B22" t="s">
        <v>201</v>
      </c>
    </row>
    <row r="23" spans="1:2" x14ac:dyDescent="0.25">
      <c r="A23" s="128" t="s">
        <v>152</v>
      </c>
    </row>
    <row r="24" spans="1:2" x14ac:dyDescent="0.25">
      <c r="A24" s="128"/>
      <c r="B24" t="s">
        <v>187</v>
      </c>
    </row>
    <row r="25" spans="1:2" x14ac:dyDescent="0.25">
      <c r="A25" s="128" t="s">
        <v>153</v>
      </c>
    </row>
    <row r="26" spans="1:2" x14ac:dyDescent="0.25">
      <c r="A26" s="128"/>
      <c r="B26" t="s">
        <v>187</v>
      </c>
    </row>
    <row r="27" spans="1:2" x14ac:dyDescent="0.25">
      <c r="A27" s="128" t="s">
        <v>154</v>
      </c>
    </row>
    <row r="28" spans="1:2" x14ac:dyDescent="0.25">
      <c r="A28" s="128"/>
      <c r="B28" t="s">
        <v>40</v>
      </c>
    </row>
    <row r="29" spans="1:2" x14ac:dyDescent="0.25">
      <c r="A29" s="128"/>
      <c r="B29" t="s">
        <v>180</v>
      </c>
    </row>
    <row r="30" spans="1:2" x14ac:dyDescent="0.25">
      <c r="A30" s="128"/>
      <c r="B30" t="s">
        <v>181</v>
      </c>
    </row>
    <row r="31" spans="1:2" x14ac:dyDescent="0.25">
      <c r="A31" s="128"/>
      <c r="B31" t="s">
        <v>182</v>
      </c>
    </row>
    <row r="32" spans="1:2" x14ac:dyDescent="0.25">
      <c r="A32" s="128"/>
      <c r="B32" t="s">
        <v>183</v>
      </c>
    </row>
    <row r="33" spans="1:2" x14ac:dyDescent="0.25">
      <c r="A33" s="128"/>
      <c r="B33" t="s">
        <v>184</v>
      </c>
    </row>
    <row r="34" spans="1:2" x14ac:dyDescent="0.25">
      <c r="A34" s="128"/>
      <c r="B34" t="s">
        <v>185</v>
      </c>
    </row>
    <row r="35" spans="1:2" x14ac:dyDescent="0.25">
      <c r="A35" s="128"/>
      <c r="B35" t="s">
        <v>186</v>
      </c>
    </row>
    <row r="36" spans="1:2" x14ac:dyDescent="0.25">
      <c r="A36" s="128"/>
      <c r="B36" t="s">
        <v>39</v>
      </c>
    </row>
    <row r="37" spans="1:2" x14ac:dyDescent="0.25">
      <c r="A37" s="128"/>
      <c r="B37" t="s">
        <v>187</v>
      </c>
    </row>
    <row r="38" spans="1:2" x14ac:dyDescent="0.25">
      <c r="A38" s="128"/>
      <c r="B38" t="s">
        <v>188</v>
      </c>
    </row>
    <row r="39" spans="1:2" x14ac:dyDescent="0.25">
      <c r="A39" s="128"/>
      <c r="B39" t="s">
        <v>189</v>
      </c>
    </row>
    <row r="40" spans="1:2" x14ac:dyDescent="0.25">
      <c r="A40" s="128"/>
      <c r="B40" t="s">
        <v>190</v>
      </c>
    </row>
    <row r="41" spans="1:2" x14ac:dyDescent="0.25">
      <c r="A41" s="128"/>
      <c r="B41" t="s">
        <v>191</v>
      </c>
    </row>
    <row r="42" spans="1:2" x14ac:dyDescent="0.25">
      <c r="A42" s="128"/>
      <c r="B42" t="s">
        <v>9</v>
      </c>
    </row>
    <row r="43" spans="1:2" x14ac:dyDescent="0.25">
      <c r="A43" s="128"/>
      <c r="B43" t="s">
        <v>226</v>
      </c>
    </row>
    <row r="44" spans="1:2" x14ac:dyDescent="0.25">
      <c r="A44" s="128" t="s">
        <v>155</v>
      </c>
    </row>
    <row r="45" spans="1:2" x14ac:dyDescent="0.25">
      <c r="A45" s="128"/>
      <c r="B45" t="s">
        <v>6</v>
      </c>
    </row>
    <row r="46" spans="1:2" x14ac:dyDescent="0.25">
      <c r="A46" s="128"/>
      <c r="B46" t="s">
        <v>11</v>
      </c>
    </row>
    <row r="47" spans="1:2" x14ac:dyDescent="0.25">
      <c r="A47" s="128"/>
      <c r="B47" t="s">
        <v>12</v>
      </c>
    </row>
    <row r="48" spans="1:2" x14ac:dyDescent="0.25">
      <c r="A48" s="128"/>
      <c r="B48" t="s">
        <v>13</v>
      </c>
    </row>
    <row r="49" spans="1:2" x14ac:dyDescent="0.25">
      <c r="A49" s="128"/>
      <c r="B49" t="s">
        <v>14</v>
      </c>
    </row>
    <row r="50" spans="1:2" x14ac:dyDescent="0.25">
      <c r="A50" s="128" t="s">
        <v>156</v>
      </c>
    </row>
    <row r="51" spans="1:2" x14ac:dyDescent="0.25">
      <c r="A51" s="128"/>
      <c r="B51" t="s">
        <v>9</v>
      </c>
    </row>
    <row r="52" spans="1:2" x14ac:dyDescent="0.25">
      <c r="A52" s="128"/>
      <c r="B52" t="s">
        <v>39</v>
      </c>
    </row>
    <row r="53" spans="1:2" x14ac:dyDescent="0.25">
      <c r="A53" s="128"/>
      <c r="B53" t="s">
        <v>40</v>
      </c>
    </row>
    <row r="54" spans="1:2" x14ac:dyDescent="0.25">
      <c r="A54" s="128"/>
      <c r="B54" t="s">
        <v>187</v>
      </c>
    </row>
    <row r="55" spans="1:2" x14ac:dyDescent="0.25">
      <c r="A55" s="128" t="s">
        <v>157</v>
      </c>
    </row>
    <row r="56" spans="1:2" x14ac:dyDescent="0.25">
      <c r="A56" s="128"/>
      <c r="B56" t="s">
        <v>187</v>
      </c>
    </row>
    <row r="57" spans="1:2" x14ac:dyDescent="0.25">
      <c r="A57" s="128" t="s">
        <v>158</v>
      </c>
    </row>
    <row r="58" spans="1:2" x14ac:dyDescent="0.25">
      <c r="A58" s="128"/>
      <c r="B58" t="s">
        <v>187</v>
      </c>
    </row>
    <row r="59" spans="1:2" x14ac:dyDescent="0.25">
      <c r="A59" s="128" t="s">
        <v>159</v>
      </c>
    </row>
    <row r="60" spans="1:2" x14ac:dyDescent="0.25">
      <c r="A60" s="128"/>
      <c r="B60" t="s">
        <v>187</v>
      </c>
    </row>
    <row r="61" spans="1:2" x14ac:dyDescent="0.25">
      <c r="A61" s="128" t="s">
        <v>160</v>
      </c>
    </row>
    <row r="62" spans="1:2" x14ac:dyDescent="0.25">
      <c r="A62" s="128"/>
      <c r="B62" t="s">
        <v>5</v>
      </c>
    </row>
    <row r="63" spans="1:2" x14ac:dyDescent="0.25">
      <c r="A63" s="128"/>
      <c r="B63" t="s">
        <v>6</v>
      </c>
    </row>
    <row r="64" spans="1:2" x14ac:dyDescent="0.25">
      <c r="A64" s="128"/>
      <c r="B64" t="s">
        <v>7</v>
      </c>
    </row>
    <row r="65" spans="1:2" x14ac:dyDescent="0.25">
      <c r="A65" s="128"/>
      <c r="B65" t="s">
        <v>192</v>
      </c>
    </row>
    <row r="66" spans="1:2" x14ac:dyDescent="0.25">
      <c r="A66" s="128"/>
      <c r="B66" t="s">
        <v>9</v>
      </c>
    </row>
    <row r="67" spans="1:2" x14ac:dyDescent="0.25">
      <c r="A67" s="128" t="s">
        <v>161</v>
      </c>
    </row>
    <row r="68" spans="1:2" x14ac:dyDescent="0.25">
      <c r="A68" s="128"/>
      <c r="B68" t="s">
        <v>204</v>
      </c>
    </row>
    <row r="69" spans="1:2" x14ac:dyDescent="0.25">
      <c r="A69" s="128" t="s">
        <v>162</v>
      </c>
    </row>
    <row r="70" spans="1:2" x14ac:dyDescent="0.25">
      <c r="A70" s="128"/>
      <c r="B70" t="s">
        <v>205</v>
      </c>
    </row>
    <row r="71" spans="1:2" x14ac:dyDescent="0.25">
      <c r="A71" s="128" t="s">
        <v>163</v>
      </c>
    </row>
    <row r="72" spans="1:2" x14ac:dyDescent="0.25">
      <c r="A72" s="128"/>
      <c r="B72" t="s">
        <v>224</v>
      </c>
    </row>
    <row r="73" spans="1:2" x14ac:dyDescent="0.25">
      <c r="A73" s="128"/>
      <c r="B73" t="s">
        <v>179</v>
      </c>
    </row>
    <row r="74" spans="1:2" x14ac:dyDescent="0.25">
      <c r="A74" s="128"/>
      <c r="B74" t="s">
        <v>225</v>
      </c>
    </row>
    <row r="75" spans="1:2" x14ac:dyDescent="0.25">
      <c r="A75" s="128" t="s">
        <v>164</v>
      </c>
    </row>
    <row r="76" spans="1:2" x14ac:dyDescent="0.25">
      <c r="A76" s="128"/>
      <c r="B76" t="s">
        <v>221</v>
      </c>
    </row>
    <row r="77" spans="1:2" x14ac:dyDescent="0.25">
      <c r="A77" s="128"/>
      <c r="B77" t="s">
        <v>222</v>
      </c>
    </row>
    <row r="78" spans="1:2" x14ac:dyDescent="0.25">
      <c r="A78" s="128" t="s">
        <v>206</v>
      </c>
    </row>
    <row r="79" spans="1:2" x14ac:dyDescent="0.25">
      <c r="A79" s="128"/>
      <c r="B79" t="s">
        <v>194</v>
      </c>
    </row>
    <row r="80" spans="1:2" x14ac:dyDescent="0.25">
      <c r="A80" s="128"/>
      <c r="B80" t="s">
        <v>207</v>
      </c>
    </row>
    <row r="81" spans="1:2" x14ac:dyDescent="0.25">
      <c r="A81" s="128" t="s">
        <v>165</v>
      </c>
    </row>
    <row r="82" spans="1:2" x14ac:dyDescent="0.25">
      <c r="A82" s="128"/>
      <c r="B82" t="s">
        <v>112</v>
      </c>
    </row>
    <row r="83" spans="1:2" x14ac:dyDescent="0.25">
      <c r="A83" s="128"/>
      <c r="B83" t="s">
        <v>113</v>
      </c>
    </row>
    <row r="84" spans="1:2" x14ac:dyDescent="0.25">
      <c r="A84" s="128" t="s">
        <v>166</v>
      </c>
    </row>
    <row r="85" spans="1:2" x14ac:dyDescent="0.25">
      <c r="A85" s="128"/>
      <c r="B85" t="s">
        <v>187</v>
      </c>
    </row>
    <row r="86" spans="1:2" x14ac:dyDescent="0.25">
      <c r="A86" s="128" t="s">
        <v>167</v>
      </c>
    </row>
    <row r="87" spans="1:2" x14ac:dyDescent="0.25">
      <c r="A87" s="128"/>
      <c r="B87" t="s">
        <v>194</v>
      </c>
    </row>
    <row r="88" spans="1:2" x14ac:dyDescent="0.25">
      <c r="A88" s="128"/>
      <c r="B88" t="s">
        <v>208</v>
      </c>
    </row>
    <row r="89" spans="1:2" x14ac:dyDescent="0.25">
      <c r="A89" s="128" t="s">
        <v>168</v>
      </c>
    </row>
    <row r="90" spans="1:2" x14ac:dyDescent="0.25">
      <c r="A90" s="128"/>
      <c r="B90" t="s">
        <v>194</v>
      </c>
    </row>
    <row r="91" spans="1:2" x14ac:dyDescent="0.25">
      <c r="A91" s="128"/>
      <c r="B91" t="s">
        <v>208</v>
      </c>
    </row>
    <row r="92" spans="1:2" x14ac:dyDescent="0.25">
      <c r="A92" s="128" t="s">
        <v>169</v>
      </c>
    </row>
    <row r="93" spans="1:2" x14ac:dyDescent="0.25">
      <c r="A93" s="128"/>
      <c r="B93" t="s">
        <v>211</v>
      </c>
    </row>
    <row r="94" spans="1:2" x14ac:dyDescent="0.25">
      <c r="A94" s="128"/>
      <c r="B94" t="s">
        <v>210</v>
      </c>
    </row>
    <row r="95" spans="1:2" x14ac:dyDescent="0.25">
      <c r="A95" s="128"/>
      <c r="B95" t="s">
        <v>187</v>
      </c>
    </row>
    <row r="96" spans="1:2" x14ac:dyDescent="0.25">
      <c r="A96" s="128"/>
      <c r="B96" t="s">
        <v>209</v>
      </c>
    </row>
    <row r="97" spans="1:2" x14ac:dyDescent="0.25">
      <c r="A97" s="128"/>
      <c r="B97" t="s">
        <v>212</v>
      </c>
    </row>
    <row r="98" spans="1:2" x14ac:dyDescent="0.25">
      <c r="A98" s="128"/>
      <c r="B98" t="s">
        <v>213</v>
      </c>
    </row>
    <row r="99" spans="1:2" x14ac:dyDescent="0.25">
      <c r="A99" s="128"/>
      <c r="B99" t="s">
        <v>214</v>
      </c>
    </row>
    <row r="100" spans="1:2" x14ac:dyDescent="0.25">
      <c r="A100" s="128"/>
      <c r="B100" t="s">
        <v>215</v>
      </c>
    </row>
    <row r="101" spans="1:2" x14ac:dyDescent="0.25">
      <c r="A101" s="128"/>
      <c r="B101" t="s">
        <v>216</v>
      </c>
    </row>
    <row r="102" spans="1:2" x14ac:dyDescent="0.25">
      <c r="A102" s="128" t="s">
        <v>170</v>
      </c>
    </row>
    <row r="103" spans="1:2" x14ac:dyDescent="0.25">
      <c r="A103" s="128"/>
      <c r="B103" t="s">
        <v>217</v>
      </c>
    </row>
    <row r="104" spans="1:2" x14ac:dyDescent="0.25">
      <c r="A104" s="128"/>
      <c r="B104" t="s">
        <v>218</v>
      </c>
    </row>
    <row r="105" spans="1:2" x14ac:dyDescent="0.25">
      <c r="A105" s="128" t="s">
        <v>171</v>
      </c>
    </row>
    <row r="106" spans="1:2" x14ac:dyDescent="0.25">
      <c r="A106" s="128"/>
      <c r="B106" t="s">
        <v>196</v>
      </c>
    </row>
    <row r="107" spans="1:2" x14ac:dyDescent="0.25">
      <c r="A107" s="128" t="s">
        <v>172</v>
      </c>
    </row>
    <row r="108" spans="1:2" x14ac:dyDescent="0.25">
      <c r="A108" s="128"/>
      <c r="B108" t="s">
        <v>221</v>
      </c>
    </row>
    <row r="109" spans="1:2" x14ac:dyDescent="0.25">
      <c r="A109" s="128"/>
      <c r="B109" t="s">
        <v>222</v>
      </c>
    </row>
    <row r="110" spans="1:2" x14ac:dyDescent="0.25">
      <c r="A110" s="128"/>
      <c r="B110" t="s">
        <v>220</v>
      </c>
    </row>
    <row r="111" spans="1:2" x14ac:dyDescent="0.25">
      <c r="A111" s="128"/>
      <c r="B111" t="s">
        <v>193</v>
      </c>
    </row>
    <row r="112" spans="1:2" x14ac:dyDescent="0.25">
      <c r="A112" s="128" t="s">
        <v>173</v>
      </c>
    </row>
    <row r="113" spans="1:2" x14ac:dyDescent="0.25">
      <c r="A113" s="128"/>
      <c r="B113" t="s">
        <v>201</v>
      </c>
    </row>
    <row r="114" spans="1:2" x14ac:dyDescent="0.25">
      <c r="A114" s="128" t="s">
        <v>174</v>
      </c>
    </row>
    <row r="115" spans="1:2" x14ac:dyDescent="0.25">
      <c r="A115" s="128"/>
      <c r="B115" t="s">
        <v>187</v>
      </c>
    </row>
    <row r="116" spans="1:2" x14ac:dyDescent="0.25">
      <c r="A116" s="128" t="s">
        <v>175</v>
      </c>
    </row>
    <row r="117" spans="1:2" x14ac:dyDescent="0.25">
      <c r="A117" s="128"/>
      <c r="B117" t="s">
        <v>187</v>
      </c>
    </row>
    <row r="118" spans="1:2" x14ac:dyDescent="0.25">
      <c r="A118" s="128" t="s">
        <v>176</v>
      </c>
    </row>
    <row r="119" spans="1:2" x14ac:dyDescent="0.25">
      <c r="A119" s="128"/>
      <c r="B119" t="s">
        <v>195</v>
      </c>
    </row>
    <row r="120" spans="1:2" x14ac:dyDescent="0.25">
      <c r="A120" s="128" t="s">
        <v>177</v>
      </c>
    </row>
    <row r="121" spans="1:2" x14ac:dyDescent="0.25">
      <c r="A121" s="128"/>
      <c r="B121" t="s">
        <v>193</v>
      </c>
    </row>
    <row r="122" spans="1:2" x14ac:dyDescent="0.25">
      <c r="A122" s="128"/>
      <c r="B122" t="s">
        <v>194</v>
      </c>
    </row>
    <row r="123" spans="1:2" x14ac:dyDescent="0.25">
      <c r="A123" s="128" t="s">
        <v>178</v>
      </c>
    </row>
    <row r="124" spans="1:2" x14ac:dyDescent="0.25">
      <c r="B124" t="s">
        <v>223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zoomScaleSheetLayoutView="90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28.42578125" style="102" customWidth="1"/>
    <col min="2" max="2" width="31.5703125" style="4" customWidth="1"/>
    <col min="3" max="3" width="3.7109375" style="4" customWidth="1"/>
    <col min="4" max="4" width="12.7109375" style="12" customWidth="1"/>
    <col min="5" max="7" width="12.7109375" style="4" customWidth="1"/>
    <col min="8" max="8" width="19.7109375" style="4" bestFit="1" customWidth="1"/>
    <col min="9" max="9" width="3.7109375" style="4" customWidth="1"/>
    <col min="10" max="10" width="14.85546875" style="4" customWidth="1"/>
    <col min="11" max="11" width="14.7109375" style="4" customWidth="1"/>
    <col min="12" max="16384" width="9.140625" style="4"/>
  </cols>
  <sheetData>
    <row r="1" spans="1:11" s="31" customFormat="1" ht="33" customHeight="1" thickBot="1" x14ac:dyDescent="0.3">
      <c r="A1" s="99" t="s">
        <v>0</v>
      </c>
      <c r="B1" s="31" t="s">
        <v>1</v>
      </c>
      <c r="D1" s="90" t="s">
        <v>51</v>
      </c>
      <c r="E1" s="23" t="s">
        <v>47</v>
      </c>
      <c r="F1" s="24" t="s">
        <v>23</v>
      </c>
      <c r="G1" s="24" t="s">
        <v>24</v>
      </c>
      <c r="H1" s="31" t="s">
        <v>114</v>
      </c>
      <c r="I1" s="23"/>
      <c r="J1" s="23" t="s">
        <v>129</v>
      </c>
      <c r="K1" s="23" t="s">
        <v>130</v>
      </c>
    </row>
    <row r="2" spans="1:11" s="47" customFormat="1" ht="14.25" customHeight="1" x14ac:dyDescent="0.25">
      <c r="A2" s="100"/>
      <c r="D2" s="91"/>
      <c r="E2" s="40"/>
      <c r="F2" s="75"/>
      <c r="G2" s="75"/>
      <c r="I2" s="40"/>
    </row>
    <row r="3" spans="1:11" s="47" customFormat="1" ht="14.25" customHeight="1" x14ac:dyDescent="0.25">
      <c r="A3" s="68" t="s">
        <v>66</v>
      </c>
      <c r="D3" s="91"/>
      <c r="E3" s="40"/>
      <c r="F3" s="76"/>
      <c r="G3" s="76"/>
      <c r="H3" s="76"/>
      <c r="I3" s="40"/>
      <c r="K3" s="88"/>
    </row>
    <row r="4" spans="1:11" s="47" customFormat="1" ht="14.25" customHeight="1" x14ac:dyDescent="0.25">
      <c r="B4" s="77" t="s">
        <v>68</v>
      </c>
      <c r="C4" s="77"/>
      <c r="D4" s="92">
        <v>135</v>
      </c>
      <c r="E4" s="78">
        <f>1.75/2.38*135</f>
        <v>99.264705882352942</v>
      </c>
      <c r="F4" s="76">
        <v>112.74</v>
      </c>
      <c r="G4" s="76">
        <v>23.9</v>
      </c>
      <c r="H4" s="76">
        <f>G4/E4</f>
        <v>0.24077037037037036</v>
      </c>
      <c r="I4" s="40"/>
      <c r="J4" s="88">
        <f>(LOG10(F4)-LOG10(J$84*E4))^2</f>
        <v>3.3096853609359711E-2</v>
      </c>
      <c r="K4" s="88">
        <f>(LOG10(G4)-LOG10(K$84*E4+K$85))^2</f>
        <v>2.6370501232287392E-2</v>
      </c>
    </row>
    <row r="5" spans="1:11" s="47" customFormat="1" ht="14.25" customHeight="1" x14ac:dyDescent="0.25">
      <c r="A5" s="100"/>
      <c r="B5" s="77" t="s">
        <v>17</v>
      </c>
      <c r="C5" s="77"/>
      <c r="D5" s="92">
        <v>135</v>
      </c>
      <c r="E5" s="78">
        <v>135</v>
      </c>
      <c r="F5" s="76">
        <v>132.72999999999999</v>
      </c>
      <c r="G5" s="76">
        <v>17.5</v>
      </c>
      <c r="H5" s="76">
        <f>G5/E5</f>
        <v>0.12962962962962962</v>
      </c>
      <c r="I5" s="40"/>
      <c r="J5" s="88">
        <f>(LOG10(F5)-LOG10(J$84*E5))^2</f>
        <v>1.4227136857960098E-2</v>
      </c>
      <c r="K5" s="88">
        <f>(LOG10(G5)-LOG10(K$84*E5+K$85))^2</f>
        <v>0.18600996618416951</v>
      </c>
    </row>
    <row r="6" spans="1:11" s="47" customFormat="1" ht="14.25" customHeight="1" x14ac:dyDescent="0.25">
      <c r="A6" s="100"/>
      <c r="B6" s="77" t="s">
        <v>67</v>
      </c>
      <c r="C6" s="77"/>
      <c r="D6" s="92">
        <v>135</v>
      </c>
      <c r="E6" s="78">
        <f>2.86/2.38*135</f>
        <v>162.22689075630251</v>
      </c>
      <c r="F6" s="76">
        <v>164.19</v>
      </c>
      <c r="G6" s="76">
        <v>29.7</v>
      </c>
      <c r="H6" s="76">
        <f>G6/E6</f>
        <v>0.18307692307692308</v>
      </c>
      <c r="I6" s="40"/>
      <c r="J6" s="88">
        <f>(LOG10(F6)-LOG10(J$84*E6))^2</f>
        <v>1.7388666918991127E-2</v>
      </c>
      <c r="K6" s="88">
        <f>(LOG10(G6)-LOG10(K$84*E6+K$85))^2</f>
        <v>7.9163113438127333E-2</v>
      </c>
    </row>
    <row r="7" spans="1:11" s="31" customFormat="1" ht="14.25" customHeight="1" thickBot="1" x14ac:dyDescent="0.3">
      <c r="A7" s="99"/>
      <c r="D7" s="90"/>
      <c r="E7" s="23"/>
      <c r="F7" s="79"/>
      <c r="G7" s="79"/>
      <c r="H7" s="79"/>
      <c r="I7" s="23"/>
      <c r="K7" s="106"/>
    </row>
    <row r="8" spans="1:11" s="47" customFormat="1" ht="14.45" customHeight="1" x14ac:dyDescent="0.25">
      <c r="A8" s="100"/>
      <c r="D8" s="91"/>
      <c r="E8" s="40"/>
      <c r="F8" s="41"/>
      <c r="G8" s="41"/>
      <c r="I8" s="40"/>
      <c r="K8" s="88"/>
    </row>
    <row r="9" spans="1:11" s="1" customFormat="1" ht="14.45" customHeight="1" x14ac:dyDescent="0.25">
      <c r="A9" s="68" t="s">
        <v>16</v>
      </c>
      <c r="D9" s="93"/>
      <c r="E9" s="2"/>
      <c r="F9" s="3"/>
      <c r="G9" s="3"/>
      <c r="I9" s="2"/>
      <c r="K9" s="107"/>
    </row>
    <row r="10" spans="1:11" s="76" customFormat="1" ht="15" customHeight="1" x14ac:dyDescent="0.25">
      <c r="A10" s="37"/>
      <c r="B10" s="77" t="s">
        <v>123</v>
      </c>
      <c r="C10" s="77"/>
      <c r="D10" s="92">
        <v>135</v>
      </c>
      <c r="E10" s="78">
        <f>1.75/2.38*135</f>
        <v>99.264705882352942</v>
      </c>
      <c r="F10" s="78">
        <v>103.56</v>
      </c>
      <c r="G10" s="78">
        <v>20.14</v>
      </c>
      <c r="H10" s="76">
        <f>G10/E10</f>
        <v>0.20289185185185185</v>
      </c>
      <c r="J10" s="88">
        <f>(LOG10(F10)-LOG10(J$84*E10))^2</f>
        <v>2.1036432772691759E-2</v>
      </c>
      <c r="K10" s="88">
        <f>(LOG10(G10)-LOG10(K$84*E10+K$85))^2</f>
        <v>5.6040335967266965E-2</v>
      </c>
    </row>
    <row r="11" spans="1:11" s="76" customFormat="1" ht="15" customHeight="1" x14ac:dyDescent="0.25">
      <c r="A11" s="97"/>
      <c r="B11" s="77" t="s">
        <v>124</v>
      </c>
      <c r="C11" s="77"/>
      <c r="D11" s="92">
        <v>135</v>
      </c>
      <c r="E11" s="78">
        <v>135</v>
      </c>
      <c r="F11" s="78">
        <v>128.1</v>
      </c>
      <c r="G11" s="78">
        <v>27.65</v>
      </c>
      <c r="H11" s="76">
        <f>G11/E11</f>
        <v>0.20481481481481481</v>
      </c>
      <c r="J11" s="88">
        <f>(LOG10(F11)-LOG10(J$84*E11))^2</f>
        <v>1.078640058088183E-2</v>
      </c>
      <c r="K11" s="88">
        <f>(LOG10(G11)-LOG10(K$84*E11+K$85))^2</f>
        <v>5.4117480029525114E-2</v>
      </c>
    </row>
    <row r="12" spans="1:11" s="76" customFormat="1" ht="15" customHeight="1" x14ac:dyDescent="0.25">
      <c r="A12" s="101"/>
      <c r="B12" s="77" t="s">
        <v>125</v>
      </c>
      <c r="C12" s="77"/>
      <c r="D12" s="92">
        <v>135</v>
      </c>
      <c r="E12" s="78">
        <f>2.86/2.38*135</f>
        <v>162.22689075630251</v>
      </c>
      <c r="F12" s="78">
        <v>151.30000000000001</v>
      </c>
      <c r="G12" s="78">
        <v>31.62</v>
      </c>
      <c r="H12" s="76">
        <f>G12/E12</f>
        <v>0.19491219891219894</v>
      </c>
      <c r="J12" s="88">
        <f>(LOG10(F12)-LOG10(J$84*E12))^2</f>
        <v>9.2849257973495695E-3</v>
      </c>
      <c r="K12" s="88">
        <f>(LOG10(G12)-LOG10(K$84*E12+K$85))^2</f>
        <v>6.4594248768917062E-2</v>
      </c>
    </row>
    <row r="13" spans="1:11" s="79" customFormat="1" ht="15" customHeight="1" thickBot="1" x14ac:dyDescent="0.3">
      <c r="A13" s="94"/>
      <c r="B13" s="80"/>
      <c r="C13" s="80"/>
      <c r="D13" s="94"/>
      <c r="E13" s="81"/>
      <c r="F13" s="81"/>
      <c r="G13" s="81"/>
    </row>
    <row r="14" spans="1:11" x14ac:dyDescent="0.25">
      <c r="K14" s="51"/>
    </row>
    <row r="15" spans="1:11" x14ac:dyDescent="0.25">
      <c r="A15" s="68" t="s">
        <v>10</v>
      </c>
      <c r="K15" s="51"/>
    </row>
    <row r="16" spans="1:11" x14ac:dyDescent="0.25">
      <c r="A16" s="37"/>
      <c r="B16" s="4" t="s">
        <v>6</v>
      </c>
      <c r="D16" s="95">
        <v>121.92</v>
      </c>
      <c r="E16" s="4">
        <v>121.92</v>
      </c>
      <c r="F16" s="4">
        <v>60.96</v>
      </c>
      <c r="G16" s="4">
        <v>30.48</v>
      </c>
      <c r="H16" s="76">
        <v>0.25</v>
      </c>
      <c r="J16" s="88">
        <f t="shared" ref="J16:J25" si="0">(LOG10(F16)-LOG10(J$84*E16))^2</f>
        <v>3.0411090595688525E-2</v>
      </c>
      <c r="K16" s="88">
        <f t="shared" ref="K16:K25" si="1">(LOG10(G16)-LOG10(K$84*E16+K$85))^2</f>
        <v>2.1331478426207171E-2</v>
      </c>
    </row>
    <row r="17" spans="1:17" x14ac:dyDescent="0.25">
      <c r="B17" s="4" t="s">
        <v>6</v>
      </c>
      <c r="D17" s="95">
        <v>54.864000000000004</v>
      </c>
      <c r="E17" s="4">
        <v>54.864000000000004</v>
      </c>
      <c r="F17" s="4">
        <v>45.72</v>
      </c>
      <c r="G17" s="4">
        <v>33.528000000000006</v>
      </c>
      <c r="H17" s="76">
        <v>0.61111111111111116</v>
      </c>
      <c r="J17" s="88">
        <f t="shared" si="0"/>
        <v>2.2525456012611835E-3</v>
      </c>
      <c r="K17" s="88">
        <f t="shared" si="1"/>
        <v>5.8625567756470515E-2</v>
      </c>
    </row>
    <row r="18" spans="1:17" x14ac:dyDescent="0.25">
      <c r="B18" s="4" t="s">
        <v>11</v>
      </c>
      <c r="D18" s="95">
        <v>213.36</v>
      </c>
      <c r="E18" s="4">
        <v>213.36</v>
      </c>
      <c r="F18" s="4">
        <v>131.06399999999999</v>
      </c>
      <c r="G18" s="4">
        <v>51.816000000000003</v>
      </c>
      <c r="H18" s="76">
        <v>0.24285714285714285</v>
      </c>
      <c r="J18" s="88">
        <f t="shared" si="0"/>
        <v>7.2228493330699015E-3</v>
      </c>
      <c r="K18" s="88">
        <f t="shared" si="1"/>
        <v>2.5167324141026303E-2</v>
      </c>
    </row>
    <row r="19" spans="1:17" x14ac:dyDescent="0.25">
      <c r="B19" s="4" t="s">
        <v>11</v>
      </c>
      <c r="D19" s="95">
        <v>121.92</v>
      </c>
      <c r="E19" s="4">
        <v>121.92</v>
      </c>
      <c r="F19" s="4">
        <v>106.68</v>
      </c>
      <c r="G19" s="4">
        <v>57.911999999999999</v>
      </c>
      <c r="H19" s="76">
        <v>0.47499999999999998</v>
      </c>
      <c r="J19" s="88">
        <f t="shared" si="0"/>
        <v>4.7128622320291797E-3</v>
      </c>
      <c r="K19" s="88">
        <f t="shared" si="1"/>
        <v>1.7609449841039224E-2</v>
      </c>
    </row>
    <row r="20" spans="1:17" x14ac:dyDescent="0.25">
      <c r="B20" s="4" t="s">
        <v>12</v>
      </c>
      <c r="D20" s="95">
        <v>335.28000000000003</v>
      </c>
      <c r="E20" s="4">
        <v>335.28000000000003</v>
      </c>
      <c r="F20" s="4">
        <v>204.21600000000001</v>
      </c>
      <c r="G20" s="4">
        <v>76.2</v>
      </c>
      <c r="H20" s="76">
        <v>0.22727272727272727</v>
      </c>
      <c r="J20" s="88">
        <f t="shared" si="0"/>
        <v>7.8633702111091039E-3</v>
      </c>
      <c r="K20" s="88">
        <f t="shared" si="1"/>
        <v>3.5135884393156833E-2</v>
      </c>
    </row>
    <row r="21" spans="1:17" x14ac:dyDescent="0.25">
      <c r="B21" s="4" t="s">
        <v>12</v>
      </c>
      <c r="D21" s="95">
        <v>192.024</v>
      </c>
      <c r="E21" s="4">
        <v>192.024</v>
      </c>
      <c r="F21" s="4">
        <v>182.88</v>
      </c>
      <c r="G21" s="4">
        <v>85.343999999999994</v>
      </c>
      <c r="H21" s="76">
        <v>0.44444444444444442</v>
      </c>
      <c r="J21" s="88">
        <f t="shared" si="0"/>
        <v>1.1120321982723662E-2</v>
      </c>
      <c r="K21" s="88">
        <f t="shared" si="1"/>
        <v>1.0779521510819855E-2</v>
      </c>
    </row>
    <row r="22" spans="1:17" x14ac:dyDescent="0.25">
      <c r="B22" s="4" t="s">
        <v>13</v>
      </c>
      <c r="D22" s="95">
        <v>457.2</v>
      </c>
      <c r="E22" s="4">
        <v>457.2</v>
      </c>
      <c r="F22" s="4">
        <v>292.608</v>
      </c>
      <c r="G22" s="4">
        <v>109.72800000000001</v>
      </c>
      <c r="H22" s="76">
        <v>0.24000000000000002</v>
      </c>
      <c r="J22" s="88">
        <f t="shared" si="0"/>
        <v>4.5128554233218321E-3</v>
      </c>
      <c r="K22" s="88">
        <f t="shared" si="1"/>
        <v>2.6824466759422655E-2</v>
      </c>
    </row>
    <row r="23" spans="1:17" x14ac:dyDescent="0.25">
      <c r="B23" s="4" t="s">
        <v>13</v>
      </c>
      <c r="D23" s="95">
        <v>262.12799999999999</v>
      </c>
      <c r="E23" s="4">
        <v>262.12799999999999</v>
      </c>
      <c r="F23" s="4">
        <v>243.84</v>
      </c>
      <c r="G23" s="4">
        <v>112.77600000000001</v>
      </c>
      <c r="H23" s="76">
        <v>0.43023255813953493</v>
      </c>
      <c r="J23" s="88">
        <f t="shared" si="0"/>
        <v>9.0694713496485887E-3</v>
      </c>
      <c r="K23" s="88">
        <f t="shared" si="1"/>
        <v>8.047931729235281E-3</v>
      </c>
    </row>
    <row r="24" spans="1:17" x14ac:dyDescent="0.25">
      <c r="B24" s="4" t="s">
        <v>14</v>
      </c>
      <c r="D24" s="95">
        <v>548.64</v>
      </c>
      <c r="E24" s="4">
        <v>548.64</v>
      </c>
      <c r="F24" s="4">
        <v>353.56799999999998</v>
      </c>
      <c r="G24" s="4">
        <v>131.06399999999999</v>
      </c>
      <c r="H24" s="76">
        <v>0.23888888888888887</v>
      </c>
      <c r="J24" s="88">
        <f t="shared" si="0"/>
        <v>4.1180814585594595E-3</v>
      </c>
      <c r="K24" s="88">
        <f t="shared" si="1"/>
        <v>2.7488664071826961E-2</v>
      </c>
    </row>
    <row r="25" spans="1:17" x14ac:dyDescent="0.25">
      <c r="B25" s="4" t="s">
        <v>14</v>
      </c>
      <c r="D25" s="95">
        <v>310.89599999999996</v>
      </c>
      <c r="E25" s="4">
        <v>310.89599999999996</v>
      </c>
      <c r="F25" s="4">
        <v>289.56</v>
      </c>
      <c r="G25" s="4">
        <v>131.06399999999999</v>
      </c>
      <c r="H25" s="76">
        <v>0.42156862745098045</v>
      </c>
      <c r="J25" s="88">
        <f t="shared" si="0"/>
        <v>9.1710635285491664E-3</v>
      </c>
      <c r="K25" s="88">
        <f t="shared" si="1"/>
        <v>6.5408103418490293E-3</v>
      </c>
    </row>
    <row r="26" spans="1:17" s="17" customFormat="1" ht="15.75" thickBot="1" x14ac:dyDescent="0.3">
      <c r="A26" s="69"/>
      <c r="D26" s="19"/>
      <c r="K26" s="85"/>
    </row>
    <row r="27" spans="1:17" x14ac:dyDescent="0.25">
      <c r="K27" s="51"/>
      <c r="L27" s="5"/>
      <c r="M27" s="5"/>
      <c r="N27" s="5"/>
      <c r="O27" s="5"/>
      <c r="P27" s="5"/>
      <c r="Q27" s="5"/>
    </row>
    <row r="28" spans="1:17" x14ac:dyDescent="0.25">
      <c r="A28" s="68" t="s">
        <v>18</v>
      </c>
      <c r="K28" s="51"/>
      <c r="L28" s="5"/>
      <c r="M28" s="5"/>
      <c r="N28" s="5"/>
      <c r="O28" s="5"/>
      <c r="P28" s="5"/>
      <c r="Q28" s="5"/>
    </row>
    <row r="29" spans="1:17" x14ac:dyDescent="0.25">
      <c r="A29" s="36" t="s">
        <v>22</v>
      </c>
      <c r="B29" s="5" t="s">
        <v>19</v>
      </c>
      <c r="C29" s="5"/>
      <c r="D29" s="96">
        <v>133</v>
      </c>
      <c r="E29" s="4">
        <v>63</v>
      </c>
      <c r="F29" s="4">
        <v>54.5</v>
      </c>
      <c r="G29" s="4">
        <v>52.445209504777459</v>
      </c>
      <c r="H29" s="76">
        <f>G29/E29</f>
        <v>0.83246364293297559</v>
      </c>
      <c r="J29" s="88">
        <f>(LOG10(F29)-LOG10(J$84*E29))^2</f>
        <v>4.0574593049726099E-3</v>
      </c>
      <c r="K29" s="88">
        <f>(LOG10(G29)-LOG10(K$84*E29+K$85))^2</f>
        <v>0.14165608398978979</v>
      </c>
    </row>
    <row r="30" spans="1:17" x14ac:dyDescent="0.25">
      <c r="A30" s="36" t="s">
        <v>26</v>
      </c>
      <c r="B30" s="5" t="s">
        <v>20</v>
      </c>
      <c r="C30" s="5"/>
      <c r="D30" s="96">
        <v>133</v>
      </c>
      <c r="E30" s="4">
        <v>185</v>
      </c>
      <c r="F30" s="4">
        <v>161.75</v>
      </c>
      <c r="G30" s="4">
        <v>257.65468654771252</v>
      </c>
      <c r="H30" s="76">
        <f>G30/E30</f>
        <v>1.3927280353930407</v>
      </c>
      <c r="J30" s="88">
        <f>(LOG10(F30)-LOG10(J$84*E30))^2</f>
        <v>4.6669115295842074E-3</v>
      </c>
      <c r="K30" s="88">
        <f>(LOG10(G30)-LOG10(K$84*E30+K$85))^2</f>
        <v>0.35984798876896407</v>
      </c>
    </row>
    <row r="31" spans="1:17" x14ac:dyDescent="0.25">
      <c r="A31" s="4"/>
      <c r="B31" s="5" t="s">
        <v>21</v>
      </c>
      <c r="C31" s="5"/>
      <c r="D31" s="96">
        <v>133</v>
      </c>
      <c r="E31" s="4">
        <v>1236</v>
      </c>
      <c r="F31" s="4">
        <v>411.25</v>
      </c>
      <c r="G31" s="4">
        <v>484.90946319905947</v>
      </c>
      <c r="H31" s="76">
        <f>G31/E31</f>
        <v>0.39232157216752384</v>
      </c>
      <c r="J31" s="88">
        <f>(LOG10(F31)-LOG10(J$84*E31))^2</f>
        <v>0.12339084012722497</v>
      </c>
      <c r="K31" s="88">
        <f>(LOG10(G31)-LOG10(K$84*E31+K$85))^2</f>
        <v>2.4650412247742754E-3</v>
      </c>
    </row>
    <row r="32" spans="1:17" x14ac:dyDescent="0.25">
      <c r="A32" s="36"/>
      <c r="K32" s="51"/>
    </row>
    <row r="33" spans="1:11" x14ac:dyDescent="0.25">
      <c r="A33" s="36"/>
      <c r="K33" s="51"/>
    </row>
    <row r="34" spans="1:11" s="17" customFormat="1" ht="15.75" thickBot="1" x14ac:dyDescent="0.3">
      <c r="A34" s="69"/>
      <c r="D34" s="19"/>
      <c r="K34" s="85"/>
    </row>
    <row r="35" spans="1:11" s="76" customFormat="1" ht="15" customHeight="1" x14ac:dyDescent="0.25">
      <c r="A35" s="101"/>
      <c r="D35" s="97"/>
      <c r="E35" s="78"/>
      <c r="F35" s="11"/>
      <c r="G35" s="11"/>
    </row>
    <row r="36" spans="1:11" s="76" customFormat="1" ht="15" customHeight="1" x14ac:dyDescent="0.25">
      <c r="A36" s="68" t="s">
        <v>4</v>
      </c>
      <c r="D36" s="97"/>
      <c r="E36" s="78"/>
      <c r="F36" s="11"/>
      <c r="G36" s="11"/>
    </row>
    <row r="37" spans="1:11" x14ac:dyDescent="0.25">
      <c r="A37" s="37"/>
      <c r="B37" s="4" t="s">
        <v>5</v>
      </c>
      <c r="D37" s="96">
        <v>400</v>
      </c>
      <c r="E37" s="4">
        <v>299</v>
      </c>
      <c r="F37" s="4">
        <v>159</v>
      </c>
      <c r="G37" s="4">
        <v>83</v>
      </c>
      <c r="H37" s="76">
        <f>G37/E37</f>
        <v>0.27759197324414714</v>
      </c>
      <c r="J37" s="88">
        <f>(LOG10(F37)-LOG10(J$84*E37))^2</f>
        <v>2.1795156534030663E-2</v>
      </c>
      <c r="K37" s="88">
        <f>(LOG10(G37)-LOG10(K$84*E37+K$85))^2</f>
        <v>1.0117564179076806E-2</v>
      </c>
    </row>
    <row r="38" spans="1:11" x14ac:dyDescent="0.25">
      <c r="B38" s="4" t="s">
        <v>6</v>
      </c>
      <c r="D38" s="96">
        <v>400</v>
      </c>
      <c r="E38" s="4">
        <v>234</v>
      </c>
      <c r="F38" s="4">
        <v>123</v>
      </c>
      <c r="G38" s="4">
        <v>66</v>
      </c>
      <c r="H38" s="76">
        <f>G38/E38</f>
        <v>0.28205128205128205</v>
      </c>
      <c r="J38" s="88">
        <f>(LOG10(F38)-LOG10(J$84*E38))^2</f>
        <v>2.3307673827313531E-2</v>
      </c>
      <c r="K38" s="88">
        <f>(LOG10(G38)-LOG10(K$84*E38+K$85))^2</f>
        <v>8.7731189676333778E-3</v>
      </c>
    </row>
    <row r="39" spans="1:11" x14ac:dyDescent="0.25">
      <c r="B39" s="4" t="s">
        <v>7</v>
      </c>
      <c r="D39" s="96">
        <v>400</v>
      </c>
      <c r="E39" s="4">
        <v>128</v>
      </c>
      <c r="F39" s="4">
        <v>86</v>
      </c>
      <c r="G39" s="4">
        <v>50</v>
      </c>
      <c r="H39" s="76">
        <f>G39/E39</f>
        <v>0.390625</v>
      </c>
      <c r="J39" s="88">
        <f>(LOG10(F39)-LOG10(J$84*E39))^2</f>
        <v>2.1223787482425134E-3</v>
      </c>
      <c r="K39" s="88">
        <f>(LOG10(G39)-LOG10(K$84*E39+K$85))^2</f>
        <v>2.2816888996174136E-3</v>
      </c>
    </row>
    <row r="40" spans="1:11" x14ac:dyDescent="0.25">
      <c r="B40" s="4" t="s">
        <v>8</v>
      </c>
      <c r="D40" s="96">
        <v>400</v>
      </c>
      <c r="E40" s="4">
        <v>87</v>
      </c>
      <c r="F40" s="4">
        <v>81</v>
      </c>
      <c r="G40" s="4">
        <v>53</v>
      </c>
      <c r="H40" s="76">
        <f>G40/E40</f>
        <v>0.60919540229885061</v>
      </c>
      <c r="J40" s="88">
        <f>(LOG10(F40)-LOG10(J$84*E40))^2</f>
        <v>9.1408901646490865E-3</v>
      </c>
      <c r="K40" s="88">
        <f>(LOG10(G40)-LOG10(K$84*E40+K$85))^2</f>
        <v>5.796711571753653E-2</v>
      </c>
    </row>
    <row r="41" spans="1:11" x14ac:dyDescent="0.25">
      <c r="B41" s="4" t="s">
        <v>9</v>
      </c>
      <c r="D41" s="96">
        <v>400</v>
      </c>
      <c r="E41" s="4">
        <v>63</v>
      </c>
      <c r="F41" s="4">
        <v>66</v>
      </c>
      <c r="G41" s="4">
        <v>50</v>
      </c>
      <c r="H41" s="76">
        <f>G41/E41</f>
        <v>0.79365079365079361</v>
      </c>
      <c r="J41" s="88">
        <f>(LOG10(F41)-LOG10(J$84*E41))^2</f>
        <v>2.1563636831698332E-2</v>
      </c>
      <c r="K41" s="88">
        <f>(LOG10(G41)-LOG10(K$84*E41+K$85))^2</f>
        <v>0.12647728280525597</v>
      </c>
    </row>
    <row r="42" spans="1:11" s="17" customFormat="1" ht="15.75" thickBot="1" x14ac:dyDescent="0.3">
      <c r="A42" s="69"/>
      <c r="D42" s="19"/>
      <c r="K42" s="85"/>
    </row>
    <row r="43" spans="1:11" x14ac:dyDescent="0.25">
      <c r="K43" s="51"/>
    </row>
    <row r="44" spans="1:11" ht="14.45" customHeight="1" x14ac:dyDescent="0.25">
      <c r="A44" s="103" t="s">
        <v>25</v>
      </c>
      <c r="B44" s="6"/>
      <c r="C44" s="6"/>
      <c r="D44" s="98"/>
      <c r="E44" s="51"/>
      <c r="F44" s="51"/>
      <c r="G44" s="51"/>
      <c r="K44" s="51"/>
    </row>
    <row r="45" spans="1:11" x14ac:dyDescent="0.25">
      <c r="A45" s="104" t="s">
        <v>119</v>
      </c>
      <c r="B45" s="15" t="s">
        <v>58</v>
      </c>
      <c r="C45" s="15"/>
      <c r="D45" s="83">
        <v>100</v>
      </c>
      <c r="E45" s="51">
        <v>100</v>
      </c>
      <c r="F45" s="10">
        <v>63.42777777777777</v>
      </c>
      <c r="G45" s="10">
        <v>33.616004712629163</v>
      </c>
      <c r="H45" s="76">
        <f>G45/E45</f>
        <v>0.33616004712629161</v>
      </c>
      <c r="J45" s="88">
        <f>(LOG10(F45)-LOG10(J$84*E45))^2</f>
        <v>5.0521201378918093E-3</v>
      </c>
      <c r="K45" s="88">
        <f>(LOG10(G45)-LOG10(K$84*E45+K$85))^2</f>
        <v>3.0439471795548368E-4</v>
      </c>
    </row>
    <row r="46" spans="1:11" x14ac:dyDescent="0.25">
      <c r="A46" s="104" t="s">
        <v>119</v>
      </c>
      <c r="B46" s="26" t="s">
        <v>59</v>
      </c>
      <c r="C46" s="26"/>
      <c r="D46" s="83">
        <v>100</v>
      </c>
      <c r="E46" s="82">
        <f>100/0.7</f>
        <v>142.85714285714286</v>
      </c>
      <c r="F46" s="59">
        <v>115.48055555555554</v>
      </c>
      <c r="G46" s="59">
        <v>70.830460488582816</v>
      </c>
      <c r="H46" s="76">
        <f>G46/E46</f>
        <v>0.49581322342007972</v>
      </c>
      <c r="J46" s="88">
        <f>(LOG10(F46)-LOG10(J$84*E46))^2</f>
        <v>1.1730036521452514E-3</v>
      </c>
      <c r="K46" s="88">
        <f>(LOG10(G46)-LOG10(K$84*E46+K$85))^2</f>
        <v>2.2899285263471146E-2</v>
      </c>
    </row>
    <row r="47" spans="1:11" x14ac:dyDescent="0.25">
      <c r="A47" s="36" t="s">
        <v>26</v>
      </c>
      <c r="D47" s="4"/>
      <c r="K47" s="51"/>
    </row>
    <row r="48" spans="1:11" x14ac:dyDescent="0.25">
      <c r="A48" s="4"/>
      <c r="D48" s="4"/>
      <c r="K48" s="51"/>
    </row>
    <row r="49" spans="1:11" x14ac:dyDescent="0.25">
      <c r="A49" s="36" t="s">
        <v>63</v>
      </c>
      <c r="B49" s="15" t="s">
        <v>64</v>
      </c>
      <c r="C49" s="15"/>
      <c r="D49" s="83">
        <v>100</v>
      </c>
      <c r="E49" s="82">
        <f>100/1.19</f>
        <v>84.033613445378151</v>
      </c>
      <c r="F49" s="84">
        <v>49.3</v>
      </c>
      <c r="G49" s="84">
        <v>20.170000000000002</v>
      </c>
      <c r="H49" s="76">
        <f>G49/E49</f>
        <v>0.24002300000000001</v>
      </c>
      <c r="J49" s="88">
        <f>(LOG10(F49)-LOG10(J$84*E49))^2</f>
        <v>1.1017416728566445E-2</v>
      </c>
      <c r="K49" s="88">
        <f>(LOG10(G49)-LOG10(K$84*E49+K$85))^2</f>
        <v>2.6810835987249312E-2</v>
      </c>
    </row>
    <row r="50" spans="1:11" ht="15" customHeight="1" x14ac:dyDescent="0.25">
      <c r="A50" s="37"/>
      <c r="B50" s="26" t="s">
        <v>65</v>
      </c>
      <c r="C50" s="26"/>
      <c r="D50" s="83">
        <v>100</v>
      </c>
      <c r="E50" s="82">
        <f>100/0.77</f>
        <v>129.87012987012986</v>
      </c>
      <c r="F50" s="38">
        <v>123</v>
      </c>
      <c r="G50" s="84">
        <v>63.06</v>
      </c>
      <c r="H50" s="76">
        <f>G50/E50</f>
        <v>0.48556200000000005</v>
      </c>
      <c r="J50" s="88">
        <f>(LOG10(F50)-LOG10(J$84*E50))^2</f>
        <v>1.0616844481388983E-2</v>
      </c>
      <c r="K50" s="88">
        <f>(LOG10(G50)-LOG10(K$84*E50+K$85))^2</f>
        <v>2.0235541664220015E-2</v>
      </c>
    </row>
    <row r="51" spans="1:11" s="17" customFormat="1" ht="15.75" thickBot="1" x14ac:dyDescent="0.3">
      <c r="A51" s="69"/>
      <c r="B51" s="18"/>
      <c r="C51" s="18"/>
      <c r="D51" s="29"/>
      <c r="E51" s="85"/>
      <c r="F51" s="85"/>
      <c r="G51" s="85"/>
      <c r="K51" s="85"/>
    </row>
    <row r="52" spans="1:11" x14ac:dyDescent="0.25">
      <c r="A52" s="68"/>
      <c r="B52" s="14"/>
      <c r="C52" s="14"/>
      <c r="K52" s="51"/>
    </row>
    <row r="53" spans="1:11" x14ac:dyDescent="0.25">
      <c r="A53" s="68" t="s">
        <v>71</v>
      </c>
      <c r="B53" s="14"/>
      <c r="C53" s="14"/>
      <c r="K53" s="51"/>
    </row>
    <row r="54" spans="1:11" x14ac:dyDescent="0.25">
      <c r="A54" s="36" t="s">
        <v>120</v>
      </c>
      <c r="B54" s="14" t="s">
        <v>93</v>
      </c>
      <c r="C54" s="14"/>
      <c r="D54" s="12">
        <v>106</v>
      </c>
      <c r="E54" s="12">
        <f>D54*10.5/6.1</f>
        <v>182.45901639344262</v>
      </c>
      <c r="F54" s="4">
        <v>160</v>
      </c>
      <c r="G54" s="4">
        <v>90</v>
      </c>
      <c r="H54" s="76">
        <f>G54/E54</f>
        <v>0.49326145552560646</v>
      </c>
      <c r="J54" s="88">
        <f>(LOG10(F54)-LOG10(J$84*E54))^2</f>
        <v>4.8437270545485618E-3</v>
      </c>
      <c r="K54" s="88">
        <f>(LOG10(G54)-LOG10(K$84*E54+K$85))^2</f>
        <v>2.2226090565686318E-2</v>
      </c>
    </row>
    <row r="55" spans="1:11" x14ac:dyDescent="0.25">
      <c r="A55" s="36"/>
      <c r="B55" s="14" t="s">
        <v>94</v>
      </c>
      <c r="C55" s="14"/>
      <c r="D55" s="12">
        <v>106</v>
      </c>
      <c r="E55" s="12">
        <f>D55*5.7/6.1</f>
        <v>99.049180327868868</v>
      </c>
      <c r="F55" s="4">
        <v>96</v>
      </c>
      <c r="G55" s="4">
        <v>53</v>
      </c>
      <c r="H55" s="76">
        <f>G55/E55</f>
        <v>0.5350877192982455</v>
      </c>
      <c r="J55" s="88">
        <f>(LOG10(F55)-LOG10(J$84*E55))^2</f>
        <v>1.2783147781200347E-2</v>
      </c>
      <c r="K55" s="88">
        <f>(LOG10(G55)-LOG10(K$84*E55+K$85))^2</f>
        <v>3.4015153886613997E-2</v>
      </c>
    </row>
    <row r="56" spans="1:11" x14ac:dyDescent="0.25">
      <c r="A56" s="4"/>
      <c r="B56" s="14" t="s">
        <v>95</v>
      </c>
      <c r="C56" s="14"/>
      <c r="D56" s="12">
        <v>106</v>
      </c>
      <c r="E56" s="12">
        <f>D56*2.5/6.1</f>
        <v>43.442622950819676</v>
      </c>
      <c r="F56" s="4">
        <v>57</v>
      </c>
      <c r="G56" s="4">
        <v>61</v>
      </c>
      <c r="H56" s="76">
        <f>G56/E56</f>
        <v>1.4041509433962263</v>
      </c>
      <c r="J56" s="88">
        <f>(LOG10(F56)-LOG10(J$84*E56))^2</f>
        <v>5.982967517990765E-2</v>
      </c>
      <c r="K56" s="88">
        <f>(LOG10(G56)-LOG10(K$84*E56+K$85))^2</f>
        <v>0.36411664826326517</v>
      </c>
    </row>
    <row r="57" spans="1:11" s="17" customFormat="1" ht="15.75" thickBot="1" x14ac:dyDescent="0.3">
      <c r="A57" s="69"/>
      <c r="B57" s="19"/>
      <c r="C57" s="19"/>
      <c r="D57" s="19"/>
      <c r="K57" s="85"/>
    </row>
    <row r="58" spans="1:11" s="66" customFormat="1" x14ac:dyDescent="0.25">
      <c r="A58" s="72"/>
      <c r="B58" s="64"/>
      <c r="C58" s="64"/>
      <c r="D58" s="70"/>
      <c r="K58" s="108"/>
    </row>
    <row r="59" spans="1:11" s="66" customFormat="1" x14ac:dyDescent="0.25">
      <c r="A59" s="68" t="s">
        <v>72</v>
      </c>
      <c r="B59" s="64"/>
      <c r="C59" s="64"/>
      <c r="D59" s="70"/>
      <c r="K59" s="108"/>
    </row>
    <row r="60" spans="1:11" x14ac:dyDescent="0.25">
      <c r="A60" s="12"/>
      <c r="B60" s="5" t="s">
        <v>112</v>
      </c>
      <c r="C60" s="5"/>
      <c r="D60" s="38">
        <v>274.32</v>
      </c>
      <c r="E60" s="38">
        <v>274.32</v>
      </c>
      <c r="F60" s="10">
        <f>30.48*8.58</f>
        <v>261.51839999999999</v>
      </c>
      <c r="G60" s="10">
        <f>30.48*1.01</f>
        <v>30.784800000000001</v>
      </c>
      <c r="H60" s="76">
        <f t="shared" ref="H60:H61" si="2">G60/E60</f>
        <v>0.11222222222222222</v>
      </c>
      <c r="J60" s="88">
        <f>(LOG10(F60)-LOG10(J$84*E60))^2</f>
        <v>1.1212059896391327E-2</v>
      </c>
      <c r="K60" s="88">
        <f>(LOG10(G60)-LOG10(K$84*E60+K$85))^2</f>
        <v>0.24395118067346339</v>
      </c>
    </row>
    <row r="61" spans="1:11" x14ac:dyDescent="0.25">
      <c r="A61" s="37"/>
      <c r="B61" s="5" t="s">
        <v>113</v>
      </c>
      <c r="C61" s="5"/>
      <c r="D61" s="38">
        <v>274.32</v>
      </c>
      <c r="E61" s="38">
        <v>274.32</v>
      </c>
      <c r="F61" s="10">
        <f>30.48*8.96</f>
        <v>273.10080000000005</v>
      </c>
      <c r="G61" s="10">
        <f>30.48*1.73</f>
        <v>52.730400000000003</v>
      </c>
      <c r="H61" s="76">
        <f t="shared" si="2"/>
        <v>0.19222222222222224</v>
      </c>
      <c r="J61" s="88">
        <f>(LOG10(F61)-LOG10(J$84*E61))^2</f>
        <v>1.5552019563157882E-2</v>
      </c>
      <c r="K61" s="88">
        <f>(LOG10(G61)-LOG10(K$84*E61+K$85))^2</f>
        <v>6.769853098703553E-2</v>
      </c>
    </row>
    <row r="62" spans="1:11" s="17" customFormat="1" ht="15.75" thickBot="1" x14ac:dyDescent="0.3">
      <c r="A62" s="71"/>
      <c r="B62" s="18"/>
      <c r="C62" s="18"/>
      <c r="D62" s="19"/>
      <c r="K62" s="85"/>
    </row>
    <row r="63" spans="1:11" s="12" customFormat="1" ht="14.45" customHeight="1" x14ac:dyDescent="0.25">
      <c r="A63" s="102"/>
      <c r="K63" s="109"/>
    </row>
    <row r="64" spans="1:11" s="66" customFormat="1" x14ac:dyDescent="0.25">
      <c r="A64" s="68" t="s">
        <v>70</v>
      </c>
      <c r="D64" s="70"/>
      <c r="G64" s="70"/>
      <c r="K64" s="108"/>
    </row>
    <row r="65" spans="1:11" s="66" customFormat="1" ht="14.45" customHeight="1" x14ac:dyDescent="0.25">
      <c r="A65" s="37"/>
      <c r="B65" s="64" t="s">
        <v>96</v>
      </c>
      <c r="C65" s="64"/>
      <c r="D65" s="70">
        <v>133</v>
      </c>
      <c r="E65" s="66">
        <v>2425</v>
      </c>
      <c r="F65" s="66">
        <v>853</v>
      </c>
      <c r="G65" s="70"/>
      <c r="J65" s="88">
        <f t="shared" ref="J65:J80" si="3">(LOG10(F65)-LOG10(J$84*E65))^2</f>
        <v>0.10700780543413423</v>
      </c>
      <c r="K65" s="108"/>
    </row>
    <row r="66" spans="1:11" s="66" customFormat="1" x14ac:dyDescent="0.25">
      <c r="A66" s="73"/>
      <c r="B66" s="64" t="s">
        <v>97</v>
      </c>
      <c r="C66" s="64"/>
      <c r="D66" s="70">
        <v>133</v>
      </c>
      <c r="E66" s="66">
        <v>1017</v>
      </c>
      <c r="F66" s="66">
        <v>436</v>
      </c>
      <c r="G66" s="70"/>
      <c r="J66" s="88">
        <f t="shared" si="3"/>
        <v>5.8173690507982025E-2</v>
      </c>
      <c r="K66" s="108"/>
    </row>
    <row r="67" spans="1:11" s="66" customFormat="1" x14ac:dyDescent="0.25">
      <c r="A67" s="73"/>
      <c r="B67" s="64" t="s">
        <v>98</v>
      </c>
      <c r="C67" s="64"/>
      <c r="D67" s="70">
        <v>133</v>
      </c>
      <c r="E67" s="66">
        <v>873</v>
      </c>
      <c r="F67" s="66">
        <v>495</v>
      </c>
      <c r="G67" s="70"/>
      <c r="J67" s="88">
        <f t="shared" si="3"/>
        <v>1.4344088397626319E-2</v>
      </c>
      <c r="K67" s="108"/>
    </row>
    <row r="68" spans="1:11" s="66" customFormat="1" x14ac:dyDescent="0.25">
      <c r="A68" s="73"/>
      <c r="B68" s="67" t="s">
        <v>99</v>
      </c>
      <c r="C68" s="67"/>
      <c r="D68" s="70">
        <v>133</v>
      </c>
      <c r="E68" s="67">
        <v>683</v>
      </c>
      <c r="F68" s="67">
        <v>413</v>
      </c>
      <c r="G68" s="70"/>
      <c r="J68" s="88">
        <f t="shared" si="3"/>
        <v>8.4324579238973761E-3</v>
      </c>
      <c r="K68" s="108"/>
    </row>
    <row r="69" spans="1:11" s="66" customFormat="1" ht="16.5" customHeight="1" x14ac:dyDescent="0.25">
      <c r="A69" s="73"/>
      <c r="B69" s="67" t="s">
        <v>100</v>
      </c>
      <c r="C69" s="67"/>
      <c r="D69" s="70">
        <v>133</v>
      </c>
      <c r="E69" s="67">
        <v>666</v>
      </c>
      <c r="F69" s="67">
        <v>379</v>
      </c>
      <c r="G69" s="70"/>
      <c r="H69" s="67"/>
      <c r="J69" s="88">
        <f t="shared" si="3"/>
        <v>1.3969533916414065E-2</v>
      </c>
      <c r="K69" s="108"/>
    </row>
    <row r="70" spans="1:11" s="66" customFormat="1" x14ac:dyDescent="0.25">
      <c r="A70" s="73"/>
      <c r="B70" s="67" t="s">
        <v>101</v>
      </c>
      <c r="C70" s="67"/>
      <c r="D70" s="70">
        <v>133</v>
      </c>
      <c r="E70" s="67">
        <v>428</v>
      </c>
      <c r="F70" s="67">
        <v>260</v>
      </c>
      <c r="G70" s="70"/>
      <c r="H70" s="67"/>
      <c r="J70" s="88">
        <f t="shared" si="3"/>
        <v>8.069102763649201E-3</v>
      </c>
      <c r="K70" s="108"/>
    </row>
    <row r="71" spans="1:11" s="66" customFormat="1" x14ac:dyDescent="0.25">
      <c r="A71" s="73"/>
      <c r="B71" s="67" t="s">
        <v>102</v>
      </c>
      <c r="C71" s="67"/>
      <c r="D71" s="70">
        <v>133</v>
      </c>
      <c r="E71" s="67">
        <v>357</v>
      </c>
      <c r="F71" s="67">
        <v>232</v>
      </c>
      <c r="G71" s="70"/>
      <c r="H71" s="67"/>
      <c r="J71" s="88">
        <f t="shared" si="3"/>
        <v>3.6648488220430509E-3</v>
      </c>
      <c r="K71" s="108"/>
    </row>
    <row r="72" spans="1:11" s="66" customFormat="1" x14ac:dyDescent="0.25">
      <c r="A72" s="73"/>
      <c r="B72" s="67" t="s">
        <v>103</v>
      </c>
      <c r="C72" s="67"/>
      <c r="D72" s="70">
        <v>133</v>
      </c>
      <c r="E72" s="67">
        <v>287</v>
      </c>
      <c r="F72" s="67">
        <v>158</v>
      </c>
      <c r="G72" s="70"/>
      <c r="H72" s="67"/>
      <c r="J72" s="88">
        <f t="shared" si="3"/>
        <v>1.7578138775031001E-2</v>
      </c>
      <c r="K72" s="108"/>
    </row>
    <row r="73" spans="1:11" s="66" customFormat="1" x14ac:dyDescent="0.25">
      <c r="A73" s="73"/>
      <c r="B73" s="67" t="s">
        <v>104</v>
      </c>
      <c r="C73" s="67"/>
      <c r="D73" s="70">
        <v>133</v>
      </c>
      <c r="E73" s="67">
        <v>185</v>
      </c>
      <c r="F73" s="67">
        <v>110</v>
      </c>
      <c r="G73" s="70"/>
      <c r="H73" s="67"/>
      <c r="J73" s="88">
        <f t="shared" si="3"/>
        <v>9.8281064796673853E-3</v>
      </c>
      <c r="K73" s="108"/>
    </row>
    <row r="74" spans="1:11" s="66" customFormat="1" x14ac:dyDescent="0.25">
      <c r="A74" s="73"/>
      <c r="B74" s="67" t="s">
        <v>105</v>
      </c>
      <c r="C74" s="67"/>
      <c r="D74" s="70">
        <v>133</v>
      </c>
      <c r="E74" s="67">
        <v>151</v>
      </c>
      <c r="F74" s="67">
        <v>106</v>
      </c>
      <c r="G74" s="70"/>
      <c r="H74" s="67"/>
      <c r="J74" s="88">
        <f t="shared" si="3"/>
        <v>7.3055849826304082E-4</v>
      </c>
      <c r="K74" s="108"/>
    </row>
    <row r="75" spans="1:11" s="66" customFormat="1" x14ac:dyDescent="0.25">
      <c r="A75" s="73"/>
      <c r="B75" s="67" t="s">
        <v>106</v>
      </c>
      <c r="C75" s="67"/>
      <c r="D75" s="70">
        <v>133</v>
      </c>
      <c r="E75" s="67">
        <v>117</v>
      </c>
      <c r="F75" s="67">
        <v>82</v>
      </c>
      <c r="G75" s="70"/>
      <c r="H75" s="67"/>
      <c r="J75" s="88">
        <f t="shared" si="3"/>
        <v>7.6894031086655794E-4</v>
      </c>
      <c r="K75" s="108"/>
    </row>
    <row r="76" spans="1:11" s="66" customFormat="1" x14ac:dyDescent="0.25">
      <c r="A76" s="73"/>
      <c r="B76" s="67" t="s">
        <v>107</v>
      </c>
      <c r="C76" s="67"/>
      <c r="D76" s="70">
        <v>133</v>
      </c>
      <c r="E76" s="67">
        <v>107</v>
      </c>
      <c r="F76" s="67">
        <v>82</v>
      </c>
      <c r="G76" s="70"/>
      <c r="H76" s="67"/>
      <c r="J76" s="88">
        <f t="shared" si="3"/>
        <v>1.2259607213663899E-4</v>
      </c>
      <c r="K76" s="108"/>
    </row>
    <row r="77" spans="1:11" s="66" customFormat="1" x14ac:dyDescent="0.25">
      <c r="A77" s="73"/>
      <c r="B77" s="67" t="s">
        <v>108</v>
      </c>
      <c r="C77" s="67"/>
      <c r="D77" s="70">
        <v>133</v>
      </c>
      <c r="E77" s="67">
        <v>88</v>
      </c>
      <c r="F77" s="67">
        <v>97</v>
      </c>
      <c r="G77" s="70"/>
      <c r="H77" s="67"/>
      <c r="J77" s="88">
        <f t="shared" si="3"/>
        <v>2.8537783604207369E-2</v>
      </c>
    </row>
    <row r="78" spans="1:11" s="66" customFormat="1" x14ac:dyDescent="0.25">
      <c r="A78" s="73"/>
      <c r="B78" s="67" t="s">
        <v>109</v>
      </c>
      <c r="C78" s="67"/>
      <c r="D78" s="70">
        <v>133</v>
      </c>
      <c r="E78" s="67">
        <v>77</v>
      </c>
      <c r="F78" s="67">
        <v>59</v>
      </c>
      <c r="G78" s="70"/>
      <c r="H78" s="67"/>
      <c r="J78" s="88">
        <f t="shared" si="3"/>
        <v>1.2107751462344605E-4</v>
      </c>
    </row>
    <row r="79" spans="1:11" s="66" customFormat="1" x14ac:dyDescent="0.25">
      <c r="A79" s="73"/>
      <c r="B79" s="67" t="s">
        <v>110</v>
      </c>
      <c r="C79" s="67"/>
      <c r="D79" s="70">
        <v>133</v>
      </c>
      <c r="E79" s="67">
        <v>63</v>
      </c>
      <c r="F79" s="67">
        <v>50</v>
      </c>
      <c r="G79" s="70"/>
      <c r="H79" s="67"/>
      <c r="J79" s="88">
        <f t="shared" si="3"/>
        <v>6.9020176064374188E-4</v>
      </c>
    </row>
    <row r="80" spans="1:11" s="66" customFormat="1" x14ac:dyDescent="0.25">
      <c r="A80" s="73"/>
      <c r="B80" s="67" t="s">
        <v>111</v>
      </c>
      <c r="C80" s="67"/>
      <c r="D80" s="70">
        <v>133</v>
      </c>
      <c r="E80" s="67">
        <v>54</v>
      </c>
      <c r="F80" s="67">
        <v>52</v>
      </c>
      <c r="G80" s="70"/>
      <c r="H80" s="67"/>
      <c r="J80" s="88">
        <f t="shared" si="3"/>
        <v>1.2155463850806394E-2</v>
      </c>
    </row>
    <row r="81" spans="1:13" s="17" customFormat="1" ht="15.75" thickBot="1" x14ac:dyDescent="0.3">
      <c r="A81" s="86"/>
      <c r="B81" s="29"/>
      <c r="C81" s="29"/>
      <c r="D81" s="19"/>
      <c r="G81" s="19"/>
    </row>
    <row r="83" spans="1:13" x14ac:dyDescent="0.25">
      <c r="I83" s="66"/>
      <c r="J83" s="111">
        <f>SUM(J2:J80)</f>
        <v>0.82259428442810067</v>
      </c>
      <c r="K83" s="112">
        <f>SUM(K4:K61)</f>
        <v>2.2156902911529559</v>
      </c>
      <c r="L83" s="119" t="s">
        <v>117</v>
      </c>
      <c r="M83" s="27"/>
    </row>
    <row r="84" spans="1:13" x14ac:dyDescent="0.25">
      <c r="I84" s="66"/>
      <c r="J84" s="14">
        <v>0.74706392223062834</v>
      </c>
      <c r="K84" s="110">
        <v>0.34993953255584559</v>
      </c>
      <c r="L84" s="119" t="s">
        <v>115</v>
      </c>
      <c r="M84" s="27"/>
    </row>
    <row r="85" spans="1:13" x14ac:dyDescent="0.25">
      <c r="E85" s="66"/>
      <c r="F85" s="66"/>
      <c r="I85" s="66"/>
      <c r="J85" s="89">
        <v>0</v>
      </c>
      <c r="K85" s="89">
        <v>0</v>
      </c>
      <c r="L85" s="120" t="s">
        <v>116</v>
      </c>
      <c r="M85" s="27"/>
    </row>
    <row r="86" spans="1:13" x14ac:dyDescent="0.25">
      <c r="E86" s="66"/>
      <c r="F86" s="66"/>
      <c r="I86" s="66"/>
      <c r="J86" s="66"/>
      <c r="K86" s="66"/>
      <c r="L86" s="116"/>
      <c r="M86" s="27"/>
    </row>
    <row r="87" spans="1:13" x14ac:dyDescent="0.25">
      <c r="J87" s="64">
        <f>J$84*L87</f>
        <v>7.4706392223062839</v>
      </c>
      <c r="K87" s="64">
        <f>K$84*L87</f>
        <v>3.499395325558456</v>
      </c>
      <c r="L87" s="119">
        <v>10</v>
      </c>
      <c r="M87" s="130" t="s">
        <v>118</v>
      </c>
    </row>
    <row r="88" spans="1:13" x14ac:dyDescent="0.25">
      <c r="A88" s="12"/>
      <c r="J88" s="64">
        <f>J$84*L88</f>
        <v>1494.1278444612567</v>
      </c>
      <c r="K88" s="64">
        <f>K$84*L88</f>
        <v>699.87906511169115</v>
      </c>
      <c r="L88" s="119">
        <v>2000</v>
      </c>
      <c r="M88" s="130"/>
    </row>
    <row r="89" spans="1:13" x14ac:dyDescent="0.25">
      <c r="A89" s="12"/>
    </row>
    <row r="90" spans="1:13" x14ac:dyDescent="0.25">
      <c r="A90" s="12"/>
    </row>
    <row r="91" spans="1:13" x14ac:dyDescent="0.25">
      <c r="A91" s="12"/>
    </row>
    <row r="92" spans="1:13" x14ac:dyDescent="0.25">
      <c r="A92" s="12"/>
    </row>
    <row r="93" spans="1:13" x14ac:dyDescent="0.25">
      <c r="A93" s="12"/>
    </row>
    <row r="94" spans="1:13" x14ac:dyDescent="0.25">
      <c r="A94" s="12"/>
    </row>
    <row r="95" spans="1:13" x14ac:dyDescent="0.25">
      <c r="A95" s="12"/>
    </row>
    <row r="96" spans="1:13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</sheetData>
  <mergeCells count="1">
    <mergeCell ref="M87:M8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28.7109375" style="7" customWidth="1"/>
    <col min="2" max="2" width="25.28515625" style="7" customWidth="1"/>
    <col min="3" max="3" width="26.85546875" style="7" customWidth="1"/>
    <col min="4" max="4" width="3.7109375" style="7" customWidth="1"/>
    <col min="5" max="6" width="12.7109375" style="7" customWidth="1"/>
    <col min="7" max="7" width="14.7109375" style="7" customWidth="1"/>
    <col min="8" max="8" width="14.7109375" style="55" customWidth="1"/>
    <col min="9" max="11" width="11.7109375" style="7" customWidth="1"/>
    <col min="12" max="12" width="3.7109375" style="7" customWidth="1"/>
    <col min="13" max="13" width="14.85546875" style="7" customWidth="1"/>
    <col min="14" max="14" width="15.28515625" style="7" customWidth="1"/>
    <col min="15" max="15" width="14.42578125" style="7" customWidth="1"/>
    <col min="16" max="16" width="3.7109375" style="7" customWidth="1"/>
    <col min="17" max="18" width="10.7109375" style="7" customWidth="1"/>
    <col min="19" max="19" width="3.7109375" style="7" customWidth="1"/>
    <col min="20" max="21" width="14.7109375" style="7" customWidth="1"/>
    <col min="22" max="23" width="9.140625" style="7" customWidth="1"/>
    <col min="24" max="16384" width="9.140625" style="7"/>
  </cols>
  <sheetData>
    <row r="1" spans="1:22" s="22" customFormat="1" ht="33" customHeight="1" thickBot="1" x14ac:dyDescent="0.3">
      <c r="A1" s="22" t="s">
        <v>0</v>
      </c>
      <c r="B1" s="22" t="s">
        <v>2</v>
      </c>
      <c r="C1" s="22" t="s">
        <v>3</v>
      </c>
      <c r="E1" s="90" t="s">
        <v>121</v>
      </c>
      <c r="F1" s="90" t="s">
        <v>122</v>
      </c>
      <c r="G1" s="23" t="s">
        <v>48</v>
      </c>
      <c r="H1" s="23" t="s">
        <v>49</v>
      </c>
      <c r="I1" s="23" t="s">
        <v>50</v>
      </c>
      <c r="J1" s="24" t="s">
        <v>23</v>
      </c>
      <c r="K1" s="24" t="s">
        <v>24</v>
      </c>
      <c r="M1" s="52" t="s">
        <v>73</v>
      </c>
      <c r="N1" s="24" t="s">
        <v>74</v>
      </c>
      <c r="O1" s="24" t="s">
        <v>75</v>
      </c>
      <c r="P1" s="24"/>
      <c r="Q1" s="23" t="s">
        <v>127</v>
      </c>
      <c r="R1" s="23" t="s">
        <v>128</v>
      </c>
      <c r="S1" s="31"/>
      <c r="T1" s="23" t="s">
        <v>131</v>
      </c>
      <c r="U1" s="23" t="s">
        <v>132</v>
      </c>
      <c r="V1" s="23"/>
    </row>
    <row r="2" spans="1:22" s="39" customFormat="1" ht="14.45" customHeight="1" x14ac:dyDescent="0.25">
      <c r="E2" s="40"/>
      <c r="F2" s="40"/>
      <c r="G2" s="40"/>
      <c r="H2" s="56"/>
      <c r="I2" s="40"/>
      <c r="J2" s="41"/>
      <c r="K2" s="41"/>
      <c r="M2" s="42"/>
      <c r="N2" s="43"/>
      <c r="O2" s="43"/>
      <c r="P2" s="43"/>
    </row>
    <row r="3" spans="1:22" s="39" customFormat="1" ht="14.45" customHeight="1" x14ac:dyDescent="0.25">
      <c r="A3" s="46" t="s">
        <v>4</v>
      </c>
      <c r="E3" s="40"/>
      <c r="F3" s="40"/>
      <c r="G3" s="40"/>
      <c r="H3" s="56"/>
      <c r="I3" s="40"/>
      <c r="J3" s="41"/>
      <c r="K3" s="41"/>
      <c r="M3" s="42"/>
      <c r="N3" s="43"/>
      <c r="O3" s="43"/>
      <c r="P3" s="43"/>
    </row>
    <row r="4" spans="1:22" x14ac:dyDescent="0.25">
      <c r="B4" s="7" t="s">
        <v>7</v>
      </c>
      <c r="C4" s="7" t="s">
        <v>9</v>
      </c>
      <c r="E4" s="74">
        <v>133</v>
      </c>
      <c r="F4" s="74">
        <v>133</v>
      </c>
      <c r="G4" s="7">
        <v>128</v>
      </c>
      <c r="H4" s="55">
        <v>63</v>
      </c>
      <c r="I4" s="7">
        <f>ABS(G4-H4)</f>
        <v>65</v>
      </c>
      <c r="J4" s="7">
        <v>26</v>
      </c>
      <c r="K4" s="7">
        <v>20</v>
      </c>
      <c r="M4" s="13">
        <f>J4/(IF(H4&lt;G4,H4,G4))</f>
        <v>0.41269841269841268</v>
      </c>
      <c r="N4" s="13">
        <f>K4/(IF(H4&lt;G4,H4,G4))</f>
        <v>0.31746031746031744</v>
      </c>
      <c r="O4" s="13">
        <f>I4/(IF(H4&lt;G4,H4,G4))</f>
        <v>1.0317460317460319</v>
      </c>
      <c r="P4" s="13"/>
      <c r="Q4" s="7">
        <f>_xlfn.NORM.DIST(0,M4,N4,TRUE)</f>
        <v>9.6800484585610316E-2</v>
      </c>
      <c r="R4" s="7">
        <f>1-Q4</f>
        <v>0.9031995154143897</v>
      </c>
      <c r="T4" s="4">
        <f>(M4-(T$27*O4+T$28))^2</f>
        <v>2.7221720694465027E-4</v>
      </c>
      <c r="U4" s="7">
        <f t="shared" ref="U4:U13" si="0">(N4-(U$27*O4+U$28))^2</f>
        <v>1.3147047005681982E-3</v>
      </c>
    </row>
    <row r="5" spans="1:22" x14ac:dyDescent="0.25">
      <c r="B5" s="7" t="s">
        <v>8</v>
      </c>
      <c r="C5" s="7" t="s">
        <v>9</v>
      </c>
      <c r="E5" s="74">
        <v>133</v>
      </c>
      <c r="F5" s="74">
        <v>133</v>
      </c>
      <c r="G5" s="7">
        <v>87</v>
      </c>
      <c r="H5" s="55">
        <v>63</v>
      </c>
      <c r="I5" s="7">
        <f t="shared" ref="I5:I13" si="1">ABS(G5-H5)</f>
        <v>24</v>
      </c>
      <c r="J5" s="7">
        <v>22</v>
      </c>
      <c r="K5" s="7">
        <v>14</v>
      </c>
      <c r="M5" s="13">
        <f t="shared" ref="M5:M13" si="2">J5/(IF(H5&lt;G5,H5,G5))</f>
        <v>0.34920634920634919</v>
      </c>
      <c r="N5" s="13">
        <f t="shared" ref="N5:N13" si="3">K5/(IF(H5&lt;G5,H5,G5))</f>
        <v>0.22222222222222221</v>
      </c>
      <c r="O5" s="13">
        <f t="shared" ref="O5:O13" si="4">I5/(IF(H5&lt;G5,H5,G5))</f>
        <v>0.38095238095238093</v>
      </c>
      <c r="P5" s="13"/>
      <c r="Q5" s="7">
        <f t="shared" ref="Q5:Q13" si="5">_xlfn.NORM.DIST(0,M5,N5,TRUE)</f>
        <v>5.8041566869327516E-2</v>
      </c>
      <c r="R5" s="7">
        <f t="shared" ref="R5:R13" si="6">1-Q5</f>
        <v>0.94195843313067251</v>
      </c>
      <c r="T5" s="4">
        <f t="shared" ref="T5:T13" si="7">(M5-(T$27*O5+T$28))^2</f>
        <v>4.117544589516204E-2</v>
      </c>
      <c r="U5" s="7">
        <f t="shared" si="0"/>
        <v>2.8339114172494447E-4</v>
      </c>
    </row>
    <row r="6" spans="1:22" x14ac:dyDescent="0.25">
      <c r="B6" s="7" t="s">
        <v>8</v>
      </c>
      <c r="C6" s="7" t="s">
        <v>7</v>
      </c>
      <c r="E6" s="74">
        <v>133</v>
      </c>
      <c r="F6" s="74">
        <v>133</v>
      </c>
      <c r="G6" s="7">
        <v>87</v>
      </c>
      <c r="H6" s="55">
        <v>128</v>
      </c>
      <c r="I6" s="7">
        <f t="shared" si="1"/>
        <v>41</v>
      </c>
      <c r="J6" s="7">
        <v>-6</v>
      </c>
      <c r="K6" s="7">
        <v>14</v>
      </c>
      <c r="M6" s="13">
        <f t="shared" si="2"/>
        <v>-6.8965517241379309E-2</v>
      </c>
      <c r="N6" s="13">
        <f t="shared" si="3"/>
        <v>0.16091954022988506</v>
      </c>
      <c r="O6" s="13">
        <f t="shared" si="4"/>
        <v>0.47126436781609193</v>
      </c>
      <c r="P6" s="13"/>
      <c r="Q6" s="7">
        <f t="shared" si="5"/>
        <v>0.66588242910237538</v>
      </c>
      <c r="R6" s="7">
        <f t="shared" si="6"/>
        <v>0.33411757089762462</v>
      </c>
      <c r="T6" s="4">
        <f t="shared" si="7"/>
        <v>6.2467560963499862E-2</v>
      </c>
      <c r="U6" s="7">
        <f t="shared" si="0"/>
        <v>8.8451941041597683E-3</v>
      </c>
    </row>
    <row r="7" spans="1:22" x14ac:dyDescent="0.25">
      <c r="B7" s="7" t="s">
        <v>6</v>
      </c>
      <c r="C7" s="7" t="s">
        <v>9</v>
      </c>
      <c r="E7" s="74">
        <v>133</v>
      </c>
      <c r="F7" s="74">
        <v>133</v>
      </c>
      <c r="G7" s="7">
        <v>234</v>
      </c>
      <c r="H7" s="55">
        <v>63</v>
      </c>
      <c r="I7" s="7">
        <f t="shared" si="1"/>
        <v>171</v>
      </c>
      <c r="J7" s="7">
        <v>65</v>
      </c>
      <c r="K7" s="7">
        <v>42</v>
      </c>
      <c r="M7" s="13">
        <f t="shared" si="2"/>
        <v>1.0317460317460319</v>
      </c>
      <c r="N7" s="13">
        <f t="shared" si="3"/>
        <v>0.66666666666666663</v>
      </c>
      <c r="O7" s="13">
        <f t="shared" si="4"/>
        <v>2.7142857142857144</v>
      </c>
      <c r="P7" s="13"/>
      <c r="Q7" s="7">
        <f t="shared" si="5"/>
        <v>6.0857021346915383E-2</v>
      </c>
      <c r="R7" s="7">
        <f t="shared" si="6"/>
        <v>0.9391429786530846</v>
      </c>
      <c r="T7" s="4">
        <f t="shared" si="7"/>
        <v>1.1158068743588252E-4</v>
      </c>
      <c r="U7" s="7">
        <f t="shared" si="0"/>
        <v>2.7232900203336515E-4</v>
      </c>
    </row>
    <row r="8" spans="1:22" x14ac:dyDescent="0.25">
      <c r="B8" s="7" t="s">
        <v>6</v>
      </c>
      <c r="C8" s="7" t="s">
        <v>7</v>
      </c>
      <c r="E8" s="74">
        <v>133</v>
      </c>
      <c r="F8" s="74">
        <v>133</v>
      </c>
      <c r="G8" s="7">
        <v>234</v>
      </c>
      <c r="H8" s="55">
        <v>128</v>
      </c>
      <c r="I8" s="7">
        <f t="shared" si="1"/>
        <v>106</v>
      </c>
      <c r="J8" s="7">
        <v>37</v>
      </c>
      <c r="K8" s="7">
        <v>21</v>
      </c>
      <c r="M8" s="13">
        <f t="shared" si="2"/>
        <v>0.2890625</v>
      </c>
      <c r="N8" s="13">
        <f t="shared" si="3"/>
        <v>0.1640625</v>
      </c>
      <c r="O8" s="13">
        <f t="shared" si="4"/>
        <v>0.828125</v>
      </c>
      <c r="P8" s="13"/>
      <c r="Q8" s="7">
        <f t="shared" si="5"/>
        <v>3.9042694968427716E-2</v>
      </c>
      <c r="R8" s="7">
        <f t="shared" si="6"/>
        <v>0.96095730503157228</v>
      </c>
      <c r="T8" s="4">
        <f t="shared" si="7"/>
        <v>8.3779379562325508E-4</v>
      </c>
      <c r="U8" s="7">
        <f t="shared" si="0"/>
        <v>2.3648557365306459E-2</v>
      </c>
    </row>
    <row r="9" spans="1:22" x14ac:dyDescent="0.25">
      <c r="B9" s="7" t="s">
        <v>6</v>
      </c>
      <c r="C9" s="7" t="s">
        <v>8</v>
      </c>
      <c r="E9" s="74">
        <v>133</v>
      </c>
      <c r="F9" s="74">
        <v>133</v>
      </c>
      <c r="G9" s="7">
        <v>234</v>
      </c>
      <c r="H9" s="55">
        <v>87</v>
      </c>
      <c r="I9" s="7">
        <f t="shared" si="1"/>
        <v>147</v>
      </c>
      <c r="J9" s="7">
        <v>46</v>
      </c>
      <c r="K9" s="7">
        <v>39</v>
      </c>
      <c r="M9" s="13">
        <f t="shared" si="2"/>
        <v>0.52873563218390807</v>
      </c>
      <c r="N9" s="13">
        <f t="shared" si="3"/>
        <v>0.44827586206896552</v>
      </c>
      <c r="O9" s="13">
        <f t="shared" si="4"/>
        <v>1.6896551724137931</v>
      </c>
      <c r="P9" s="13"/>
      <c r="Q9" s="7">
        <f t="shared" si="5"/>
        <v>0.11910211939963489</v>
      </c>
      <c r="R9" s="7">
        <f t="shared" si="6"/>
        <v>0.88089788060036511</v>
      </c>
      <c r="T9" s="4">
        <f t="shared" si="7"/>
        <v>1.4425590274734048E-2</v>
      </c>
      <c r="U9" s="7">
        <f t="shared" si="0"/>
        <v>4.5623723539055402E-4</v>
      </c>
    </row>
    <row r="10" spans="1:22" x14ac:dyDescent="0.25">
      <c r="B10" s="7" t="s">
        <v>5</v>
      </c>
      <c r="C10" s="7" t="s">
        <v>9</v>
      </c>
      <c r="E10" s="74">
        <v>133</v>
      </c>
      <c r="F10" s="74">
        <v>133</v>
      </c>
      <c r="G10" s="7">
        <v>299</v>
      </c>
      <c r="H10" s="55">
        <v>63</v>
      </c>
      <c r="I10" s="7">
        <f t="shared" si="1"/>
        <v>236</v>
      </c>
      <c r="J10" s="7">
        <v>89</v>
      </c>
      <c r="K10" s="7">
        <v>54</v>
      </c>
      <c r="M10" s="13">
        <f t="shared" si="2"/>
        <v>1.4126984126984128</v>
      </c>
      <c r="N10" s="13">
        <f t="shared" si="3"/>
        <v>0.8571428571428571</v>
      </c>
      <c r="O10" s="13">
        <f t="shared" si="4"/>
        <v>3.746031746031746</v>
      </c>
      <c r="P10" s="13"/>
      <c r="Q10" s="7">
        <f t="shared" si="5"/>
        <v>4.9661137039780728E-2</v>
      </c>
      <c r="R10" s="7">
        <f t="shared" si="6"/>
        <v>0.9503388629602193</v>
      </c>
      <c r="T10" s="4">
        <f t="shared" si="7"/>
        <v>6.6616650228324412E-4</v>
      </c>
      <c r="U10" s="7">
        <f t="shared" si="0"/>
        <v>6.3484912778709107E-4</v>
      </c>
    </row>
    <row r="11" spans="1:22" x14ac:dyDescent="0.25">
      <c r="B11" s="7" t="s">
        <v>5</v>
      </c>
      <c r="C11" s="7" t="s">
        <v>7</v>
      </c>
      <c r="E11" s="74">
        <v>133</v>
      </c>
      <c r="F11" s="74">
        <v>133</v>
      </c>
      <c r="G11" s="7">
        <v>299</v>
      </c>
      <c r="H11" s="55">
        <v>128</v>
      </c>
      <c r="I11" s="7">
        <f t="shared" si="1"/>
        <v>171</v>
      </c>
      <c r="J11" s="7">
        <v>77</v>
      </c>
      <c r="K11" s="7">
        <v>49</v>
      </c>
      <c r="M11" s="13">
        <f t="shared" si="2"/>
        <v>0.6015625</v>
      </c>
      <c r="N11" s="13">
        <f t="shared" si="3"/>
        <v>0.3828125</v>
      </c>
      <c r="O11" s="13">
        <f t="shared" si="4"/>
        <v>1.3359375</v>
      </c>
      <c r="P11" s="13"/>
      <c r="Q11" s="7">
        <f t="shared" si="5"/>
        <v>5.8041566869327516E-2</v>
      </c>
      <c r="R11" s="7">
        <f t="shared" si="6"/>
        <v>0.94195843313067251</v>
      </c>
      <c r="T11" s="4">
        <f t="shared" si="7"/>
        <v>7.8412684094268971E-3</v>
      </c>
      <c r="U11" s="7">
        <f t="shared" si="0"/>
        <v>6.0034239791842089E-4</v>
      </c>
    </row>
    <row r="12" spans="1:22" x14ac:dyDescent="0.25">
      <c r="B12" s="7" t="s">
        <v>5</v>
      </c>
      <c r="C12" s="7" t="s">
        <v>8</v>
      </c>
      <c r="E12" s="74">
        <v>133</v>
      </c>
      <c r="F12" s="74">
        <v>133</v>
      </c>
      <c r="G12" s="7">
        <v>299</v>
      </c>
      <c r="H12" s="55">
        <v>87</v>
      </c>
      <c r="I12" s="7">
        <f t="shared" si="1"/>
        <v>212</v>
      </c>
      <c r="J12" s="7">
        <v>68</v>
      </c>
      <c r="K12" s="7">
        <v>50</v>
      </c>
      <c r="M12" s="13">
        <f t="shared" si="2"/>
        <v>0.7816091954022989</v>
      </c>
      <c r="N12" s="13">
        <f t="shared" si="3"/>
        <v>0.57471264367816088</v>
      </c>
      <c r="O12" s="13">
        <f t="shared" si="4"/>
        <v>2.4367816091954024</v>
      </c>
      <c r="P12" s="13"/>
      <c r="Q12" s="7">
        <f t="shared" si="5"/>
        <v>8.6914961947084993E-2</v>
      </c>
      <c r="R12" s="7">
        <f t="shared" si="6"/>
        <v>0.91308503805291497</v>
      </c>
      <c r="T12" s="4">
        <f t="shared" si="7"/>
        <v>2.3757916997612351E-2</v>
      </c>
      <c r="U12" s="7">
        <f t="shared" si="0"/>
        <v>7.0535070984411425E-4</v>
      </c>
    </row>
    <row r="13" spans="1:22" x14ac:dyDescent="0.25">
      <c r="B13" s="7" t="s">
        <v>5</v>
      </c>
      <c r="C13" s="7" t="s">
        <v>6</v>
      </c>
      <c r="E13" s="74">
        <v>133</v>
      </c>
      <c r="F13" s="74">
        <v>133</v>
      </c>
      <c r="G13" s="7">
        <v>299</v>
      </c>
      <c r="H13" s="55">
        <v>234</v>
      </c>
      <c r="I13" s="7">
        <f t="shared" si="1"/>
        <v>65</v>
      </c>
      <c r="J13" s="7">
        <v>35</v>
      </c>
      <c r="K13" s="7">
        <v>25</v>
      </c>
      <c r="M13" s="13">
        <f t="shared" si="2"/>
        <v>0.14957264957264957</v>
      </c>
      <c r="N13" s="13">
        <f t="shared" si="3"/>
        <v>0.10683760683760683</v>
      </c>
      <c r="O13" s="13">
        <f t="shared" si="4"/>
        <v>0.27777777777777779</v>
      </c>
      <c r="P13" s="13"/>
      <c r="Q13" s="7">
        <f t="shared" si="5"/>
        <v>8.0756659233771025E-2</v>
      </c>
      <c r="R13" s="7">
        <f t="shared" si="6"/>
        <v>0.91924334076622893</v>
      </c>
      <c r="T13" s="4">
        <f t="shared" si="7"/>
        <v>1.8407170569763678E-3</v>
      </c>
      <c r="U13" s="7">
        <f t="shared" si="0"/>
        <v>1.3005259251028427E-2</v>
      </c>
    </row>
    <row r="14" spans="1:22" s="21" customFormat="1" ht="15.75" thickBot="1" x14ac:dyDescent="0.3">
      <c r="H14" s="57"/>
      <c r="M14" s="114"/>
      <c r="N14" s="114"/>
      <c r="O14" s="114"/>
      <c r="P14" s="114"/>
      <c r="T14" s="17"/>
    </row>
    <row r="15" spans="1:22" x14ac:dyDescent="0.25">
      <c r="A15" s="13"/>
      <c r="B15" s="13"/>
      <c r="C15" s="13"/>
      <c r="D15" s="13"/>
      <c r="E15" s="13"/>
      <c r="F15" s="13"/>
      <c r="G15" s="13"/>
      <c r="H15" s="58"/>
      <c r="I15" s="13"/>
      <c r="J15" s="13"/>
      <c r="K15" s="13"/>
      <c r="L15" s="14"/>
      <c r="M15" s="14"/>
      <c r="N15" s="13"/>
      <c r="O15" s="13"/>
      <c r="P15" s="13"/>
      <c r="T15" s="4"/>
    </row>
    <row r="16" spans="1:22" x14ac:dyDescent="0.25">
      <c r="A16" s="49" t="s">
        <v>69</v>
      </c>
      <c r="B16" s="13"/>
      <c r="C16" s="13"/>
      <c r="D16" s="13"/>
      <c r="E16" s="13"/>
      <c r="F16" s="13"/>
      <c r="G16" s="13"/>
      <c r="H16" s="58"/>
      <c r="I16" s="13"/>
      <c r="J16" s="13"/>
      <c r="K16" s="13"/>
      <c r="L16" s="14"/>
      <c r="M16" s="14"/>
      <c r="N16" s="13"/>
      <c r="O16" s="13"/>
      <c r="P16" s="13"/>
      <c r="T16" s="4"/>
    </row>
    <row r="17" spans="1:23" x14ac:dyDescent="0.25">
      <c r="A17" s="36" t="s">
        <v>26</v>
      </c>
      <c r="B17" s="9" t="s">
        <v>78</v>
      </c>
      <c r="C17" s="9" t="s">
        <v>76</v>
      </c>
      <c r="D17" s="9"/>
      <c r="E17" s="5">
        <v>135</v>
      </c>
      <c r="F17" s="5">
        <v>135</v>
      </c>
      <c r="G17" s="54">
        <f>135</f>
        <v>135</v>
      </c>
      <c r="H17" s="55">
        <f>135*1.7/2.5</f>
        <v>91.8</v>
      </c>
      <c r="I17" s="7">
        <f>ABS(G17-H17)</f>
        <v>43.2</v>
      </c>
      <c r="J17">
        <v>50.59</v>
      </c>
      <c r="K17">
        <v>27.100403075929883</v>
      </c>
      <c r="L17"/>
      <c r="M17" s="13">
        <f t="shared" ref="M17:M22" si="8">J17/(IF(H17&lt;G17,H17,G17))</f>
        <v>0.55108932461873639</v>
      </c>
      <c r="N17" s="13">
        <f>K17/(IF(H17&lt;G17,H17,G17))</f>
        <v>0.29521136248289631</v>
      </c>
      <c r="O17" s="13">
        <f>I17/(IF(H17&lt;G17,H17,G17))</f>
        <v>0.4705882352941177</v>
      </c>
      <c r="P17" s="13"/>
      <c r="Q17" s="7">
        <f t="shared" ref="Q17:Q23" si="9">_xlfn.NORM.DIST(0,M17,N17,TRUE)</f>
        <v>3.0967422460644298E-2</v>
      </c>
      <c r="R17" s="7">
        <f>1-Q17</f>
        <v>0.96903257753935568</v>
      </c>
      <c r="T17" s="4">
        <f>(M17-(T$27*O17+T$28))^2</f>
        <v>0.13718087705071097</v>
      </c>
      <c r="U17" s="7">
        <f t="shared" ref="U17:U23" si="10">(N17-(U$27*O17+U$28))^2</f>
        <v>1.6290956709112136E-3</v>
      </c>
    </row>
    <row r="18" spans="1:23" x14ac:dyDescent="0.25">
      <c r="A18" s="16"/>
      <c r="B18" s="9" t="s">
        <v>76</v>
      </c>
      <c r="C18" s="9" t="s">
        <v>77</v>
      </c>
      <c r="D18" s="9"/>
      <c r="E18" s="5">
        <v>135</v>
      </c>
      <c r="F18" s="5">
        <v>135</v>
      </c>
      <c r="G18" s="55">
        <f>135*1.7/2.5</f>
        <v>91.8</v>
      </c>
      <c r="H18" s="55">
        <f>135*1.7/3</f>
        <v>76.5</v>
      </c>
      <c r="I18" s="7">
        <f t="shared" ref="I18:I22" si="11">ABS(G18-H18)</f>
        <v>15.299999999999997</v>
      </c>
      <c r="J18">
        <v>28.620000000000005</v>
      </c>
      <c r="K18">
        <v>22.423707565162321</v>
      </c>
      <c r="L18"/>
      <c r="M18" s="13">
        <f t="shared" si="8"/>
        <v>0.37411764705882361</v>
      </c>
      <c r="N18" s="13">
        <f>K18/(IF(H18&lt;G18,H18,G18))</f>
        <v>0.29312036032891925</v>
      </c>
      <c r="O18" s="13">
        <f>I18/(IF(H18&lt;G18,H18,G18))</f>
        <v>0.19999999999999996</v>
      </c>
      <c r="P18" s="13"/>
      <c r="Q18" s="7">
        <f t="shared" si="9"/>
        <v>0.10091984404490234</v>
      </c>
      <c r="R18" s="7">
        <f t="shared" ref="R18:R23" si="12">1-Q18</f>
        <v>0.8990801559550976</v>
      </c>
      <c r="T18" s="4">
        <f t="shared" ref="T18:T22" si="13">(M18-(T$27*O18+T$28))^2</f>
        <v>8.8396753883698206E-2</v>
      </c>
      <c r="U18" s="7">
        <f t="shared" si="10"/>
        <v>7.3866709373348665E-3</v>
      </c>
    </row>
    <row r="19" spans="1:23" x14ac:dyDescent="0.25">
      <c r="A19" s="50"/>
      <c r="B19" s="9" t="s">
        <v>78</v>
      </c>
      <c r="C19" s="9" t="s">
        <v>81</v>
      </c>
      <c r="D19" s="9"/>
      <c r="E19" s="5">
        <v>135</v>
      </c>
      <c r="F19" s="5">
        <v>135</v>
      </c>
      <c r="G19" s="25">
        <v>135</v>
      </c>
      <c r="H19" s="55">
        <f>135*2.5/1.7</f>
        <v>198.52941176470588</v>
      </c>
      <c r="I19" s="7">
        <f t="shared" si="11"/>
        <v>63.529411764705884</v>
      </c>
      <c r="J19">
        <v>43.31</v>
      </c>
      <c r="K19">
        <v>30.817403464844652</v>
      </c>
      <c r="L19"/>
      <c r="M19" s="13">
        <f t="shared" si="8"/>
        <v>0.32081481481481483</v>
      </c>
      <c r="N19" s="13">
        <f t="shared" ref="N19:N22" si="14">K19/(IF(H19&lt;G19,H19,G19))</f>
        <v>0.22827706270255299</v>
      </c>
      <c r="O19" s="13">
        <f t="shared" ref="O19:O22" si="15">I19/(IF(H19&lt;G19,H19,G19))</f>
        <v>0.47058823529411764</v>
      </c>
      <c r="P19" s="13"/>
      <c r="Q19" s="7">
        <f t="shared" si="9"/>
        <v>7.9954938860544514E-2</v>
      </c>
      <c r="R19" s="7">
        <f t="shared" si="12"/>
        <v>0.9200450611394555</v>
      </c>
      <c r="T19" s="4">
        <f t="shared" si="13"/>
        <v>1.9629371596784038E-2</v>
      </c>
      <c r="U19" s="7">
        <f t="shared" si="10"/>
        <v>7.0608406949750893E-4</v>
      </c>
    </row>
    <row r="20" spans="1:23" x14ac:dyDescent="0.25">
      <c r="A20" s="50"/>
      <c r="B20" s="9" t="s">
        <v>78</v>
      </c>
      <c r="C20" s="9" t="s">
        <v>83</v>
      </c>
      <c r="D20" s="9"/>
      <c r="E20" s="5">
        <v>135</v>
      </c>
      <c r="F20" s="5">
        <v>135</v>
      </c>
      <c r="G20" s="25">
        <v>135</v>
      </c>
      <c r="H20" s="55">
        <f>135*3/1.7</f>
        <v>238.23529411764707</v>
      </c>
      <c r="I20" s="7">
        <f t="shared" si="11"/>
        <v>103.23529411764707</v>
      </c>
      <c r="J20">
        <v>62.22</v>
      </c>
      <c r="K20">
        <v>37.127581371668342</v>
      </c>
      <c r="L20"/>
      <c r="M20" s="13">
        <f t="shared" si="8"/>
        <v>0.4608888888888889</v>
      </c>
      <c r="N20" s="13">
        <f t="shared" si="14"/>
        <v>0.27501912127161737</v>
      </c>
      <c r="O20" s="13">
        <f t="shared" si="15"/>
        <v>0.76470588235294124</v>
      </c>
      <c r="P20" s="13"/>
      <c r="Q20" s="7">
        <f t="shared" si="9"/>
        <v>4.6884467508425599E-2</v>
      </c>
      <c r="R20" s="7">
        <f t="shared" si="12"/>
        <v>0.95311553249157444</v>
      </c>
      <c r="T20" s="4">
        <f t="shared" si="13"/>
        <v>2.7967615852305752E-2</v>
      </c>
      <c r="U20" s="7">
        <f t="shared" si="10"/>
        <v>1.0017540241688376E-3</v>
      </c>
    </row>
    <row r="21" spans="1:23" x14ac:dyDescent="0.25">
      <c r="A21" s="50"/>
      <c r="B21" s="9" t="s">
        <v>76</v>
      </c>
      <c r="C21" s="9" t="s">
        <v>80</v>
      </c>
      <c r="D21" s="9"/>
      <c r="E21" s="5">
        <v>135</v>
      </c>
      <c r="F21" s="5">
        <v>135</v>
      </c>
      <c r="G21" s="55">
        <f>135*1.7/2.5</f>
        <v>91.8</v>
      </c>
      <c r="H21" s="55">
        <v>135</v>
      </c>
      <c r="I21" s="7">
        <f t="shared" si="11"/>
        <v>43.2</v>
      </c>
      <c r="J21">
        <v>30.190000000000012</v>
      </c>
      <c r="K21">
        <v>28.945835557995764</v>
      </c>
      <c r="L21"/>
      <c r="M21" s="13">
        <f t="shared" si="8"/>
        <v>0.32886710239651429</v>
      </c>
      <c r="N21" s="13">
        <f t="shared" si="14"/>
        <v>0.3153141128321979</v>
      </c>
      <c r="O21" s="13">
        <f t="shared" si="15"/>
        <v>0.4705882352941177</v>
      </c>
      <c r="P21" s="13"/>
      <c r="Q21" s="7">
        <f t="shared" si="9"/>
        <v>0.14847819841146725</v>
      </c>
      <c r="R21" s="7">
        <f t="shared" si="12"/>
        <v>0.85152180158853275</v>
      </c>
      <c r="T21" s="4">
        <f>(M21-(T$27*O21+T$28))^2</f>
        <v>2.1950540169282169E-2</v>
      </c>
      <c r="U21" s="7">
        <f t="shared" si="10"/>
        <v>3.6559929661983764E-3</v>
      </c>
    </row>
    <row r="22" spans="1:23" x14ac:dyDescent="0.25">
      <c r="A22" s="50"/>
      <c r="B22" s="9" t="s">
        <v>76</v>
      </c>
      <c r="C22" s="9" t="s">
        <v>82</v>
      </c>
      <c r="D22" s="9"/>
      <c r="E22" s="5">
        <v>135</v>
      </c>
      <c r="F22" s="5">
        <v>135</v>
      </c>
      <c r="G22" s="55">
        <f>135*1.7/2.5</f>
        <v>91.8</v>
      </c>
      <c r="H22" s="55">
        <f>135*2.5/1.7</f>
        <v>198.52941176470588</v>
      </c>
      <c r="I22" s="7">
        <f t="shared" si="11"/>
        <v>106.72941176470589</v>
      </c>
      <c r="J22">
        <v>46.81</v>
      </c>
      <c r="K22">
        <v>43.126603814126767</v>
      </c>
      <c r="L22"/>
      <c r="M22" s="13">
        <f t="shared" si="8"/>
        <v>0.50991285403050113</v>
      </c>
      <c r="N22" s="13">
        <f t="shared" si="14"/>
        <v>0.46978871257218702</v>
      </c>
      <c r="O22" s="13">
        <f t="shared" si="15"/>
        <v>1.1626297577854672</v>
      </c>
      <c r="P22" s="13"/>
      <c r="Q22" s="7">
        <f t="shared" si="9"/>
        <v>0.13887029412484472</v>
      </c>
      <c r="R22" s="7">
        <f t="shared" si="12"/>
        <v>0.86112970587515525</v>
      </c>
      <c r="T22" s="4">
        <f t="shared" si="13"/>
        <v>4.0262786291375757E-3</v>
      </c>
      <c r="U22" s="7">
        <f t="shared" si="10"/>
        <v>8.6507218038154084E-3</v>
      </c>
    </row>
    <row r="23" spans="1:23" ht="15" customHeight="1" x14ac:dyDescent="0.25">
      <c r="A23" s="50"/>
      <c r="B23" s="9" t="s">
        <v>79</v>
      </c>
      <c r="C23" s="9" t="s">
        <v>76</v>
      </c>
      <c r="D23" s="9"/>
      <c r="E23" s="5">
        <v>135</v>
      </c>
      <c r="F23" s="5">
        <v>135</v>
      </c>
      <c r="G23" s="54">
        <f>135</f>
        <v>135</v>
      </c>
      <c r="H23" s="55">
        <f>135*1.7/2.5</f>
        <v>91.8</v>
      </c>
      <c r="I23" s="7">
        <f>ABS(G23-H23)</f>
        <v>43.2</v>
      </c>
      <c r="J23">
        <v>26.349999999999994</v>
      </c>
      <c r="K23">
        <v>43.969943797676748</v>
      </c>
      <c r="L23"/>
      <c r="M23" s="13">
        <f>J23/(IF(H23&lt;G23,H23,G23))</f>
        <v>0.28703703703703698</v>
      </c>
      <c r="N23" s="13">
        <f>K23/(IF(H23&lt;G23,H23,G23))</f>
        <v>0.47897542263264431</v>
      </c>
      <c r="O23" s="13">
        <f>I23/(IF(H23&lt;G23,H23,G23))</f>
        <v>0.4705882352941177</v>
      </c>
      <c r="P23" s="13"/>
      <c r="Q23" s="7">
        <f t="shared" si="9"/>
        <v>0.27449542583994679</v>
      </c>
      <c r="R23" s="7">
        <f t="shared" si="12"/>
        <v>0.72550457416005321</v>
      </c>
      <c r="T23" s="4">
        <f>(M23-(T$27*O23+T$28))^2</f>
        <v>1.1305448262992741E-2</v>
      </c>
      <c r="U23" s="7">
        <f t="shared" si="10"/>
        <v>5.02325165309985E-2</v>
      </c>
    </row>
    <row r="24" spans="1:23" s="21" customFormat="1" ht="15" customHeight="1" thickBot="1" x14ac:dyDescent="0.3">
      <c r="A24" s="53"/>
      <c r="H24" s="57"/>
      <c r="J24" s="28"/>
      <c r="K24" s="28"/>
      <c r="L24" s="28"/>
      <c r="M24" s="115"/>
      <c r="N24" s="115"/>
      <c r="O24" s="114"/>
      <c r="P24" s="114"/>
      <c r="T24" s="17"/>
    </row>
    <row r="25" spans="1:23" s="61" customFormat="1" ht="15" customHeight="1" x14ac:dyDescent="0.25">
      <c r="A25" s="60"/>
      <c r="H25" s="62"/>
      <c r="J25" s="63"/>
      <c r="K25" s="63"/>
      <c r="L25" s="63"/>
      <c r="M25" s="63"/>
      <c r="N25" s="63"/>
      <c r="T25" s="66"/>
    </row>
    <row r="26" spans="1:23" s="61" customFormat="1" ht="15" customHeight="1" x14ac:dyDescent="0.25">
      <c r="A26" s="60"/>
      <c r="H26" s="62"/>
      <c r="J26" s="63"/>
      <c r="K26" s="63"/>
      <c r="L26" s="63"/>
      <c r="M26" s="63"/>
      <c r="N26" s="63"/>
      <c r="T26" s="113">
        <f>SUM(T17:T23,T4:T13)</f>
        <v>0.46385314323461008</v>
      </c>
      <c r="U26" s="113">
        <f>SUM(U17:U23,U4:U13)</f>
        <v>0.12302905103868605</v>
      </c>
      <c r="V26" s="117" t="s">
        <v>126</v>
      </c>
      <c r="W26" s="118"/>
    </row>
    <row r="27" spans="1:23" s="61" customFormat="1" ht="15" customHeight="1" x14ac:dyDescent="0.25">
      <c r="A27" s="48"/>
      <c r="H27" s="62"/>
      <c r="J27" s="63"/>
      <c r="K27" s="63"/>
      <c r="L27" s="63"/>
      <c r="M27" s="63"/>
      <c r="N27" s="63"/>
      <c r="T27" s="66">
        <v>0.38400865548937202</v>
      </c>
      <c r="U27" s="61">
        <v>0.17618906798955014</v>
      </c>
      <c r="V27" s="119" t="s">
        <v>91</v>
      </c>
      <c r="W27" s="118"/>
    </row>
    <row r="28" spans="1:23" s="61" customFormat="1" ht="15" customHeight="1" x14ac:dyDescent="0.25">
      <c r="H28" s="62"/>
      <c r="J28" s="63"/>
      <c r="K28" s="63"/>
      <c r="L28" s="63"/>
      <c r="M28" s="63"/>
      <c r="N28" s="63"/>
      <c r="Q28" s="65"/>
      <c r="R28" s="65"/>
      <c r="S28" s="65"/>
      <c r="T28" s="89">
        <v>0</v>
      </c>
      <c r="U28" s="61">
        <v>0.17193680258195396</v>
      </c>
      <c r="V28" s="119" t="s">
        <v>92</v>
      </c>
      <c r="W28" s="118"/>
    </row>
    <row r="29" spans="1:23" s="61" customFormat="1" ht="15" customHeight="1" x14ac:dyDescent="0.25">
      <c r="H29" s="62"/>
      <c r="J29" s="63"/>
      <c r="K29" s="63"/>
      <c r="L29" s="63"/>
      <c r="M29" s="63"/>
      <c r="N29" s="63"/>
      <c r="Q29" s="64"/>
      <c r="R29" s="64"/>
      <c r="S29" s="64"/>
      <c r="V29" s="118"/>
      <c r="W29" s="118"/>
    </row>
    <row r="30" spans="1:23" s="61" customFormat="1" ht="15" customHeight="1" x14ac:dyDescent="0.25">
      <c r="A30" s="60"/>
      <c r="H30" s="62"/>
      <c r="J30" s="63"/>
      <c r="K30" s="63"/>
      <c r="L30" s="63"/>
      <c r="M30" s="63"/>
      <c r="N30" s="63"/>
      <c r="T30" s="61">
        <f>0</f>
        <v>0</v>
      </c>
      <c r="U30" s="61">
        <f>V30*U27+U28</f>
        <v>0.17193680258195396</v>
      </c>
      <c r="V30" s="119">
        <v>0</v>
      </c>
      <c r="W30" s="131" t="s">
        <v>118</v>
      </c>
    </row>
    <row r="31" spans="1:23" s="61" customFormat="1" ht="15" customHeight="1" x14ac:dyDescent="0.25">
      <c r="A31" s="60"/>
      <c r="H31" s="62"/>
      <c r="J31" s="63"/>
      <c r="K31" s="63"/>
      <c r="L31" s="63"/>
      <c r="M31" s="63"/>
      <c r="N31" s="63"/>
      <c r="T31" s="61">
        <f>V31*T27</f>
        <v>1.5360346219574881</v>
      </c>
      <c r="U31" s="61">
        <f>V31*U27+U28</f>
        <v>0.87669307454015455</v>
      </c>
      <c r="V31" s="119">
        <v>4</v>
      </c>
      <c r="W31" s="131"/>
    </row>
    <row r="32" spans="1:23" s="61" customFormat="1" ht="15" customHeight="1" x14ac:dyDescent="0.25">
      <c r="A32" s="60"/>
      <c r="H32" s="62"/>
      <c r="J32" s="63"/>
      <c r="K32" s="63"/>
      <c r="L32" s="63"/>
      <c r="M32" s="63"/>
      <c r="N32" s="63"/>
      <c r="Q32" s="64"/>
      <c r="R32" s="64"/>
      <c r="S32" s="64"/>
    </row>
    <row r="33" spans="1:19" s="61" customFormat="1" ht="15" customHeight="1" x14ac:dyDescent="0.25">
      <c r="A33" s="60"/>
      <c r="H33" s="62"/>
      <c r="J33" s="63"/>
      <c r="K33" s="63"/>
      <c r="L33" s="63"/>
      <c r="M33" s="63"/>
      <c r="N33" s="63"/>
      <c r="Q33" s="64"/>
      <c r="R33" s="64"/>
      <c r="S33" s="64"/>
    </row>
    <row r="34" spans="1:19" s="61" customFormat="1" ht="15" customHeight="1" x14ac:dyDescent="0.25">
      <c r="A34" s="45"/>
      <c r="H34" s="62"/>
      <c r="J34" s="63"/>
      <c r="K34" s="63"/>
      <c r="L34" s="63"/>
      <c r="M34" s="63"/>
      <c r="N34" s="63"/>
    </row>
    <row r="35" spans="1:19" x14ac:dyDescent="0.25">
      <c r="A35" s="44"/>
      <c r="J35"/>
      <c r="K35"/>
      <c r="L35"/>
      <c r="M35"/>
      <c r="N35"/>
    </row>
    <row r="36" spans="1:19" x14ac:dyDescent="0.25">
      <c r="J36"/>
      <c r="K36"/>
      <c r="L36"/>
      <c r="M36"/>
      <c r="N36"/>
    </row>
    <row r="45" spans="1:19" x14ac:dyDescent="0.25">
      <c r="B45" s="8"/>
    </row>
    <row r="46" spans="1:19" x14ac:dyDescent="0.25">
      <c r="B46" s="8"/>
    </row>
    <row r="47" spans="1:19" x14ac:dyDescent="0.25">
      <c r="A47" s="27"/>
    </row>
  </sheetData>
  <mergeCells count="1">
    <mergeCell ref="W30:W3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zoomScaleNormal="100" workbookViewId="0"/>
  </sheetViews>
  <sheetFormatPr defaultColWidth="8.85546875" defaultRowHeight="15" x14ac:dyDescent="0.25"/>
  <cols>
    <col min="2" max="3" width="10.7109375" customWidth="1"/>
    <col min="4" max="4" width="4.28515625" customWidth="1"/>
    <col min="5" max="5" width="14.7109375" style="126" customWidth="1"/>
    <col min="8" max="8" width="10.7109375" customWidth="1"/>
    <col min="9" max="9" width="3.7109375" customWidth="1"/>
    <col min="12" max="12" width="10.7109375" customWidth="1"/>
    <col min="13" max="15" width="10.42578125" customWidth="1"/>
  </cols>
  <sheetData>
    <row r="1" spans="1:12" x14ac:dyDescent="0.25">
      <c r="F1" s="132" t="s">
        <v>144</v>
      </c>
      <c r="G1" s="132"/>
      <c r="H1" s="132"/>
      <c r="J1" s="132" t="s">
        <v>143</v>
      </c>
      <c r="K1" s="132"/>
      <c r="L1" s="132"/>
    </row>
    <row r="2" spans="1:12" ht="29.45" customHeight="1" x14ac:dyDescent="0.25">
      <c r="E2" s="2" t="s">
        <v>133</v>
      </c>
      <c r="F2" s="1" t="s">
        <v>46</v>
      </c>
      <c r="G2" s="1" t="s">
        <v>134</v>
      </c>
      <c r="H2" s="2" t="s">
        <v>128</v>
      </c>
      <c r="J2" s="1" t="s">
        <v>46</v>
      </c>
      <c r="K2" s="1" t="s">
        <v>134</v>
      </c>
      <c r="L2" s="2" t="s">
        <v>128</v>
      </c>
    </row>
    <row r="3" spans="1:12" x14ac:dyDescent="0.25">
      <c r="B3" s="132" t="s">
        <v>144</v>
      </c>
      <c r="C3" s="132"/>
      <c r="E3" s="126">
        <v>0</v>
      </c>
      <c r="F3" s="7">
        <f t="shared" ref="F3:F43" si="0">B$5*E3</f>
        <v>0</v>
      </c>
      <c r="G3">
        <f t="shared" ref="G3:G43" si="1">C$5*SQRT(2+2*E3+E3^2)</f>
        <v>0.49488923295097809</v>
      </c>
      <c r="H3">
        <f>1-_xlfn.NORM.DIST(0,F3,G3,TRUE)</f>
        <v>0.5</v>
      </c>
      <c r="J3">
        <f t="shared" ref="J3:J43" si="2">B$9*E3</f>
        <v>0</v>
      </c>
      <c r="K3">
        <f t="shared" ref="K3:K43" si="3">C$9*E3+C$10</f>
        <v>0.17193680258195396</v>
      </c>
      <c r="L3" s="7">
        <f>1-_xlfn.NORM.DIST(0,J3,K3,TRUE)</f>
        <v>0.5</v>
      </c>
    </row>
    <row r="4" spans="1:12" x14ac:dyDescent="0.25">
      <c r="B4" s="49" t="s">
        <v>46</v>
      </c>
      <c r="C4" s="49" t="s">
        <v>44</v>
      </c>
      <c r="E4" s="126">
        <v>0.1</v>
      </c>
      <c r="F4" s="7">
        <f t="shared" si="0"/>
        <v>7.4706392223062842E-2</v>
      </c>
      <c r="G4">
        <f t="shared" si="1"/>
        <v>0.52022251483797033</v>
      </c>
      <c r="H4">
        <f t="shared" ref="H4:H43" si="4">1-_xlfn.NORM.DIST(0,F4,G4,TRUE)</f>
        <v>0.55709368094767608</v>
      </c>
      <c r="J4">
        <f t="shared" si="2"/>
        <v>3.8400865548937207E-2</v>
      </c>
      <c r="K4">
        <f t="shared" si="3"/>
        <v>0.18955570938090896</v>
      </c>
      <c r="L4" s="7">
        <f t="shared" ref="L4:L43" si="5">1-_xlfn.NORM.DIST(0,J4,K4,TRUE)</f>
        <v>0.58026971955733708</v>
      </c>
    </row>
    <row r="5" spans="1:12" x14ac:dyDescent="0.25">
      <c r="A5" s="46" t="s">
        <v>91</v>
      </c>
      <c r="B5" s="5">
        <f>'Distance (Eq4)'!J84</f>
        <v>0.74706392223062834</v>
      </c>
      <c r="C5" s="87">
        <f>'Distance (Eq4)'!K84</f>
        <v>0.34993953255584559</v>
      </c>
      <c r="E5" s="126">
        <v>0.2</v>
      </c>
      <c r="F5" s="7">
        <f t="shared" si="0"/>
        <v>0.14941278444612568</v>
      </c>
      <c r="G5">
        <f t="shared" si="1"/>
        <v>0.54662302414624386</v>
      </c>
      <c r="H5">
        <f t="shared" si="4"/>
        <v>0.60770325434879346</v>
      </c>
      <c r="J5">
        <f t="shared" si="2"/>
        <v>7.6801731097874415E-2</v>
      </c>
      <c r="K5">
        <f t="shared" si="3"/>
        <v>0.20717461617986399</v>
      </c>
      <c r="L5" s="7">
        <f t="shared" si="5"/>
        <v>0.64457328172047368</v>
      </c>
    </row>
    <row r="6" spans="1:12" x14ac:dyDescent="0.25">
      <c r="E6" s="126">
        <v>0.3</v>
      </c>
      <c r="F6" s="7">
        <f t="shared" si="0"/>
        <v>0.22411917666918849</v>
      </c>
      <c r="G6">
        <f t="shared" si="1"/>
        <v>0.57394350735776767</v>
      </c>
      <c r="H6">
        <f t="shared" si="4"/>
        <v>0.65191286063685272</v>
      </c>
      <c r="J6">
        <f t="shared" si="2"/>
        <v>0.11520259664681159</v>
      </c>
      <c r="K6">
        <f t="shared" si="3"/>
        <v>0.22479352297881899</v>
      </c>
      <c r="L6" s="7">
        <f t="shared" si="5"/>
        <v>0.6958430841064509</v>
      </c>
    </row>
    <row r="7" spans="1:12" x14ac:dyDescent="0.25">
      <c r="A7" s="46"/>
      <c r="B7" s="132" t="s">
        <v>143</v>
      </c>
      <c r="C7" s="132"/>
      <c r="E7" s="126">
        <v>0.4</v>
      </c>
      <c r="F7" s="7">
        <f t="shared" si="0"/>
        <v>0.29882556889225137</v>
      </c>
      <c r="G7">
        <f t="shared" si="1"/>
        <v>0.60205873656844722</v>
      </c>
      <c r="H7">
        <f t="shared" si="4"/>
        <v>0.69017257040315472</v>
      </c>
      <c r="J7">
        <f t="shared" si="2"/>
        <v>0.15360346219574883</v>
      </c>
      <c r="K7">
        <f t="shared" si="3"/>
        <v>0.242412429777774</v>
      </c>
      <c r="L7" s="7">
        <f t="shared" si="5"/>
        <v>0.73684378825015306</v>
      </c>
    </row>
    <row r="8" spans="1:12" x14ac:dyDescent="0.25">
      <c r="A8" s="46"/>
      <c r="B8" s="46" t="s">
        <v>46</v>
      </c>
      <c r="C8" s="46" t="s">
        <v>44</v>
      </c>
      <c r="E8" s="126">
        <v>0.5</v>
      </c>
      <c r="F8" s="7">
        <f t="shared" si="0"/>
        <v>0.37353196111531417</v>
      </c>
      <c r="G8">
        <f t="shared" si="1"/>
        <v>0.63086246397100065</v>
      </c>
      <c r="H8">
        <f t="shared" si="4"/>
        <v>0.7231072823281437</v>
      </c>
      <c r="J8">
        <f t="shared" si="2"/>
        <v>0.19200432774468601</v>
      </c>
      <c r="K8">
        <f t="shared" si="3"/>
        <v>0.26003133657672906</v>
      </c>
      <c r="L8" s="7">
        <f t="shared" si="5"/>
        <v>0.76986100888628328</v>
      </c>
    </row>
    <row r="9" spans="1:12" x14ac:dyDescent="0.25">
      <c r="A9" s="46" t="s">
        <v>91</v>
      </c>
      <c r="B9" s="51">
        <f>'Depth (Eq3)'!T27</f>
        <v>0.38400865548937202</v>
      </c>
      <c r="C9" s="51">
        <f>'Depth (Eq3)'!U27</f>
        <v>0.17618906798955014</v>
      </c>
      <c r="E9" s="126">
        <v>0.6</v>
      </c>
      <c r="F9" s="7">
        <f t="shared" si="0"/>
        <v>0.44823835333837697</v>
      </c>
      <c r="G9">
        <f t="shared" si="1"/>
        <v>0.66026458949851097</v>
      </c>
      <c r="H9">
        <f t="shared" si="4"/>
        <v>0.75139205662843445</v>
      </c>
      <c r="J9">
        <f t="shared" si="2"/>
        <v>0.23040519329362319</v>
      </c>
      <c r="K9">
        <f t="shared" si="3"/>
        <v>0.27765024337568406</v>
      </c>
      <c r="L9" s="7">
        <f t="shared" si="5"/>
        <v>0.7966852878325662</v>
      </c>
    </row>
    <row r="10" spans="1:12" x14ac:dyDescent="0.25">
      <c r="A10" s="46" t="s">
        <v>92</v>
      </c>
      <c r="B10" s="51"/>
      <c r="C10" s="51">
        <f>'Depth (Eq3)'!U28</f>
        <v>0.17193680258195396</v>
      </c>
      <c r="E10" s="126">
        <v>0.7</v>
      </c>
      <c r="F10" s="7">
        <f t="shared" si="0"/>
        <v>0.52294474556143977</v>
      </c>
      <c r="G10">
        <f t="shared" si="1"/>
        <v>0.69018864187453888</v>
      </c>
      <c r="H10">
        <f t="shared" si="4"/>
        <v>0.77567984709170157</v>
      </c>
      <c r="J10">
        <f t="shared" si="2"/>
        <v>0.26880605884256037</v>
      </c>
      <c r="K10">
        <f t="shared" si="3"/>
        <v>0.29526915017463906</v>
      </c>
      <c r="L10" s="7">
        <f t="shared" si="5"/>
        <v>0.81868797392843151</v>
      </c>
    </row>
    <row r="11" spans="1:12" x14ac:dyDescent="0.25">
      <c r="E11" s="126">
        <v>0.8</v>
      </c>
      <c r="F11" s="7">
        <f t="shared" si="0"/>
        <v>0.59765113778450274</v>
      </c>
      <c r="G11">
        <f t="shared" si="1"/>
        <v>0.72056959978097312</v>
      </c>
      <c r="H11">
        <f t="shared" si="4"/>
        <v>0.79656515375154413</v>
      </c>
      <c r="J11">
        <f t="shared" si="2"/>
        <v>0.30720692439149766</v>
      </c>
      <c r="K11">
        <f t="shared" si="3"/>
        <v>0.31288805697359406</v>
      </c>
      <c r="L11" s="7">
        <f t="shared" si="5"/>
        <v>0.83691138077320204</v>
      </c>
    </row>
    <row r="12" spans="1:12" x14ac:dyDescent="0.25">
      <c r="E12" s="126">
        <v>0.9</v>
      </c>
      <c r="F12" s="7">
        <f t="shared" si="0"/>
        <v>0.67235753000756548</v>
      </c>
      <c r="G12">
        <f t="shared" si="1"/>
        <v>0.75135204026695168</v>
      </c>
      <c r="H12">
        <f t="shared" si="4"/>
        <v>0.81456997460220915</v>
      </c>
      <c r="J12">
        <f t="shared" si="2"/>
        <v>0.34560778994043484</v>
      </c>
      <c r="K12">
        <f t="shared" si="3"/>
        <v>0.33050696377254907</v>
      </c>
      <c r="L12" s="7">
        <f t="shared" si="5"/>
        <v>0.85214788351884319</v>
      </c>
    </row>
    <row r="13" spans="1:12" x14ac:dyDescent="0.25">
      <c r="E13" s="126">
        <v>1</v>
      </c>
      <c r="F13" s="7">
        <f t="shared" si="0"/>
        <v>0.74706392223062834</v>
      </c>
      <c r="G13">
        <f t="shared" si="1"/>
        <v>0.7824885828093715</v>
      </c>
      <c r="H13">
        <f t="shared" si="4"/>
        <v>0.83014241938670008</v>
      </c>
      <c r="J13">
        <f t="shared" si="2"/>
        <v>0.38400865548937202</v>
      </c>
      <c r="K13">
        <f t="shared" si="3"/>
        <v>0.34812587057150413</v>
      </c>
      <c r="L13" s="7">
        <f t="shared" si="5"/>
        <v>0.86500252140072986</v>
      </c>
    </row>
    <row r="14" spans="1:12" x14ac:dyDescent="0.25">
      <c r="E14" s="126">
        <v>1.1000000000000001</v>
      </c>
      <c r="F14" s="7">
        <f t="shared" si="0"/>
        <v>0.8217703144536912</v>
      </c>
      <c r="G14">
        <f t="shared" si="1"/>
        <v>0.81393859078534547</v>
      </c>
      <c r="H14">
        <f t="shared" si="4"/>
        <v>0.84366178930643976</v>
      </c>
      <c r="J14">
        <f t="shared" si="2"/>
        <v>0.42240952103830925</v>
      </c>
      <c r="K14">
        <f t="shared" si="3"/>
        <v>0.36574477737045913</v>
      </c>
      <c r="L14" s="7">
        <f t="shared" si="5"/>
        <v>0.87594040046480814</v>
      </c>
    </row>
    <row r="15" spans="1:12" x14ac:dyDescent="0.25">
      <c r="E15" s="126">
        <v>1.2</v>
      </c>
      <c r="F15" s="7">
        <f t="shared" si="0"/>
        <v>0.89647670667675394</v>
      </c>
      <c r="G15">
        <f t="shared" si="1"/>
        <v>0.84566709197009537</v>
      </c>
      <c r="H15">
        <f t="shared" si="4"/>
        <v>0.85544641779228625</v>
      </c>
      <c r="J15">
        <f t="shared" si="2"/>
        <v>0.46081038658724638</v>
      </c>
      <c r="K15">
        <f t="shared" si="3"/>
        <v>0.38336368416941413</v>
      </c>
      <c r="L15" s="7">
        <f t="shared" si="5"/>
        <v>0.88532189350765289</v>
      </c>
    </row>
    <row r="16" spans="1:12" x14ac:dyDescent="0.25">
      <c r="A16" s="5"/>
      <c r="B16" s="5"/>
      <c r="C16" s="87"/>
      <c r="E16" s="126">
        <v>1.3</v>
      </c>
      <c r="F16" s="7">
        <f t="shared" si="0"/>
        <v>0.97118309889981691</v>
      </c>
      <c r="G16">
        <f t="shared" si="1"/>
        <v>0.87764388270048876</v>
      </c>
      <c r="H16">
        <f t="shared" si="4"/>
        <v>0.8657622039069941</v>
      </c>
      <c r="J16">
        <f t="shared" si="2"/>
        <v>0.49921125213618367</v>
      </c>
      <c r="K16">
        <f t="shared" si="3"/>
        <v>0.40098259096836913</v>
      </c>
      <c r="L16" s="7">
        <f t="shared" si="5"/>
        <v>0.89342859078855119</v>
      </c>
    </row>
    <row r="17" spans="1:18" x14ac:dyDescent="0.25">
      <c r="A17" s="64"/>
      <c r="B17" s="66"/>
      <c r="C17" s="76"/>
      <c r="E17" s="126">
        <v>1.4</v>
      </c>
      <c r="F17" s="7">
        <f t="shared" si="0"/>
        <v>1.0458894911228795</v>
      </c>
      <c r="G17">
        <f t="shared" si="1"/>
        <v>0.90984278464519852</v>
      </c>
      <c r="H17">
        <f t="shared" si="4"/>
        <v>0.87483077595267544</v>
      </c>
      <c r="J17">
        <f t="shared" si="2"/>
        <v>0.53761211768512074</v>
      </c>
      <c r="K17">
        <f t="shared" si="3"/>
        <v>0.41860149776732414</v>
      </c>
      <c r="L17" s="7">
        <f t="shared" si="5"/>
        <v>0.90048242156983527</v>
      </c>
    </row>
    <row r="18" spans="1:18" x14ac:dyDescent="0.25">
      <c r="E18" s="126">
        <v>1.5</v>
      </c>
      <c r="F18" s="7">
        <f t="shared" si="0"/>
        <v>1.1205958833459424</v>
      </c>
      <c r="G18">
        <f t="shared" si="1"/>
        <v>0.94224102767241935</v>
      </c>
      <c r="H18">
        <f t="shared" si="4"/>
        <v>0.88283680874610393</v>
      </c>
      <c r="J18">
        <f t="shared" si="2"/>
        <v>0.57601298323405803</v>
      </c>
      <c r="K18">
        <f t="shared" si="3"/>
        <v>0.4362204045662792</v>
      </c>
      <c r="L18" s="7">
        <f t="shared" si="5"/>
        <v>0.9066597895149755</v>
      </c>
    </row>
    <row r="19" spans="1:18" x14ac:dyDescent="0.25">
      <c r="E19" s="126">
        <v>1.6</v>
      </c>
      <c r="F19" s="7">
        <f t="shared" si="0"/>
        <v>1.1953022755690055</v>
      </c>
      <c r="G19">
        <f t="shared" si="1"/>
        <v>0.9748187365948261</v>
      </c>
      <c r="H19">
        <f t="shared" si="4"/>
        <v>0.88993434126612514</v>
      </c>
      <c r="J19">
        <f t="shared" si="2"/>
        <v>0.61441384878299532</v>
      </c>
      <c r="K19">
        <f t="shared" si="3"/>
        <v>0.45383931136523414</v>
      </c>
      <c r="L19" s="7">
        <f t="shared" si="5"/>
        <v>0.91210207909672492</v>
      </c>
    </row>
    <row r="20" spans="1:18" x14ac:dyDescent="0.25">
      <c r="E20" s="126">
        <v>1.7</v>
      </c>
      <c r="F20" s="7">
        <f t="shared" si="0"/>
        <v>1.2700086677920681</v>
      </c>
      <c r="G20">
        <f t="shared" si="1"/>
        <v>1.0075585033795291</v>
      </c>
      <c r="H20">
        <f t="shared" si="4"/>
        <v>0.89625210799396171</v>
      </c>
      <c r="J20">
        <f t="shared" si="2"/>
        <v>0.65281471433193239</v>
      </c>
      <c r="K20">
        <f t="shared" si="3"/>
        <v>0.4714582181641892</v>
      </c>
      <c r="L20" s="7">
        <f t="shared" si="5"/>
        <v>0.91692351704240305</v>
      </c>
    </row>
    <row r="21" spans="1:18" x14ac:dyDescent="0.25">
      <c r="E21" s="126">
        <v>1.8</v>
      </c>
      <c r="F21" s="7">
        <f t="shared" si="0"/>
        <v>1.344715060015131</v>
      </c>
      <c r="G21">
        <f t="shared" si="1"/>
        <v>1.0404450296759407</v>
      </c>
      <c r="H21">
        <f t="shared" si="4"/>
        <v>0.9018979742717611</v>
      </c>
      <c r="J21">
        <f t="shared" si="2"/>
        <v>0.69121557988086968</v>
      </c>
      <c r="K21">
        <f t="shared" si="3"/>
        <v>0.48907712496314426</v>
      </c>
      <c r="L21" s="7">
        <f t="shared" si="5"/>
        <v>0.92121709809440444</v>
      </c>
    </row>
    <row r="22" spans="1:18" x14ac:dyDescent="0.25">
      <c r="E22" s="126">
        <v>1.9</v>
      </c>
      <c r="F22" s="7">
        <f t="shared" si="0"/>
        <v>1.4194214522381938</v>
      </c>
      <c r="G22">
        <f t="shared" si="1"/>
        <v>1.0734648272539018</v>
      </c>
      <c r="H22">
        <f t="shared" si="4"/>
        <v>0.90696259394297152</v>
      </c>
      <c r="J22">
        <f t="shared" si="2"/>
        <v>0.72961644542980675</v>
      </c>
      <c r="K22">
        <f t="shared" si="3"/>
        <v>0.50669603176209921</v>
      </c>
      <c r="L22" s="7">
        <f t="shared" si="5"/>
        <v>0.92505908607477927</v>
      </c>
    </row>
    <row r="23" spans="1:18" x14ac:dyDescent="0.25">
      <c r="E23" s="126">
        <v>2</v>
      </c>
      <c r="F23" s="7">
        <f t="shared" si="0"/>
        <v>1.4941278444612567</v>
      </c>
      <c r="G23">
        <f t="shared" si="1"/>
        <v>1.1066059662111158</v>
      </c>
      <c r="H23">
        <f t="shared" si="4"/>
        <v>0.91152241010208357</v>
      </c>
      <c r="J23">
        <f t="shared" si="2"/>
        <v>0.76801731097874404</v>
      </c>
      <c r="K23">
        <f t="shared" si="3"/>
        <v>0.52431493856105427</v>
      </c>
      <c r="L23" s="7">
        <f t="shared" si="5"/>
        <v>0.92851245939036386</v>
      </c>
    </row>
    <row r="24" spans="1:18" x14ac:dyDescent="0.25">
      <c r="E24" s="126">
        <v>2.1</v>
      </c>
      <c r="F24" s="7">
        <f t="shared" si="0"/>
        <v>1.5688342366843195</v>
      </c>
      <c r="G24">
        <f t="shared" si="1"/>
        <v>1.1398578626678562</v>
      </c>
      <c r="H24">
        <f t="shared" si="4"/>
        <v>0.91564211036963394</v>
      </c>
      <c r="J24">
        <f t="shared" si="2"/>
        <v>0.80641817652768133</v>
      </c>
      <c r="K24">
        <f t="shared" si="3"/>
        <v>0.54193384536000921</v>
      </c>
      <c r="L24" s="7">
        <f t="shared" si="5"/>
        <v>0.931629568886991</v>
      </c>
      <c r="M24" s="133"/>
      <c r="N24" s="133"/>
      <c r="O24" s="133"/>
      <c r="P24" s="30"/>
      <c r="Q24" s="30"/>
      <c r="R24" s="30"/>
    </row>
    <row r="25" spans="1:18" x14ac:dyDescent="0.25">
      <c r="E25" s="126">
        <v>2.2000000000000002</v>
      </c>
      <c r="F25" s="7">
        <f t="shared" si="0"/>
        <v>1.6435406289073824</v>
      </c>
      <c r="G25">
        <f t="shared" si="1"/>
        <v>1.173211099183066</v>
      </c>
      <c r="H25">
        <f t="shared" si="4"/>
        <v>0.91937663402559366</v>
      </c>
      <c r="J25">
        <f t="shared" si="2"/>
        <v>0.84481904207661851</v>
      </c>
      <c r="K25">
        <f t="shared" si="3"/>
        <v>0.55955275215896427</v>
      </c>
      <c r="L25" s="7">
        <f t="shared" si="5"/>
        <v>0.93445420363025689</v>
      </c>
      <c r="M25" s="133"/>
      <c r="N25" s="133"/>
      <c r="O25" s="133"/>
      <c r="P25" s="30"/>
      <c r="Q25" s="30"/>
      <c r="R25" s="30"/>
    </row>
    <row r="26" spans="1:18" x14ac:dyDescent="0.25">
      <c r="E26" s="126">
        <v>2.2999999999999998</v>
      </c>
      <c r="F26" s="7">
        <f t="shared" si="0"/>
        <v>1.718247021130445</v>
      </c>
      <c r="G26">
        <f t="shared" si="1"/>
        <v>1.2066572723585807</v>
      </c>
      <c r="H26">
        <f>1-_xlfn.NORM.DIST(0,F26,G26,TRUE)</f>
        <v>0.92277281337114969</v>
      </c>
      <c r="J26">
        <f t="shared" si="2"/>
        <v>0.88321990762555558</v>
      </c>
      <c r="K26">
        <f t="shared" si="3"/>
        <v>0.57717165895791922</v>
      </c>
      <c r="L26" s="7">
        <f t="shared" si="5"/>
        <v>0.93702320832114705</v>
      </c>
      <c r="M26" s="30"/>
      <c r="N26" s="30"/>
      <c r="O26" s="30"/>
      <c r="P26" s="30"/>
      <c r="Q26" s="30"/>
      <c r="R26" s="30"/>
    </row>
    <row r="27" spans="1:18" ht="15" customHeight="1" x14ac:dyDescent="0.25">
      <c r="E27" s="126">
        <v>2.4</v>
      </c>
      <c r="F27" s="7">
        <f t="shared" si="0"/>
        <v>1.7929534133535079</v>
      </c>
      <c r="G27">
        <f t="shared" si="1"/>
        <v>1.2401888630987905</v>
      </c>
      <c r="H27">
        <f t="shared" si="4"/>
        <v>0.92587071766365514</v>
      </c>
      <c r="J27">
        <f t="shared" si="2"/>
        <v>0.92162077317449276</v>
      </c>
      <c r="K27">
        <f t="shared" si="3"/>
        <v>0.59479056575687428</v>
      </c>
      <c r="L27" s="7">
        <f t="shared" si="5"/>
        <v>0.93936775867202349</v>
      </c>
      <c r="M27" s="30"/>
      <c r="N27" s="30"/>
      <c r="O27" s="30"/>
      <c r="P27" s="30"/>
      <c r="Q27" s="30"/>
      <c r="R27" s="30"/>
    </row>
    <row r="28" spans="1:18" x14ac:dyDescent="0.25">
      <c r="E28" s="126">
        <v>2.5</v>
      </c>
      <c r="F28" s="7">
        <f t="shared" si="0"/>
        <v>1.867659805576571</v>
      </c>
      <c r="G28">
        <f t="shared" si="1"/>
        <v>1.2737991258050065</v>
      </c>
      <c r="H28">
        <f t="shared" si="4"/>
        <v>0.92870475562723731</v>
      </c>
      <c r="J28">
        <f t="shared" si="2"/>
        <v>0.96002163872343005</v>
      </c>
      <c r="K28">
        <f t="shared" si="3"/>
        <v>0.61240947255582934</v>
      </c>
      <c r="L28" s="7">
        <f t="shared" si="5"/>
        <v>0.94151437396716042</v>
      </c>
      <c r="M28" s="30"/>
      <c r="N28" s="30"/>
      <c r="O28" s="30"/>
      <c r="P28" s="30"/>
      <c r="Q28" s="30"/>
      <c r="R28" s="30"/>
    </row>
    <row r="29" spans="1:18" x14ac:dyDescent="0.25">
      <c r="E29" s="126">
        <v>2.6</v>
      </c>
      <c r="F29" s="7">
        <f t="shared" si="0"/>
        <v>1.9423661977996338</v>
      </c>
      <c r="G29">
        <f t="shared" si="1"/>
        <v>1.3074819934430593</v>
      </c>
      <c r="H29">
        <f t="shared" si="4"/>
        <v>0.93130458206815503</v>
      </c>
      <c r="J29">
        <f t="shared" si="2"/>
        <v>0.99842250427236734</v>
      </c>
      <c r="K29">
        <f t="shared" si="3"/>
        <v>0.63002837935478428</v>
      </c>
      <c r="L29" s="7">
        <f t="shared" si="5"/>
        <v>0.94348572625833804</v>
      </c>
      <c r="M29" s="30"/>
      <c r="N29" s="30"/>
      <c r="O29" s="30"/>
      <c r="P29" s="30"/>
      <c r="Q29" s="30"/>
      <c r="R29" s="30"/>
    </row>
    <row r="30" spans="1:18" x14ac:dyDescent="0.25">
      <c r="E30" s="126">
        <v>2.7</v>
      </c>
      <c r="F30" s="7">
        <f t="shared" si="0"/>
        <v>2.0170725900226967</v>
      </c>
      <c r="G30">
        <f t="shared" si="1"/>
        <v>1.3412319959585592</v>
      </c>
      <c r="H30">
        <f t="shared" si="4"/>
        <v>0.93369584543371875</v>
      </c>
      <c r="J30">
        <f t="shared" si="2"/>
        <v>1.0368233698213045</v>
      </c>
      <c r="K30">
        <f t="shared" si="3"/>
        <v>0.64764728615373934</v>
      </c>
      <c r="L30" s="7">
        <f t="shared" si="5"/>
        <v>0.94530129112210404</v>
      </c>
      <c r="M30" s="30"/>
      <c r="N30" s="30"/>
      <c r="O30" s="30"/>
      <c r="P30" s="30"/>
      <c r="Q30" s="30"/>
      <c r="R30" s="30"/>
    </row>
    <row r="31" spans="1:18" x14ac:dyDescent="0.25">
      <c r="E31" s="126">
        <v>2.8</v>
      </c>
      <c r="F31" s="7">
        <f t="shared" si="0"/>
        <v>2.0917789822457591</v>
      </c>
      <c r="G31">
        <f t="shared" si="1"/>
        <v>1.3750441899506478</v>
      </c>
      <c r="H31">
        <f t="shared" si="4"/>
        <v>0.9359008060451609</v>
      </c>
      <c r="J31">
        <f t="shared" si="2"/>
        <v>1.0752242353702415</v>
      </c>
      <c r="K31">
        <f t="shared" si="3"/>
        <v>0.66526619295269429</v>
      </c>
      <c r="L31" s="7">
        <f t="shared" si="5"/>
        <v>0.946977874164734</v>
      </c>
      <c r="M31" s="30"/>
      <c r="N31" s="30"/>
      <c r="O31" s="30"/>
      <c r="P31" s="30"/>
      <c r="Q31" s="30"/>
      <c r="R31" s="30"/>
    </row>
    <row r="32" spans="1:18" x14ac:dyDescent="0.25">
      <c r="E32" s="126">
        <v>2.9</v>
      </c>
      <c r="F32" s="7">
        <f t="shared" si="0"/>
        <v>2.1664853744688219</v>
      </c>
      <c r="G32">
        <f t="shared" si="1"/>
        <v>1.4089140978711208</v>
      </c>
      <c r="H32">
        <f t="shared" si="4"/>
        <v>0.93793884897326918</v>
      </c>
      <c r="J32">
        <f t="shared" si="2"/>
        <v>1.1136251009191789</v>
      </c>
      <c r="K32">
        <f t="shared" si="3"/>
        <v>0.68288509975164935</v>
      </c>
      <c r="L32" s="7">
        <f t="shared" si="5"/>
        <v>0.94853003946395664</v>
      </c>
      <c r="M32" s="30"/>
      <c r="N32" s="30"/>
      <c r="O32" s="30"/>
      <c r="P32" s="30"/>
      <c r="Q32" s="30"/>
      <c r="R32" s="30"/>
    </row>
    <row r="33" spans="5:18" x14ac:dyDescent="0.25">
      <c r="E33" s="126">
        <v>3</v>
      </c>
      <c r="F33" s="7">
        <f t="shared" si="0"/>
        <v>2.2411917666918848</v>
      </c>
      <c r="G33">
        <f t="shared" si="1"/>
        <v>1.4428376553070215</v>
      </c>
      <c r="H33">
        <f t="shared" si="4"/>
        <v>0.93982691088231385</v>
      </c>
      <c r="J33">
        <f t="shared" si="2"/>
        <v>1.1520259664681161</v>
      </c>
      <c r="K33">
        <f t="shared" si="3"/>
        <v>0.70050400655060441</v>
      </c>
      <c r="L33" s="7">
        <f t="shared" si="5"/>
        <v>0.9499704601420883</v>
      </c>
      <c r="M33" s="30"/>
      <c r="N33" s="30"/>
      <c r="O33" s="30"/>
      <c r="P33" s="30"/>
      <c r="Q33" s="30"/>
      <c r="R33" s="30"/>
    </row>
    <row r="34" spans="5:18" x14ac:dyDescent="0.25">
      <c r="E34" s="126">
        <v>3.1</v>
      </c>
      <c r="F34" s="7">
        <f t="shared" si="0"/>
        <v>2.3158981589149481</v>
      </c>
      <c r="G34">
        <f t="shared" si="1"/>
        <v>1.4768111651435469</v>
      </c>
      <c r="H34">
        <f t="shared" si="4"/>
        <v>0.94157983643828658</v>
      </c>
      <c r="J34">
        <f t="shared" si="2"/>
        <v>1.1904268320170532</v>
      </c>
      <c r="K34">
        <f t="shared" si="3"/>
        <v>0.71812291334955947</v>
      </c>
      <c r="L34" s="7">
        <f t="shared" si="5"/>
        <v>0.95131020674204381</v>
      </c>
      <c r="M34" s="30"/>
      <c r="N34" s="30"/>
      <c r="O34" s="30"/>
      <c r="P34" s="30"/>
      <c r="Q34" s="30"/>
      <c r="R34" s="30"/>
    </row>
    <row r="35" spans="5:18" x14ac:dyDescent="0.25">
      <c r="E35" s="126">
        <v>3.2</v>
      </c>
      <c r="F35" s="7">
        <f t="shared" si="0"/>
        <v>2.390604551138011</v>
      </c>
      <c r="G35">
        <f t="shared" si="1"/>
        <v>1.5108312576003733</v>
      </c>
      <c r="H35">
        <f t="shared" si="4"/>
        <v>0.94321067688686355</v>
      </c>
      <c r="J35">
        <f t="shared" si="2"/>
        <v>1.2288276975659906</v>
      </c>
      <c r="K35">
        <f t="shared" si="3"/>
        <v>0.73574182014851441</v>
      </c>
      <c r="L35" s="7">
        <f t="shared" si="5"/>
        <v>0.95255898564248942</v>
      </c>
      <c r="M35" s="30"/>
      <c r="N35" s="30"/>
      <c r="O35" s="30"/>
      <c r="P35" s="30"/>
      <c r="Q35" s="30"/>
      <c r="R35" s="30"/>
    </row>
    <row r="36" spans="5:18" x14ac:dyDescent="0.25">
      <c r="E36" s="126">
        <v>3.3</v>
      </c>
      <c r="F36" s="7">
        <f t="shared" si="0"/>
        <v>2.4653109433610734</v>
      </c>
      <c r="G36">
        <f t="shared" si="1"/>
        <v>1.5448948552962813</v>
      </c>
      <c r="H36">
        <f t="shared" si="4"/>
        <v>0.94473094100950195</v>
      </c>
      <c r="J36">
        <f t="shared" si="2"/>
        <v>1.2672285631149276</v>
      </c>
      <c r="K36">
        <f t="shared" si="3"/>
        <v>0.75336072694746947</v>
      </c>
      <c r="L36" s="7">
        <f t="shared" si="5"/>
        <v>0.95372533712299368</v>
      </c>
      <c r="M36" s="30"/>
      <c r="N36" s="30"/>
      <c r="O36" s="30"/>
      <c r="P36" s="30"/>
      <c r="Q36" s="30"/>
      <c r="R36" s="30"/>
    </row>
    <row r="37" spans="5:18" x14ac:dyDescent="0.25">
      <c r="E37" s="126">
        <v>3.4</v>
      </c>
      <c r="F37" s="7">
        <f t="shared" si="0"/>
        <v>2.5400173355841362</v>
      </c>
      <c r="G37">
        <f t="shared" si="1"/>
        <v>1.5789991426306791</v>
      </c>
      <c r="H37">
        <f t="shared" si="4"/>
        <v>0.94615080674394914</v>
      </c>
      <c r="J37">
        <f t="shared" si="2"/>
        <v>1.3056294286638648</v>
      </c>
      <c r="K37">
        <f t="shared" si="3"/>
        <v>0.77097963374642442</v>
      </c>
      <c r="L37" s="7">
        <f t="shared" si="5"/>
        <v>0.9548168006711939</v>
      </c>
      <c r="M37" s="30"/>
      <c r="N37" s="30"/>
      <c r="O37" s="30"/>
      <c r="P37" s="30"/>
      <c r="Q37" s="30"/>
      <c r="R37" s="30"/>
    </row>
    <row r="38" spans="5:18" ht="15" customHeight="1" x14ac:dyDescent="0.25">
      <c r="E38" s="126">
        <v>3.5</v>
      </c>
      <c r="F38" s="7">
        <f t="shared" si="0"/>
        <v>2.6147237278071991</v>
      </c>
      <c r="G38">
        <f t="shared" si="1"/>
        <v>1.613141538881455</v>
      </c>
      <c r="H38">
        <f t="shared" si="4"/>
        <v>0.94747930021239168</v>
      </c>
      <c r="J38">
        <f t="shared" si="2"/>
        <v>1.3440302942128022</v>
      </c>
      <c r="K38">
        <f t="shared" si="3"/>
        <v>0.78859854054537948</v>
      </c>
      <c r="L38" s="7">
        <f t="shared" si="5"/>
        <v>0.95584005356234336</v>
      </c>
      <c r="M38" s="30"/>
      <c r="N38" s="30"/>
      <c r="O38" s="30"/>
      <c r="P38" s="30"/>
      <c r="Q38" s="30"/>
      <c r="R38" s="30"/>
    </row>
    <row r="39" spans="5:18" x14ac:dyDescent="0.25">
      <c r="E39" s="126">
        <v>3.6</v>
      </c>
      <c r="F39" s="7">
        <f t="shared" si="0"/>
        <v>2.6894301200302619</v>
      </c>
      <c r="G39">
        <f t="shared" si="1"/>
        <v>1.6473196745107328</v>
      </c>
      <c r="H39">
        <f t="shared" si="4"/>
        <v>0.9487244476597102</v>
      </c>
      <c r="J39">
        <f t="shared" si="2"/>
        <v>1.3824311597617394</v>
      </c>
      <c r="K39">
        <f t="shared" si="3"/>
        <v>0.80621744734433454</v>
      </c>
      <c r="L39" s="7">
        <f t="shared" si="5"/>
        <v>0.95680102752665508</v>
      </c>
      <c r="M39" s="30"/>
      <c r="N39" s="30"/>
      <c r="O39" s="30"/>
      <c r="P39" s="30"/>
      <c r="Q39" s="30"/>
      <c r="R39" s="30"/>
    </row>
    <row r="40" spans="5:18" x14ac:dyDescent="0.25">
      <c r="E40" s="126">
        <v>3.7</v>
      </c>
      <c r="F40" s="7">
        <f t="shared" si="0"/>
        <v>2.7641365122533248</v>
      </c>
      <c r="G40">
        <f t="shared" si="1"/>
        <v>1.6815313702468868</v>
      </c>
      <c r="H40">
        <f t="shared" si="4"/>
        <v>0.9498934048046267</v>
      </c>
      <c r="J40">
        <f t="shared" si="2"/>
        <v>1.4208320253106765</v>
      </c>
      <c r="K40">
        <f t="shared" si="3"/>
        <v>0.82383635414328948</v>
      </c>
      <c r="L40" s="7">
        <f t="shared" si="5"/>
        <v>0.95770500736936792</v>
      </c>
      <c r="M40" s="30"/>
      <c r="N40" s="30"/>
      <c r="O40" s="30"/>
      <c r="P40" s="30"/>
      <c r="Q40" s="30"/>
      <c r="R40" s="30"/>
    </row>
    <row r="41" spans="5:18" ht="15" customHeight="1" x14ac:dyDescent="0.25">
      <c r="E41" s="126">
        <v>3.8</v>
      </c>
      <c r="F41" s="7">
        <f t="shared" si="0"/>
        <v>2.8388429044763877</v>
      </c>
      <c r="G41">
        <f t="shared" si="1"/>
        <v>1.7157746185753842</v>
      </c>
      <c r="H41">
        <f t="shared" si="4"/>
        <v>0.95099256729925041</v>
      </c>
      <c r="J41">
        <f t="shared" si="2"/>
        <v>1.4592328908596135</v>
      </c>
      <c r="K41">
        <f t="shared" si="3"/>
        <v>0.84145526094224454</v>
      </c>
      <c r="L41" s="7">
        <f t="shared" si="5"/>
        <v>0.95855671466087533</v>
      </c>
      <c r="M41" s="30"/>
      <c r="N41" s="30"/>
      <c r="O41" s="30"/>
      <c r="P41" s="30"/>
      <c r="Q41" s="30"/>
      <c r="R41" s="30"/>
    </row>
    <row r="42" spans="5:18" x14ac:dyDescent="0.25">
      <c r="E42" s="126">
        <v>3.9</v>
      </c>
      <c r="F42" s="7">
        <f t="shared" si="0"/>
        <v>2.9135492966994505</v>
      </c>
      <c r="G42">
        <f t="shared" si="1"/>
        <v>1.7500475673248275</v>
      </c>
      <c r="H42">
        <f t="shared" si="4"/>
        <v>0.95202766533899863</v>
      </c>
      <c r="J42">
        <f t="shared" si="2"/>
        <v>1.4976337564085509</v>
      </c>
      <c r="K42">
        <f t="shared" si="3"/>
        <v>0.85907416774119949</v>
      </c>
      <c r="L42" s="7">
        <f t="shared" si="5"/>
        <v>0.95936037902319959</v>
      </c>
      <c r="M42" s="30"/>
      <c r="N42" s="30"/>
      <c r="O42" s="30"/>
      <c r="P42" s="30"/>
      <c r="Q42" s="30"/>
      <c r="R42" s="30"/>
    </row>
    <row r="43" spans="5:18" x14ac:dyDescent="0.25">
      <c r="E43" s="126">
        <v>4</v>
      </c>
      <c r="F43" s="7">
        <f t="shared" si="0"/>
        <v>2.9882556889225134</v>
      </c>
      <c r="G43">
        <f t="shared" si="1"/>
        <v>1.7843485050797943</v>
      </c>
      <c r="H43">
        <f t="shared" si="4"/>
        <v>0.9530038449344217</v>
      </c>
      <c r="J43">
        <f t="shared" si="2"/>
        <v>1.5360346219574881</v>
      </c>
      <c r="K43">
        <f t="shared" si="3"/>
        <v>0.87669307454015455</v>
      </c>
      <c r="L43" s="7">
        <f t="shared" si="5"/>
        <v>0.96011979906945766</v>
      </c>
      <c r="M43" s="30"/>
      <c r="N43" s="30"/>
      <c r="O43" s="30"/>
      <c r="P43" s="30"/>
      <c r="Q43" s="30"/>
      <c r="R43" s="30"/>
    </row>
    <row r="44" spans="5:18" x14ac:dyDescent="0.25">
      <c r="M44" s="30"/>
      <c r="N44" s="30"/>
      <c r="O44" s="30"/>
      <c r="P44" s="30"/>
      <c r="Q44" s="30"/>
      <c r="R44" s="30"/>
    </row>
    <row r="45" spans="5:18" x14ac:dyDescent="0.25">
      <c r="M45" s="30"/>
      <c r="N45" s="30"/>
      <c r="O45" s="30"/>
      <c r="P45" s="30"/>
      <c r="Q45" s="30"/>
      <c r="R45" s="30"/>
    </row>
    <row r="46" spans="5:18" x14ac:dyDescent="0.25">
      <c r="M46" s="30"/>
      <c r="N46" s="30"/>
      <c r="O46" s="30"/>
      <c r="P46" s="30"/>
      <c r="Q46" s="30"/>
      <c r="R46" s="30"/>
    </row>
    <row r="47" spans="5:18" x14ac:dyDescent="0.25">
      <c r="M47" s="30"/>
      <c r="N47" s="30"/>
      <c r="O47" s="30"/>
      <c r="P47" s="30"/>
      <c r="Q47" s="30"/>
      <c r="R47" s="30"/>
    </row>
    <row r="48" spans="5:18" x14ac:dyDescent="0.25">
      <c r="M48" s="30"/>
      <c r="N48" s="30"/>
      <c r="O48" s="30"/>
      <c r="P48" s="30"/>
      <c r="Q48" s="30"/>
      <c r="R48" s="30"/>
    </row>
    <row r="49" spans="13:18" x14ac:dyDescent="0.25">
      <c r="M49" s="30"/>
      <c r="N49" s="30"/>
      <c r="O49" s="30"/>
      <c r="P49" s="30"/>
      <c r="Q49" s="30"/>
      <c r="R49" s="30"/>
    </row>
    <row r="50" spans="13:18" x14ac:dyDescent="0.25">
      <c r="M50" s="30"/>
      <c r="N50" s="30"/>
      <c r="O50" s="30"/>
      <c r="P50" s="30"/>
      <c r="Q50" s="30"/>
      <c r="R50" s="30"/>
    </row>
    <row r="51" spans="13:18" x14ac:dyDescent="0.25">
      <c r="M51" s="30"/>
      <c r="N51" s="30"/>
      <c r="O51" s="30"/>
      <c r="P51" s="30"/>
      <c r="Q51" s="30"/>
      <c r="R51" s="30"/>
    </row>
    <row r="52" spans="13:18" x14ac:dyDescent="0.25">
      <c r="M52" s="30"/>
      <c r="N52" s="30"/>
      <c r="O52" s="30"/>
      <c r="P52" s="30"/>
      <c r="Q52" s="30"/>
      <c r="R52" s="30"/>
    </row>
    <row r="53" spans="13:18" x14ac:dyDescent="0.25">
      <c r="M53" s="30"/>
      <c r="N53" s="30"/>
      <c r="O53" s="30"/>
      <c r="P53" s="30"/>
      <c r="Q53" s="30"/>
      <c r="R53" s="30"/>
    </row>
    <row r="54" spans="13:18" x14ac:dyDescent="0.25">
      <c r="M54" s="30"/>
      <c r="N54" s="30"/>
      <c r="O54" s="30"/>
      <c r="P54" s="30"/>
      <c r="Q54" s="30"/>
      <c r="R54" s="30"/>
    </row>
    <row r="55" spans="13:18" x14ac:dyDescent="0.25">
      <c r="M55" s="30"/>
      <c r="N55" s="30"/>
      <c r="O55" s="30"/>
      <c r="P55" s="30"/>
      <c r="Q55" s="30"/>
      <c r="R55" s="30"/>
    </row>
    <row r="56" spans="13:18" x14ac:dyDescent="0.25">
      <c r="M56" s="30"/>
      <c r="N56" s="30"/>
      <c r="O56" s="30"/>
      <c r="P56" s="30"/>
      <c r="Q56" s="30"/>
      <c r="R56" s="30"/>
    </row>
    <row r="57" spans="13:18" x14ac:dyDescent="0.25">
      <c r="M57" s="30"/>
      <c r="N57" s="30"/>
      <c r="O57" s="30"/>
      <c r="P57" s="30"/>
      <c r="Q57" s="30"/>
      <c r="R57" s="30"/>
    </row>
    <row r="58" spans="13:18" x14ac:dyDescent="0.25">
      <c r="M58" s="30"/>
      <c r="N58" s="30"/>
      <c r="O58" s="30"/>
      <c r="P58" s="30"/>
      <c r="Q58" s="30"/>
      <c r="R58" s="30"/>
    </row>
    <row r="59" spans="13:18" x14ac:dyDescent="0.25">
      <c r="M59" s="30"/>
      <c r="N59" s="30"/>
      <c r="O59" s="30"/>
      <c r="P59" s="30"/>
      <c r="Q59" s="30"/>
      <c r="R59" s="30"/>
    </row>
    <row r="60" spans="13:18" x14ac:dyDescent="0.25">
      <c r="M60" s="30"/>
      <c r="N60" s="30"/>
      <c r="O60" s="30"/>
      <c r="P60" s="30"/>
      <c r="Q60" s="30"/>
      <c r="R60" s="30"/>
    </row>
    <row r="61" spans="13:18" x14ac:dyDescent="0.25">
      <c r="M61" s="30"/>
      <c r="N61" s="30"/>
      <c r="O61" s="30"/>
      <c r="P61" s="30"/>
      <c r="Q61" s="30"/>
      <c r="R61" s="30"/>
    </row>
    <row r="62" spans="13:18" x14ac:dyDescent="0.25">
      <c r="M62" s="30"/>
      <c r="N62" s="30"/>
      <c r="O62" s="30"/>
      <c r="P62" s="30"/>
      <c r="Q62" s="30"/>
      <c r="R62" s="30"/>
    </row>
    <row r="63" spans="13:18" x14ac:dyDescent="0.25">
      <c r="M63" s="30"/>
      <c r="N63" s="30"/>
      <c r="O63" s="30"/>
      <c r="P63" s="30"/>
      <c r="Q63" s="30"/>
      <c r="R63" s="30"/>
    </row>
    <row r="64" spans="13:18" x14ac:dyDescent="0.25">
      <c r="M64" s="30"/>
      <c r="N64" s="30"/>
      <c r="O64" s="30"/>
      <c r="P64" s="30"/>
      <c r="Q64" s="30"/>
      <c r="R64" s="30"/>
    </row>
    <row r="65" spans="13:18" x14ac:dyDescent="0.25">
      <c r="M65" s="30"/>
      <c r="N65" s="30"/>
      <c r="O65" s="30"/>
      <c r="P65" s="30"/>
      <c r="Q65" s="30"/>
      <c r="R65" s="30"/>
    </row>
    <row r="66" spans="13:18" x14ac:dyDescent="0.25">
      <c r="M66" s="30"/>
      <c r="N66" s="30"/>
      <c r="O66" s="30"/>
      <c r="P66" s="30"/>
      <c r="Q66" s="30"/>
      <c r="R66" s="30"/>
    </row>
    <row r="67" spans="13:18" x14ac:dyDescent="0.25">
      <c r="M67" s="30"/>
      <c r="N67" s="30"/>
      <c r="O67" s="30"/>
      <c r="P67" s="30"/>
      <c r="Q67" s="30"/>
      <c r="R67" s="30"/>
    </row>
    <row r="68" spans="13:18" x14ac:dyDescent="0.25">
      <c r="M68" s="30"/>
      <c r="N68" s="30"/>
      <c r="O68" s="30"/>
      <c r="P68" s="30"/>
      <c r="Q68" s="30"/>
      <c r="R68" s="30"/>
    </row>
    <row r="69" spans="13:18" x14ac:dyDescent="0.25">
      <c r="M69" s="30"/>
      <c r="N69" s="30"/>
      <c r="O69" s="30"/>
      <c r="P69" s="30"/>
      <c r="Q69" s="30"/>
      <c r="R69" s="30"/>
    </row>
    <row r="70" spans="13:18" x14ac:dyDescent="0.25">
      <c r="M70" s="30"/>
      <c r="N70" s="30"/>
      <c r="O70" s="30"/>
      <c r="P70" s="30"/>
      <c r="Q70" s="30"/>
      <c r="R70" s="30"/>
    </row>
    <row r="71" spans="13:18" x14ac:dyDescent="0.25">
      <c r="M71" s="30"/>
      <c r="N71" s="30"/>
      <c r="O71" s="30"/>
      <c r="P71" s="30"/>
      <c r="Q71" s="30"/>
      <c r="R71" s="30"/>
    </row>
    <row r="72" spans="13:18" x14ac:dyDescent="0.25">
      <c r="M72" s="30"/>
      <c r="N72" s="30"/>
      <c r="O72" s="30"/>
      <c r="P72" s="30"/>
      <c r="Q72" s="30"/>
      <c r="R72" s="30"/>
    </row>
    <row r="73" spans="13:18" x14ac:dyDescent="0.25">
      <c r="M73" s="30"/>
      <c r="N73" s="30"/>
      <c r="O73" s="30"/>
      <c r="P73" s="30"/>
      <c r="Q73" s="30"/>
      <c r="R73" s="30"/>
    </row>
    <row r="74" spans="13:18" x14ac:dyDescent="0.25">
      <c r="M74" s="30"/>
      <c r="N74" s="30"/>
      <c r="O74" s="30"/>
      <c r="P74" s="30"/>
      <c r="Q74" s="30"/>
      <c r="R74" s="30"/>
    </row>
    <row r="75" spans="13:18" x14ac:dyDescent="0.25">
      <c r="M75" s="30"/>
      <c r="N75" s="30"/>
      <c r="O75" s="30"/>
      <c r="P75" s="30"/>
      <c r="Q75" s="30"/>
      <c r="R75" s="30"/>
    </row>
    <row r="76" spans="13:18" x14ac:dyDescent="0.25">
      <c r="M76" s="30"/>
      <c r="N76" s="30"/>
      <c r="O76" s="30"/>
      <c r="P76" s="30"/>
      <c r="Q76" s="30"/>
      <c r="R76" s="30"/>
    </row>
    <row r="77" spans="13:18" x14ac:dyDescent="0.25">
      <c r="M77" s="30"/>
      <c r="N77" s="30"/>
      <c r="O77" s="30"/>
      <c r="P77" s="30"/>
      <c r="Q77" s="30"/>
      <c r="R77" s="30"/>
    </row>
    <row r="78" spans="13:18" x14ac:dyDescent="0.25">
      <c r="M78" s="30"/>
      <c r="N78" s="30"/>
      <c r="O78" s="30"/>
      <c r="P78" s="30"/>
      <c r="Q78" s="30"/>
      <c r="R78" s="30"/>
    </row>
    <row r="79" spans="13:18" x14ac:dyDescent="0.25">
      <c r="M79" s="30"/>
      <c r="N79" s="30"/>
      <c r="O79" s="30"/>
      <c r="P79" s="30"/>
      <c r="Q79" s="30"/>
      <c r="R79" s="30"/>
    </row>
    <row r="80" spans="13:18" x14ac:dyDescent="0.25">
      <c r="M80" s="30"/>
      <c r="N80" s="30"/>
      <c r="O80" s="30"/>
      <c r="P80" s="30"/>
      <c r="Q80" s="30"/>
      <c r="R80" s="30"/>
    </row>
    <row r="81" spans="13:18" x14ac:dyDescent="0.25">
      <c r="M81" s="30"/>
      <c r="N81" s="30"/>
      <c r="O81" s="30"/>
      <c r="P81" s="30"/>
      <c r="Q81" s="30"/>
      <c r="R81" s="30"/>
    </row>
    <row r="82" spans="13:18" x14ac:dyDescent="0.25">
      <c r="M82" s="30"/>
      <c r="N82" s="30"/>
      <c r="O82" s="30"/>
      <c r="P82" s="30"/>
      <c r="Q82" s="30"/>
      <c r="R82" s="30"/>
    </row>
    <row r="83" spans="13:18" x14ac:dyDescent="0.25">
      <c r="M83" s="30"/>
      <c r="N83" s="30"/>
      <c r="O83" s="30"/>
      <c r="P83" s="30"/>
      <c r="Q83" s="30"/>
      <c r="R83" s="30"/>
    </row>
    <row r="84" spans="13:18" x14ac:dyDescent="0.25">
      <c r="M84" s="30"/>
      <c r="N84" s="30"/>
      <c r="O84" s="30"/>
      <c r="P84" s="30"/>
      <c r="Q84" s="30"/>
      <c r="R84" s="30"/>
    </row>
    <row r="85" spans="13:18" x14ac:dyDescent="0.25">
      <c r="M85" s="30"/>
      <c r="N85" s="30"/>
      <c r="O85" s="30"/>
      <c r="P85" s="30"/>
      <c r="Q85" s="30"/>
      <c r="R85" s="30"/>
    </row>
    <row r="86" spans="13:18" x14ac:dyDescent="0.25">
      <c r="M86" s="30"/>
      <c r="N86" s="30"/>
      <c r="O86" s="30"/>
      <c r="P86" s="30"/>
      <c r="Q86" s="30"/>
      <c r="R86" s="30"/>
    </row>
    <row r="87" spans="13:18" x14ac:dyDescent="0.25">
      <c r="M87" s="30"/>
      <c r="N87" s="30"/>
      <c r="O87" s="30"/>
      <c r="P87" s="30"/>
      <c r="Q87" s="30"/>
      <c r="R87" s="30"/>
    </row>
    <row r="88" spans="13:18" x14ac:dyDescent="0.25">
      <c r="M88" s="30"/>
      <c r="N88" s="30"/>
      <c r="O88" s="30"/>
      <c r="P88" s="30"/>
      <c r="Q88" s="30"/>
      <c r="R88" s="30"/>
    </row>
    <row r="89" spans="13:18" x14ac:dyDescent="0.25">
      <c r="M89" s="30"/>
      <c r="N89" s="30"/>
      <c r="O89" s="30"/>
      <c r="P89" s="30"/>
      <c r="Q89" s="30"/>
      <c r="R89" s="30"/>
    </row>
    <row r="90" spans="13:18" x14ac:dyDescent="0.25">
      <c r="M90" s="30"/>
      <c r="N90" s="30"/>
      <c r="O90" s="30"/>
      <c r="P90" s="30"/>
      <c r="Q90" s="30"/>
      <c r="R90" s="30"/>
    </row>
    <row r="91" spans="13:18" x14ac:dyDescent="0.25">
      <c r="M91" s="30"/>
      <c r="N91" s="30"/>
      <c r="O91" s="30"/>
      <c r="P91" s="30"/>
      <c r="Q91" s="30"/>
      <c r="R91" s="30"/>
    </row>
    <row r="92" spans="13:18" x14ac:dyDescent="0.25">
      <c r="M92" s="30"/>
      <c r="N92" s="30"/>
      <c r="O92" s="30"/>
      <c r="P92" s="30"/>
      <c r="Q92" s="30"/>
      <c r="R92" s="30"/>
    </row>
    <row r="93" spans="13:18" x14ac:dyDescent="0.25">
      <c r="M93" s="30"/>
      <c r="N93" s="30"/>
      <c r="O93" s="30"/>
      <c r="P93" s="30"/>
      <c r="Q93" s="30"/>
      <c r="R93" s="30"/>
    </row>
    <row r="94" spans="13:18" x14ac:dyDescent="0.25">
      <c r="M94" s="30"/>
      <c r="N94" s="30"/>
      <c r="O94" s="30"/>
      <c r="P94" s="30"/>
      <c r="Q94" s="30"/>
      <c r="R94" s="30"/>
    </row>
    <row r="95" spans="13:18" x14ac:dyDescent="0.25">
      <c r="M95" s="30"/>
      <c r="N95" s="30"/>
      <c r="O95" s="30"/>
      <c r="P95" s="30"/>
      <c r="Q95" s="30"/>
      <c r="R95" s="30"/>
    </row>
    <row r="96" spans="13:18" x14ac:dyDescent="0.25">
      <c r="M96" s="30"/>
      <c r="N96" s="30"/>
      <c r="O96" s="30"/>
      <c r="P96" s="30"/>
      <c r="Q96" s="30"/>
      <c r="R96" s="30"/>
    </row>
    <row r="97" spans="13:18" x14ac:dyDescent="0.25">
      <c r="M97" s="30"/>
      <c r="N97" s="30"/>
      <c r="O97" s="30"/>
      <c r="P97" s="30"/>
      <c r="Q97" s="30"/>
      <c r="R97" s="30"/>
    </row>
    <row r="98" spans="13:18" x14ac:dyDescent="0.25">
      <c r="M98" s="30"/>
      <c r="N98" s="30"/>
      <c r="O98" s="30"/>
      <c r="P98" s="30"/>
      <c r="Q98" s="30"/>
      <c r="R98" s="30"/>
    </row>
    <row r="99" spans="13:18" x14ac:dyDescent="0.25">
      <c r="M99" s="30"/>
      <c r="N99" s="30"/>
      <c r="O99" s="30"/>
      <c r="P99" s="30"/>
      <c r="Q99" s="30"/>
      <c r="R99" s="30"/>
    </row>
    <row r="100" spans="13:18" x14ac:dyDescent="0.25">
      <c r="M100" s="30"/>
      <c r="N100" s="30"/>
      <c r="O100" s="30"/>
      <c r="P100" s="30"/>
      <c r="Q100" s="30"/>
      <c r="R100" s="30"/>
    </row>
    <row r="101" spans="13:18" x14ac:dyDescent="0.25">
      <c r="M101" s="30"/>
      <c r="N101" s="30"/>
      <c r="O101" s="30"/>
      <c r="P101" s="30"/>
      <c r="Q101" s="30"/>
      <c r="R101" s="30"/>
    </row>
    <row r="102" spans="13:18" x14ac:dyDescent="0.25">
      <c r="M102" s="30"/>
      <c r="N102" s="30"/>
      <c r="O102" s="30"/>
      <c r="P102" s="30"/>
      <c r="Q102" s="30"/>
      <c r="R102" s="30"/>
    </row>
    <row r="103" spans="13:18" x14ac:dyDescent="0.25">
      <c r="M103" s="30"/>
      <c r="N103" s="30"/>
      <c r="O103" s="30"/>
      <c r="P103" s="30"/>
      <c r="Q103" s="30"/>
      <c r="R103" s="30"/>
    </row>
    <row r="104" spans="13:18" x14ac:dyDescent="0.25">
      <c r="M104" s="30"/>
      <c r="N104" s="30"/>
      <c r="O104" s="30"/>
      <c r="P104" s="30"/>
      <c r="Q104" s="30"/>
      <c r="R104" s="30"/>
    </row>
    <row r="105" spans="13:18" x14ac:dyDescent="0.25">
      <c r="M105" s="30"/>
      <c r="N105" s="30"/>
      <c r="O105" s="30"/>
      <c r="P105" s="30"/>
      <c r="Q105" s="30"/>
      <c r="R105" s="30"/>
    </row>
    <row r="106" spans="13:18" x14ac:dyDescent="0.25">
      <c r="M106" s="30"/>
      <c r="N106" s="30"/>
      <c r="O106" s="30"/>
      <c r="P106" s="30"/>
      <c r="Q106" s="30"/>
      <c r="R106" s="30"/>
    </row>
    <row r="107" spans="13:18" x14ac:dyDescent="0.25">
      <c r="M107" s="30"/>
      <c r="N107" s="30"/>
      <c r="O107" s="30"/>
      <c r="P107" s="30"/>
      <c r="Q107" s="30"/>
      <c r="R107" s="30"/>
    </row>
    <row r="108" spans="13:18" x14ac:dyDescent="0.25">
      <c r="M108" s="30"/>
      <c r="N108" s="30"/>
      <c r="O108" s="30"/>
      <c r="P108" s="30"/>
      <c r="Q108" s="30"/>
      <c r="R108" s="30"/>
    </row>
    <row r="109" spans="13:18" x14ac:dyDescent="0.25">
      <c r="M109" s="30"/>
      <c r="N109" s="30"/>
      <c r="O109" s="30"/>
      <c r="P109" s="30"/>
      <c r="Q109" s="30"/>
      <c r="R109" s="30"/>
    </row>
    <row r="110" spans="13:18" x14ac:dyDescent="0.25">
      <c r="M110" s="30"/>
      <c r="N110" s="30"/>
      <c r="O110" s="30"/>
      <c r="P110" s="30"/>
      <c r="Q110" s="30"/>
      <c r="R110" s="30"/>
    </row>
    <row r="111" spans="13:18" x14ac:dyDescent="0.25">
      <c r="M111" s="30"/>
      <c r="N111" s="30"/>
      <c r="O111" s="30"/>
      <c r="P111" s="30"/>
      <c r="Q111" s="30"/>
      <c r="R111" s="30"/>
    </row>
  </sheetData>
  <mergeCells count="7">
    <mergeCell ref="B3:C3"/>
    <mergeCell ref="J1:L1"/>
    <mergeCell ref="F1:H1"/>
    <mergeCell ref="O24:O25"/>
    <mergeCell ref="B7:C7"/>
    <mergeCell ref="M24:M25"/>
    <mergeCell ref="N24:N2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defaultColWidth="8.85546875" defaultRowHeight="15" x14ac:dyDescent="0.25"/>
  <cols>
    <col min="1" max="1" width="15.7109375" customWidth="1"/>
    <col min="2" max="2" width="20.7109375" customWidth="1"/>
  </cols>
  <sheetData>
    <row r="1" spans="1:15" x14ac:dyDescent="0.25">
      <c r="A1" s="105" t="s">
        <v>18</v>
      </c>
    </row>
    <row r="2" spans="1:15" x14ac:dyDescent="0.25">
      <c r="B2" s="109" t="s">
        <v>135</v>
      </c>
    </row>
    <row r="3" spans="1:15" x14ac:dyDescent="0.25">
      <c r="B3" s="109"/>
      <c r="C3" s="27" t="s">
        <v>27</v>
      </c>
      <c r="D3" s="27" t="s">
        <v>28</v>
      </c>
      <c r="E3" s="27" t="s">
        <v>29</v>
      </c>
      <c r="F3" s="27" t="s">
        <v>30</v>
      </c>
      <c r="G3" s="27" t="s">
        <v>31</v>
      </c>
      <c r="H3" s="27" t="s">
        <v>32</v>
      </c>
      <c r="I3" s="27" t="s">
        <v>33</v>
      </c>
      <c r="J3" s="27" t="s">
        <v>34</v>
      </c>
      <c r="K3" s="27"/>
      <c r="L3" s="27" t="s">
        <v>35</v>
      </c>
      <c r="M3" s="27" t="s">
        <v>36</v>
      </c>
      <c r="N3" s="27" t="s">
        <v>37</v>
      </c>
      <c r="O3" s="27" t="s">
        <v>38</v>
      </c>
    </row>
    <row r="4" spans="1:15" x14ac:dyDescent="0.25">
      <c r="B4" s="30" t="s">
        <v>9</v>
      </c>
      <c r="C4">
        <v>12</v>
      </c>
      <c r="D4">
        <v>38</v>
      </c>
      <c r="E4">
        <v>14</v>
      </c>
      <c r="F4">
        <f>E4*E4</f>
        <v>196</v>
      </c>
      <c r="G4">
        <v>36</v>
      </c>
      <c r="H4">
        <v>60</v>
      </c>
      <c r="I4">
        <v>59</v>
      </c>
      <c r="J4">
        <f>I4*I4</f>
        <v>3481</v>
      </c>
      <c r="L4">
        <f>C4+G4</f>
        <v>48</v>
      </c>
      <c r="M4">
        <f>(C4*D4+G4*H4)/(C4+G4)</f>
        <v>54.5</v>
      </c>
      <c r="N4">
        <f>SQRT(O4)</f>
        <v>52.445209504777459</v>
      </c>
      <c r="O4">
        <f>(C4*F4 + G4*J4 + C4*(D4-M4)^2 + G4*(H4-M4)^2)/(C4+G4)</f>
        <v>2750.5</v>
      </c>
    </row>
    <row r="5" spans="1:15" x14ac:dyDescent="0.25">
      <c r="B5" s="30" t="s">
        <v>39</v>
      </c>
      <c r="C5">
        <v>12</v>
      </c>
      <c r="D5">
        <v>158</v>
      </c>
      <c r="E5">
        <v>115</v>
      </c>
      <c r="F5">
        <f>E5*E5</f>
        <v>13225</v>
      </c>
      <c r="G5">
        <v>36</v>
      </c>
      <c r="H5">
        <v>163</v>
      </c>
      <c r="I5">
        <v>290</v>
      </c>
      <c r="J5">
        <f>I5*I5</f>
        <v>84100</v>
      </c>
      <c r="L5">
        <f>C5+G5</f>
        <v>48</v>
      </c>
      <c r="M5">
        <f>(C5*D5+G5*H5)/(C5+G5)</f>
        <v>161.75</v>
      </c>
      <c r="N5">
        <f>SQRT(O5)</f>
        <v>257.65468654771252</v>
      </c>
      <c r="O5">
        <f>(C5*F5 + G5*J5 + C5*(D5-M5)^2 + G5*(H5-M5)^2)/(C5+G5)</f>
        <v>66385.9375</v>
      </c>
    </row>
    <row r="6" spans="1:15" x14ac:dyDescent="0.25">
      <c r="B6" s="30" t="s">
        <v>40</v>
      </c>
      <c r="C6">
        <v>12</v>
      </c>
      <c r="D6">
        <v>376</v>
      </c>
      <c r="E6">
        <v>240</v>
      </c>
      <c r="F6">
        <f>E6*E6</f>
        <v>57600</v>
      </c>
      <c r="G6">
        <v>36</v>
      </c>
      <c r="H6">
        <v>423</v>
      </c>
      <c r="I6">
        <v>542</v>
      </c>
      <c r="J6">
        <f>I6*I6</f>
        <v>293764</v>
      </c>
      <c r="L6">
        <f>C6+G6</f>
        <v>48</v>
      </c>
      <c r="M6">
        <f>(C6*D6+G6*H6)/(C6+G6)</f>
        <v>411.25</v>
      </c>
      <c r="N6">
        <f>SQRT(O6)</f>
        <v>484.90946319905947</v>
      </c>
      <c r="O6">
        <f>(C6*F6 + G6*J6 + C6*(D6-M6)^2 + G6*(H6-M6)^2)/(C6+G6)</f>
        <v>235137.1875</v>
      </c>
    </row>
    <row r="7" spans="1:15" s="28" customFormat="1" ht="15.75" thickBot="1" x14ac:dyDescent="0.3">
      <c r="B7" s="115"/>
    </row>
    <row r="8" spans="1:15" x14ac:dyDescent="0.25">
      <c r="B8" s="30"/>
    </row>
    <row r="9" spans="1:15" x14ac:dyDescent="0.25">
      <c r="A9" s="122" t="s">
        <v>25</v>
      </c>
      <c r="C9" s="6"/>
      <c r="D9" s="6"/>
      <c r="E9" s="8"/>
      <c r="F9" s="8"/>
      <c r="G9" s="8"/>
    </row>
    <row r="10" spans="1:15" x14ac:dyDescent="0.25">
      <c r="B10" s="15" t="s">
        <v>58</v>
      </c>
      <c r="C10" s="27" t="s">
        <v>54</v>
      </c>
      <c r="D10" s="27" t="s">
        <v>55</v>
      </c>
      <c r="E10" s="27" t="s">
        <v>56</v>
      </c>
      <c r="F10" s="27" t="s">
        <v>57</v>
      </c>
      <c r="G10" s="27"/>
      <c r="H10" s="27" t="s">
        <v>45</v>
      </c>
      <c r="I10" s="27" t="s">
        <v>53</v>
      </c>
      <c r="J10" s="27" t="s">
        <v>44</v>
      </c>
      <c r="K10" s="27" t="s">
        <v>43</v>
      </c>
      <c r="L10" s="27" t="s">
        <v>60</v>
      </c>
      <c r="M10" s="27" t="s">
        <v>61</v>
      </c>
      <c r="N10" s="27" t="s">
        <v>62</v>
      </c>
    </row>
    <row r="11" spans="1:15" x14ac:dyDescent="0.25">
      <c r="B11" s="123" t="s">
        <v>15</v>
      </c>
      <c r="C11">
        <v>26</v>
      </c>
      <c r="D11" s="32">
        <v>57.3</v>
      </c>
      <c r="E11" s="32">
        <v>31.73</v>
      </c>
      <c r="F11">
        <f>E11*E11</f>
        <v>1006.7929</v>
      </c>
      <c r="H11">
        <f>SUM(C11:C13)</f>
        <v>72</v>
      </c>
      <c r="I11">
        <f>SUMPRODUCT(C11:C13,D11:D13)/SUM(C11:C13)</f>
        <v>63.42777777777777</v>
      </c>
      <c r="J11">
        <f>SQRT(K11)</f>
        <v>33.616004712629163</v>
      </c>
      <c r="K11">
        <f>(L11+SUMPRODUCT(C11:C13,N11:N13))/H11</f>
        <v>1130.0357728395063</v>
      </c>
      <c r="L11">
        <f>SUMPRODUCT(C11:C13,F11:F13)</f>
        <v>79097.751200000013</v>
      </c>
      <c r="M11">
        <f>D11-I$11</f>
        <v>-6.1277777777777729</v>
      </c>
      <c r="N11">
        <f>M11^2</f>
        <v>37.549660493827098</v>
      </c>
    </row>
    <row r="12" spans="1:15" x14ac:dyDescent="0.25">
      <c r="B12" s="123" t="s">
        <v>52</v>
      </c>
      <c r="C12">
        <v>28</v>
      </c>
      <c r="D12" s="32">
        <v>70.099999999999994</v>
      </c>
      <c r="E12" s="32">
        <v>36.81</v>
      </c>
      <c r="F12">
        <f>E12*E12</f>
        <v>1354.9761000000001</v>
      </c>
      <c r="M12">
        <f>D12-I$11</f>
        <v>6.6722222222222243</v>
      </c>
      <c r="N12">
        <f>M12^2</f>
        <v>44.518549382716074</v>
      </c>
    </row>
    <row r="13" spans="1:15" x14ac:dyDescent="0.25">
      <c r="B13" s="123" t="s">
        <v>41</v>
      </c>
      <c r="C13">
        <v>18</v>
      </c>
      <c r="D13" s="32">
        <v>61.9</v>
      </c>
      <c r="E13" s="32">
        <v>28.85</v>
      </c>
      <c r="F13">
        <f>E13*E13</f>
        <v>832.3225000000001</v>
      </c>
      <c r="M13">
        <f>D13-I$11</f>
        <v>-1.5277777777777715</v>
      </c>
      <c r="N13">
        <f>M13^2</f>
        <v>2.3341049382715857</v>
      </c>
    </row>
    <row r="14" spans="1:15" x14ac:dyDescent="0.25">
      <c r="B14" s="30"/>
    </row>
    <row r="15" spans="1:15" x14ac:dyDescent="0.25">
      <c r="B15" s="26" t="s">
        <v>59</v>
      </c>
      <c r="C15" s="27" t="s">
        <v>54</v>
      </c>
      <c r="D15" s="27" t="s">
        <v>55</v>
      </c>
      <c r="E15" s="27" t="s">
        <v>56</v>
      </c>
      <c r="F15" s="27" t="s">
        <v>57</v>
      </c>
      <c r="G15" s="27"/>
      <c r="H15" s="27" t="s">
        <v>45</v>
      </c>
      <c r="I15" s="27" t="s">
        <v>53</v>
      </c>
      <c r="J15" s="27" t="s">
        <v>44</v>
      </c>
      <c r="K15" s="27" t="s">
        <v>43</v>
      </c>
      <c r="L15" s="27" t="s">
        <v>60</v>
      </c>
      <c r="M15" s="27" t="s">
        <v>61</v>
      </c>
      <c r="N15" s="27" t="s">
        <v>62</v>
      </c>
    </row>
    <row r="16" spans="1:15" x14ac:dyDescent="0.25">
      <c r="B16" s="123" t="s">
        <v>15</v>
      </c>
      <c r="C16">
        <v>26</v>
      </c>
      <c r="D16" s="32">
        <v>88.6</v>
      </c>
      <c r="E16" s="32">
        <v>79.430000000000007</v>
      </c>
      <c r="F16">
        <f>E16*E16</f>
        <v>6309.1249000000007</v>
      </c>
      <c r="H16">
        <f>SUM(C16:C18)</f>
        <v>72</v>
      </c>
      <c r="I16">
        <f>SUMPRODUCT(C16:C18,D16:D18)/SUM(C16:C18)</f>
        <v>115.48055555555554</v>
      </c>
      <c r="J16">
        <f>SQRT(K16)</f>
        <v>70.830460488582816</v>
      </c>
      <c r="K16">
        <f>(L16+SUMPRODUCT(C16:C18,N16:N18))/H16</f>
        <v>5016.9541330246921</v>
      </c>
      <c r="L16">
        <f>SUMPRODUCT(C16:C18,F16:F18)</f>
        <v>290509.82480000006</v>
      </c>
      <c r="M16">
        <f>D16-I$16</f>
        <v>-26.880555555555546</v>
      </c>
      <c r="N16">
        <f>M16^2</f>
        <v>722.5642669753081</v>
      </c>
    </row>
    <row r="17" spans="1:14" x14ac:dyDescent="0.25">
      <c r="B17" s="123" t="s">
        <v>52</v>
      </c>
      <c r="C17">
        <v>28</v>
      </c>
      <c r="D17" s="32">
        <v>154.69999999999999</v>
      </c>
      <c r="E17" s="32">
        <v>61.77</v>
      </c>
      <c r="F17">
        <f>E17*E17</f>
        <v>3815.5329000000006</v>
      </c>
      <c r="M17">
        <f>D17-I$16</f>
        <v>39.219444444444449</v>
      </c>
      <c r="N17">
        <f>M17^2</f>
        <v>1538.1648225308645</v>
      </c>
    </row>
    <row r="18" spans="1:14" x14ac:dyDescent="0.25">
      <c r="B18" s="123" t="s">
        <v>41</v>
      </c>
      <c r="C18">
        <v>18</v>
      </c>
      <c r="D18" s="32">
        <v>93.3</v>
      </c>
      <c r="E18" s="32">
        <v>33.03</v>
      </c>
      <c r="F18">
        <f>E18*E18</f>
        <v>1090.9809</v>
      </c>
      <c r="M18">
        <f>D18-I$16</f>
        <v>-22.180555555555543</v>
      </c>
      <c r="N18">
        <f>M18^2</f>
        <v>491.97704475308586</v>
      </c>
    </row>
    <row r="19" spans="1:14" s="28" customFormat="1" ht="15.75" thickBot="1" x14ac:dyDescent="0.3">
      <c r="B19" s="124"/>
      <c r="C19" s="34"/>
      <c r="D19" s="20"/>
      <c r="E19" s="17"/>
      <c r="F19" s="18"/>
      <c r="G19" s="35"/>
    </row>
    <row r="20" spans="1:14" x14ac:dyDescent="0.25">
      <c r="B20" s="30"/>
    </row>
    <row r="21" spans="1:14" x14ac:dyDescent="0.25">
      <c r="A21" s="125" t="s">
        <v>69</v>
      </c>
    </row>
    <row r="22" spans="1:14" x14ac:dyDescent="0.25">
      <c r="B22" s="30"/>
      <c r="C22" s="27" t="s">
        <v>90</v>
      </c>
      <c r="D22" s="27" t="s">
        <v>87</v>
      </c>
      <c r="E22" s="27" t="s">
        <v>88</v>
      </c>
      <c r="F22" s="27" t="s">
        <v>89</v>
      </c>
      <c r="G22" s="27"/>
      <c r="H22" s="121" t="s">
        <v>84</v>
      </c>
      <c r="I22" s="27" t="s">
        <v>86</v>
      </c>
      <c r="J22" s="27" t="s">
        <v>42</v>
      </c>
      <c r="K22" s="27" t="s">
        <v>85</v>
      </c>
      <c r="L22" s="27"/>
      <c r="M22" s="27" t="s">
        <v>44</v>
      </c>
    </row>
    <row r="23" spans="1:14" x14ac:dyDescent="0.25">
      <c r="B23" s="92" t="s">
        <v>138</v>
      </c>
      <c r="C23" s="5">
        <v>43.2</v>
      </c>
      <c r="D23">
        <v>176.21</v>
      </c>
      <c r="E23">
        <v>125.62</v>
      </c>
      <c r="F23">
        <f>ABS(D23-E23)</f>
        <v>50.59</v>
      </c>
      <c r="H23">
        <v>10.56</v>
      </c>
      <c r="I23">
        <v>32</v>
      </c>
      <c r="J23">
        <f>I23-1</f>
        <v>31</v>
      </c>
      <c r="K23">
        <f t="shared" ref="K23:K29" si="0">_xlfn.T.DIST.2T(H23,31)</f>
        <v>8.585505554670696E-12</v>
      </c>
      <c r="M23">
        <f>F23/H23*SQRT(I23)</f>
        <v>27.100403075929883</v>
      </c>
    </row>
    <row r="24" spans="1:14" x14ac:dyDescent="0.25">
      <c r="B24" s="92" t="s">
        <v>136</v>
      </c>
      <c r="C24" s="5">
        <v>15.299999999999997</v>
      </c>
      <c r="D24">
        <v>148.18</v>
      </c>
      <c r="E24">
        <v>119.56</v>
      </c>
      <c r="F24">
        <f t="shared" ref="F24:F29" si="1">ABS(D24-E24)</f>
        <v>28.620000000000005</v>
      </c>
      <c r="H24">
        <v>7.22</v>
      </c>
      <c r="I24">
        <v>32</v>
      </c>
      <c r="J24">
        <f t="shared" ref="J24:J29" si="2">I24-1</f>
        <v>31</v>
      </c>
      <c r="K24">
        <f t="shared" si="0"/>
        <v>4.0416994191261312E-8</v>
      </c>
      <c r="M24">
        <f t="shared" ref="M24:M29" si="3">F24/H24*SQRT(I24)</f>
        <v>22.423707565162321</v>
      </c>
    </row>
    <row r="25" spans="1:14" x14ac:dyDescent="0.25">
      <c r="B25" s="123" t="s">
        <v>142</v>
      </c>
      <c r="C25">
        <v>63.529411764705884</v>
      </c>
      <c r="D25">
        <v>150.53</v>
      </c>
      <c r="E25">
        <v>193.84</v>
      </c>
      <c r="F25">
        <f t="shared" si="1"/>
        <v>43.31</v>
      </c>
      <c r="H25">
        <v>7.95</v>
      </c>
      <c r="I25">
        <v>32</v>
      </c>
      <c r="J25">
        <f t="shared" si="2"/>
        <v>31</v>
      </c>
      <c r="K25">
        <f t="shared" si="0"/>
        <v>5.640469584242505E-9</v>
      </c>
      <c r="M25">
        <f t="shared" si="3"/>
        <v>30.817403464844652</v>
      </c>
    </row>
    <row r="26" spans="1:14" x14ac:dyDescent="0.25">
      <c r="B26" s="92" t="s">
        <v>139</v>
      </c>
      <c r="C26" s="15">
        <v>103.23529411764707</v>
      </c>
      <c r="D26">
        <v>151.12</v>
      </c>
      <c r="E26">
        <v>213.34</v>
      </c>
      <c r="F26">
        <f t="shared" si="1"/>
        <v>62.22</v>
      </c>
      <c r="H26">
        <v>9.48</v>
      </c>
      <c r="I26" s="32">
        <v>32</v>
      </c>
      <c r="J26">
        <f t="shared" si="2"/>
        <v>31</v>
      </c>
      <c r="K26">
        <f t="shared" si="0"/>
        <v>1.1293333755859505E-10</v>
      </c>
      <c r="M26">
        <f t="shared" si="3"/>
        <v>37.127581371668342</v>
      </c>
    </row>
    <row r="27" spans="1:14" x14ac:dyDescent="0.25">
      <c r="B27" s="127" t="s">
        <v>140</v>
      </c>
      <c r="C27" s="15">
        <v>43.2</v>
      </c>
      <c r="D27">
        <v>127.96</v>
      </c>
      <c r="E27">
        <v>158.15</v>
      </c>
      <c r="F27">
        <f t="shared" si="1"/>
        <v>30.190000000000012</v>
      </c>
      <c r="H27">
        <v>5.9</v>
      </c>
      <c r="I27" s="32">
        <v>32</v>
      </c>
      <c r="J27">
        <f t="shared" si="2"/>
        <v>31</v>
      </c>
      <c r="K27">
        <f t="shared" si="0"/>
        <v>1.6314551297728705E-6</v>
      </c>
      <c r="M27">
        <f t="shared" si="3"/>
        <v>28.945835557995764</v>
      </c>
    </row>
    <row r="28" spans="1:14" x14ac:dyDescent="0.25">
      <c r="B28" s="127" t="s">
        <v>137</v>
      </c>
      <c r="C28" s="15">
        <v>106.72941176470589</v>
      </c>
      <c r="D28">
        <v>130.59</v>
      </c>
      <c r="E28">
        <v>177.4</v>
      </c>
      <c r="F28">
        <f t="shared" si="1"/>
        <v>46.81</v>
      </c>
      <c r="H28">
        <v>6.14</v>
      </c>
      <c r="I28" s="32">
        <v>32</v>
      </c>
      <c r="J28">
        <f t="shared" si="2"/>
        <v>31</v>
      </c>
      <c r="K28">
        <f t="shared" si="0"/>
        <v>8.2438302008506415E-7</v>
      </c>
      <c r="M28">
        <f t="shared" si="3"/>
        <v>43.126603814126767</v>
      </c>
    </row>
    <row r="29" spans="1:14" x14ac:dyDescent="0.25">
      <c r="B29" s="127" t="s">
        <v>141</v>
      </c>
      <c r="C29" s="26">
        <v>43.2</v>
      </c>
      <c r="D29">
        <v>159.56</v>
      </c>
      <c r="E29">
        <v>133.21</v>
      </c>
      <c r="F29">
        <f t="shared" si="1"/>
        <v>26.349999999999994</v>
      </c>
      <c r="H29">
        <v>3.39</v>
      </c>
      <c r="I29" s="32">
        <v>32</v>
      </c>
      <c r="J29">
        <f t="shared" si="2"/>
        <v>31</v>
      </c>
      <c r="K29">
        <f t="shared" si="0"/>
        <v>1.9215334881190953E-3</v>
      </c>
      <c r="M29">
        <f t="shared" si="3"/>
        <v>43.969943797676748</v>
      </c>
    </row>
    <row r="30" spans="1:14" s="28" customFormat="1" ht="15.75" thickBot="1" x14ac:dyDescent="0.3">
      <c r="B30" s="33"/>
      <c r="C30" s="34"/>
      <c r="D30" s="20"/>
      <c r="E30" s="17"/>
      <c r="F30" s="18"/>
      <c r="G30" s="3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zoomScaleNormal="100" workbookViewId="0"/>
  </sheetViews>
  <sheetFormatPr defaultRowHeight="15.75" x14ac:dyDescent="0.25"/>
  <cols>
    <col min="1" max="1" width="240.7109375" style="129" customWidth="1"/>
  </cols>
  <sheetData>
    <row r="1" spans="1:1" x14ac:dyDescent="0.25">
      <c r="A1" s="128" t="s">
        <v>145</v>
      </c>
    </row>
    <row r="2" spans="1:1" x14ac:dyDescent="0.25">
      <c r="A2" s="128" t="s">
        <v>146</v>
      </c>
    </row>
    <row r="3" spans="1:1" x14ac:dyDescent="0.25">
      <c r="A3" s="128" t="s">
        <v>147</v>
      </c>
    </row>
    <row r="4" spans="1:1" x14ac:dyDescent="0.25">
      <c r="A4" s="128" t="s">
        <v>148</v>
      </c>
    </row>
    <row r="5" spans="1:1" x14ac:dyDescent="0.25">
      <c r="A5" s="128" t="s">
        <v>149</v>
      </c>
    </row>
    <row r="6" spans="1:1" x14ac:dyDescent="0.25">
      <c r="A6" s="128" t="s">
        <v>150</v>
      </c>
    </row>
    <row r="7" spans="1:1" x14ac:dyDescent="0.25">
      <c r="A7" s="128" t="s">
        <v>151</v>
      </c>
    </row>
    <row r="8" spans="1:1" x14ac:dyDescent="0.25">
      <c r="A8" s="128" t="s">
        <v>152</v>
      </c>
    </row>
    <row r="9" spans="1:1" x14ac:dyDescent="0.25">
      <c r="A9" s="128" t="s">
        <v>153</v>
      </c>
    </row>
    <row r="10" spans="1:1" x14ac:dyDescent="0.25">
      <c r="A10" s="128" t="s">
        <v>154</v>
      </c>
    </row>
    <row r="11" spans="1:1" x14ac:dyDescent="0.25">
      <c r="A11" s="128" t="s">
        <v>155</v>
      </c>
    </row>
    <row r="12" spans="1:1" x14ac:dyDescent="0.25">
      <c r="A12" s="128" t="s">
        <v>156</v>
      </c>
    </row>
    <row r="13" spans="1:1" x14ac:dyDescent="0.25">
      <c r="A13" s="128" t="s">
        <v>157</v>
      </c>
    </row>
    <row r="14" spans="1:1" x14ac:dyDescent="0.25">
      <c r="A14" s="128" t="s">
        <v>158</v>
      </c>
    </row>
    <row r="15" spans="1:1" x14ac:dyDescent="0.25">
      <c r="A15" s="128" t="s">
        <v>159</v>
      </c>
    </row>
    <row r="16" spans="1:1" x14ac:dyDescent="0.25">
      <c r="A16" s="128" t="s">
        <v>160</v>
      </c>
    </row>
    <row r="17" spans="1:1" x14ac:dyDescent="0.25">
      <c r="A17" s="128" t="s">
        <v>161</v>
      </c>
    </row>
    <row r="18" spans="1:1" x14ac:dyDescent="0.25">
      <c r="A18" s="128" t="s">
        <v>162</v>
      </c>
    </row>
    <row r="19" spans="1:1" x14ac:dyDescent="0.25">
      <c r="A19" s="128" t="s">
        <v>163</v>
      </c>
    </row>
    <row r="20" spans="1:1" x14ac:dyDescent="0.25">
      <c r="A20" s="128" t="s">
        <v>164</v>
      </c>
    </row>
    <row r="21" spans="1:1" x14ac:dyDescent="0.25">
      <c r="A21" s="128" t="s">
        <v>206</v>
      </c>
    </row>
    <row r="22" spans="1:1" x14ac:dyDescent="0.25">
      <c r="A22" s="128" t="s">
        <v>165</v>
      </c>
    </row>
    <row r="23" spans="1:1" x14ac:dyDescent="0.25">
      <c r="A23" s="128" t="s">
        <v>166</v>
      </c>
    </row>
    <row r="24" spans="1:1" x14ac:dyDescent="0.25">
      <c r="A24" s="128" t="s">
        <v>167</v>
      </c>
    </row>
    <row r="25" spans="1:1" x14ac:dyDescent="0.25">
      <c r="A25" s="128" t="s">
        <v>168</v>
      </c>
    </row>
    <row r="26" spans="1:1" x14ac:dyDescent="0.25">
      <c r="A26" s="128" t="s">
        <v>169</v>
      </c>
    </row>
    <row r="27" spans="1:1" x14ac:dyDescent="0.25">
      <c r="A27" s="128" t="s">
        <v>170</v>
      </c>
    </row>
    <row r="28" spans="1:1" x14ac:dyDescent="0.25">
      <c r="A28" s="128" t="s">
        <v>171</v>
      </c>
    </row>
    <row r="29" spans="1:1" x14ac:dyDescent="0.25">
      <c r="A29" s="128" t="s">
        <v>172</v>
      </c>
    </row>
    <row r="30" spans="1:1" x14ac:dyDescent="0.25">
      <c r="A30" s="128" t="s">
        <v>173</v>
      </c>
    </row>
    <row r="31" spans="1:1" x14ac:dyDescent="0.25">
      <c r="A31" s="128" t="s">
        <v>174</v>
      </c>
    </row>
    <row r="32" spans="1:1" x14ac:dyDescent="0.25">
      <c r="A32" s="128" t="s">
        <v>175</v>
      </c>
    </row>
    <row r="33" spans="1:1" x14ac:dyDescent="0.25">
      <c r="A33" s="128" t="s">
        <v>176</v>
      </c>
    </row>
    <row r="34" spans="1:1" x14ac:dyDescent="0.25">
      <c r="A34" s="128" t="s">
        <v>177</v>
      </c>
    </row>
    <row r="35" spans="1:1" x14ac:dyDescent="0.25">
      <c r="A35" s="128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Stimuli</vt:lpstr>
      <vt:lpstr>Distance (Eq4)</vt:lpstr>
      <vt:lpstr>Depth (Eq3)</vt:lpstr>
      <vt:lpstr>Probability Correct</vt:lpstr>
      <vt:lpstr>Supplement</vt:lpstr>
      <vt:lpstr>References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Tadamasa Sawada</dc:creator>
  <cp:lastModifiedBy>Tadamasa Sawada</cp:lastModifiedBy>
  <dcterms:created xsi:type="dcterms:W3CDTF">2017-10-01T16:47:54Z</dcterms:created>
  <dcterms:modified xsi:type="dcterms:W3CDTF">2020-03-18T08:00:05Z</dcterms:modified>
</cp:coreProperties>
</file>