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87EBEB43-5926-4A90-A5EB-3E9C9A314F3A}" xr6:coauthVersionLast="36" xr6:coauthVersionMax="36" xr10:uidLastSave="{00000000-0000-0000-0000-000000000000}"/>
  <bookViews>
    <workbookView xWindow="0" yWindow="0" windowWidth="22260" windowHeight="12300" activeTab="1" xr2:uid="{00000000-000D-0000-FFFF-FFFF00000000}"/>
  </bookViews>
  <sheets>
    <sheet name="Microwave1" sheetId="2" r:id="rId1"/>
    <sheet name="Microwave2" sheetId="1" r:id="rId2"/>
  </sheets>
  <definedNames>
    <definedName name="solver_adj" localSheetId="0" hidden="1">Microwave1!$Q$43,Microwave1!$Q$46</definedName>
    <definedName name="solver_adj" localSheetId="1" hidden="1">Microwave2!$Q$44,Microwave2!$Q$47</definedName>
    <definedName name="solver_cvg" localSheetId="0" hidden="1">0.0000001</definedName>
    <definedName name="solver_cvg" localSheetId="1" hidden="1">0.0000001</definedName>
    <definedName name="solver_drv" localSheetId="0" hidden="1">2</definedName>
    <definedName name="solver_drv" localSheetId="1" hidden="1">2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1</definedName>
    <definedName name="solver_msl" localSheetId="1" hidden="1">1</definedName>
    <definedName name="solver_neg" localSheetId="0" hidden="1">2</definedName>
    <definedName name="solver_neg" localSheetId="1" hidden="1">2</definedName>
    <definedName name="solver_nod" localSheetId="0" hidden="1">2147483647</definedName>
    <definedName name="solver_nod" localSheetId="1" hidden="1">2147483647</definedName>
    <definedName name="solver_num" localSheetId="0" hidden="1">0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opt" localSheetId="0" hidden="1">Microwave1!$S$42</definedName>
    <definedName name="solver_opt" localSheetId="1" hidden="1">Microwave2!$S$43</definedName>
    <definedName name="solver_pre" localSheetId="0" hidden="1">0.00000001</definedName>
    <definedName name="solver_pre" localSheetId="1" hidden="1">0.00000001</definedName>
    <definedName name="solver_rbv" localSheetId="0" hidden="1">2</definedName>
    <definedName name="solver_rbv" localSheetId="1" hidden="1">2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1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2" l="1"/>
  <c r="G52" i="2" s="1"/>
  <c r="D52" i="2"/>
  <c r="B52" i="2"/>
  <c r="F51" i="2"/>
  <c r="G51" i="2" s="1"/>
  <c r="D51" i="2"/>
  <c r="B51" i="2"/>
  <c r="F50" i="2"/>
  <c r="D50" i="2"/>
  <c r="B50" i="2"/>
  <c r="E49" i="2"/>
  <c r="F49" i="2" s="1"/>
  <c r="D49" i="2"/>
  <c r="B49" i="2"/>
  <c r="G50" i="2" l="1"/>
  <c r="H51" i="2"/>
  <c r="I51" i="2" s="1"/>
  <c r="H50" i="2"/>
  <c r="I50" i="2"/>
  <c r="G49" i="2"/>
  <c r="H52" i="2"/>
  <c r="I52" i="2" s="1"/>
  <c r="F55" i="1"/>
  <c r="D55" i="1"/>
  <c r="B55" i="1"/>
  <c r="F54" i="1"/>
  <c r="D54" i="1"/>
  <c r="B54" i="1"/>
  <c r="F53" i="1"/>
  <c r="D53" i="1"/>
  <c r="B53" i="1"/>
  <c r="E52" i="1"/>
  <c r="D52" i="1"/>
  <c r="B52" i="1"/>
  <c r="H49" i="2" l="1"/>
  <c r="I49" i="2" s="1"/>
  <c r="M51" i="2" s="1"/>
  <c r="G54" i="1"/>
  <c r="H54" i="1" s="1"/>
  <c r="G55" i="1"/>
  <c r="H55" i="1" s="1"/>
  <c r="G53" i="1"/>
  <c r="H53" i="1" s="1"/>
  <c r="I53" i="1" s="1"/>
  <c r="F52" i="1"/>
  <c r="G52" i="1" s="1"/>
  <c r="O40" i="2" l="1"/>
  <c r="Q40" i="2" s="1"/>
  <c r="R40" i="2" s="1"/>
  <c r="S40" i="2" s="1"/>
  <c r="M49" i="2"/>
  <c r="O39" i="2"/>
  <c r="Q39" i="2" s="1"/>
  <c r="R39" i="2" s="1"/>
  <c r="S39" i="2" s="1"/>
  <c r="O41" i="2"/>
  <c r="Q41" i="2" s="1"/>
  <c r="R41" i="2" s="1"/>
  <c r="S41" i="2" s="1"/>
  <c r="M50" i="2"/>
  <c r="I54" i="1"/>
  <c r="I55" i="1"/>
  <c r="H52" i="1"/>
  <c r="I52" i="1" s="1"/>
  <c r="O41" i="1" s="1"/>
  <c r="Q41" i="1" s="1"/>
  <c r="R41" i="1" s="1"/>
  <c r="S41" i="1" s="1"/>
  <c r="O42" i="1" l="1"/>
  <c r="Q42" i="1" s="1"/>
  <c r="R42" i="1" s="1"/>
  <c r="S42" i="1" s="1"/>
  <c r="O40" i="1"/>
  <c r="Q40" i="1" s="1"/>
  <c r="R40" i="1" s="1"/>
  <c r="S40" i="1" s="1"/>
  <c r="S42" i="2"/>
  <c r="M52" i="1"/>
  <c r="M54" i="1"/>
  <c r="M53" i="1"/>
  <c r="I41" i="2"/>
  <c r="J41" i="2" s="1"/>
  <c r="K41" i="2" s="1"/>
  <c r="I40" i="2"/>
  <c r="J40" i="2" s="1"/>
  <c r="K40" i="2" s="1"/>
  <c r="I39" i="2"/>
  <c r="J39" i="2" s="1"/>
  <c r="K39" i="2" s="1"/>
  <c r="I41" i="1"/>
  <c r="J41" i="1" s="1"/>
  <c r="K41" i="1" s="1"/>
  <c r="I42" i="1"/>
  <c r="J42" i="1" s="1"/>
  <c r="K42" i="1" s="1"/>
  <c r="I40" i="1"/>
  <c r="J40" i="1" s="1"/>
  <c r="K40" i="1" s="1"/>
  <c r="E42" i="1"/>
  <c r="F42" i="1" s="1"/>
  <c r="G42" i="1" s="1"/>
  <c r="E41" i="1"/>
  <c r="F41" i="1" s="1"/>
  <c r="G41" i="1" s="1"/>
  <c r="E40" i="1"/>
  <c r="F40" i="1" s="1"/>
  <c r="G40" i="1" s="1"/>
  <c r="E40" i="2"/>
  <c r="F40" i="2" s="1"/>
  <c r="G40" i="2" s="1"/>
  <c r="E41" i="2"/>
  <c r="F41" i="2" s="1"/>
  <c r="G41" i="2" s="1"/>
  <c r="E39" i="2"/>
  <c r="F39" i="2" s="1"/>
  <c r="G39" i="2" s="1"/>
  <c r="S43" i="1" l="1"/>
  <c r="K42" i="2"/>
  <c r="K43" i="1"/>
  <c r="G43" i="1"/>
  <c r="G42" i="2"/>
  <c r="B9" i="2" l="1"/>
  <c r="B8" i="2"/>
  <c r="B10" i="1" l="1"/>
  <c r="B9" i="1" l="1"/>
</calcChain>
</file>

<file path=xl/sharedStrings.xml><?xml version="1.0" encoding="utf-8"?>
<sst xmlns="http://schemas.openxmlformats.org/spreadsheetml/2006/main" count="92" uniqueCount="41">
  <si>
    <t>MHz</t>
  </si>
  <si>
    <t>m</t>
  </si>
  <si>
    <t>unc</t>
  </si>
  <si>
    <t>nat ab (%)</t>
  </si>
  <si>
    <t>nuc spin</t>
  </si>
  <si>
    <r>
      <t>J=0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1</t>
    </r>
  </si>
  <si>
    <t>From C. A. Burrus, W. Gordy, Phys. Rev., 92, 1437-1439 (1953)</t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</si>
  <si>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H</t>
    </r>
    <r>
      <rPr>
        <vertAlign val="superscript"/>
        <sz val="11"/>
        <color theme="1"/>
        <rFont val="Calibri"/>
        <family val="2"/>
        <scheme val="minor"/>
      </rPr>
      <t>127</t>
    </r>
    <r>
      <rPr>
        <sz val="11"/>
        <color theme="1"/>
        <rFont val="Calibri"/>
        <family val="2"/>
        <scheme val="minor"/>
      </rPr>
      <t xml:space="preserve">I </t>
    </r>
  </si>
  <si>
    <t>127I</t>
  </si>
  <si>
    <t>1H</t>
  </si>
  <si>
    <t>2H</t>
  </si>
  <si>
    <t>From J. A. Klein, A. H. Nethercot, Jr., Phys. Rev., 91, 1018 (1953)</t>
  </si>
  <si>
    <t>J</t>
  </si>
  <si>
    <t>v</t>
  </si>
  <si>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  <scheme val="minor"/>
      </rPr>
      <t>e</t>
    </r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</si>
  <si>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</si>
  <si>
    <t>Model1</t>
  </si>
  <si>
    <t>diff</t>
  </si>
  <si>
    <t>diffsq</t>
  </si>
  <si>
    <r>
      <rPr>
        <sz val="11"/>
        <color theme="1"/>
        <rFont val="Calibri"/>
        <family val="2"/>
      </rPr>
      <t>γ</t>
    </r>
    <r>
      <rPr>
        <vertAlign val="subscript"/>
        <sz val="11"/>
        <color theme="1"/>
        <rFont val="Calibri"/>
        <family val="2"/>
        <scheme val="minor"/>
      </rPr>
      <t>e</t>
    </r>
  </si>
  <si>
    <t xml:space="preserve"> </t>
  </si>
  <si>
    <t>Model2</t>
  </si>
  <si>
    <t>splitting actually due to eQq</t>
  </si>
  <si>
    <t>Assuming J=0 gived predicted re of 1.62, in excellent agreement with liquid ND result of 1.625+-0.015</t>
  </si>
  <si>
    <t>J+1</t>
  </si>
  <si>
    <t>I</t>
  </si>
  <si>
    <t>I+1</t>
  </si>
  <si>
    <t>F</t>
  </si>
  <si>
    <t>F+1</t>
  </si>
  <si>
    <t>G</t>
  </si>
  <si>
    <t>G+1</t>
  </si>
  <si>
    <t>Casimir</t>
  </si>
  <si>
    <t>F'</t>
  </si>
  <si>
    <t>dCas</t>
  </si>
  <si>
    <t>eQq</t>
  </si>
  <si>
    <t>Model 0-1</t>
  </si>
  <si>
    <t>Plot the spectrum.</t>
  </si>
  <si>
    <t>uncertainty</t>
  </si>
  <si>
    <t>Is it a vibrational progression with a missing point, or nuclear quadrupole effect?</t>
  </si>
  <si>
    <t>Plot the spectrum</t>
  </si>
  <si>
    <t>Fit to three models.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</si>
</sst>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00"/>
    <numFmt numFmtId="165" formatCode="0.0"/>
    <numFmt numFmtId="166" formatCode="0.000"/>
    <numFmt numFmtId="167" formatCode="0.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.45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/>
    <xf numFmtId="164" fontId="3" fillId="0" borderId="0" xfId="0" applyNumberFormat="1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0" xfId="0" applyFont="1"/>
    <xf numFmtId="167" fontId="0" fillId="0" borderId="0" xfId="0" applyNumberFormat="1"/>
    <xf numFmtId="2" fontId="0" fillId="0" borderId="0" xfId="0" applyNumberFormat="1" applyFill="1"/>
    <xf numFmtId="0" fontId="0" fillId="2" borderId="0" xfId="0" applyFill="1"/>
    <xf numFmtId="0" fontId="3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</a:t>
            </a:r>
            <a:r>
              <a:rPr lang="en-CA" baseline="30000"/>
              <a:t>2</a:t>
            </a:r>
            <a:r>
              <a:rPr lang="en-CA"/>
              <a:t>H</a:t>
            </a:r>
            <a:r>
              <a:rPr lang="en-CA" baseline="30000"/>
              <a:t>127</a:t>
            </a:r>
            <a:r>
              <a:rPr lang="en-CA"/>
              <a:t>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Microwave1!$B$14:$B$16</c:f>
                <c:numCache>
                  <c:formatCode>General</c:formatCode>
                  <c:ptCount val="3"/>
                  <c:pt idx="0">
                    <c:v>8</c:v>
                  </c:pt>
                  <c:pt idx="1">
                    <c:v>8</c:v>
                  </c:pt>
                  <c:pt idx="2">
                    <c:v>15</c:v>
                  </c:pt>
                </c:numCache>
              </c:numRef>
            </c:plus>
            <c:minus>
              <c:numRef>
                <c:f>Microwave1!$B$14:$B$16</c:f>
                <c:numCache>
                  <c:formatCode>General</c:formatCode>
                  <c:ptCount val="3"/>
                  <c:pt idx="0">
                    <c:v>8</c:v>
                  </c:pt>
                  <c:pt idx="1">
                    <c:v>8</c:v>
                  </c:pt>
                  <c:pt idx="2">
                    <c:v>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Microwave1!$A$14:$A$16</c:f>
              <c:numCache>
                <c:formatCode>0.000</c:formatCode>
                <c:ptCount val="3"/>
                <c:pt idx="0">
                  <c:v>194776</c:v>
                </c:pt>
                <c:pt idx="1">
                  <c:v>195152</c:v>
                </c:pt>
                <c:pt idx="2">
                  <c:v>195320</c:v>
                </c:pt>
              </c:numCache>
            </c:numRef>
          </c:xVal>
          <c:yVal>
            <c:numRef>
              <c:f>Microwave1!$C$14:$C$16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23-4C8A-8248-37D7ACE3B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</a:t>
            </a:r>
            <a:r>
              <a:rPr lang="en-CA" baseline="30000"/>
              <a:t>2</a:t>
            </a:r>
            <a:r>
              <a:rPr lang="en-CA"/>
              <a:t>H</a:t>
            </a:r>
            <a:r>
              <a:rPr lang="en-CA" baseline="30000"/>
              <a:t>127</a:t>
            </a:r>
            <a:r>
              <a:rPr lang="en-CA"/>
              <a:t>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Microwave1!$B$55:$B$60</c:f>
                <c:numCache>
                  <c:formatCode>General</c:formatCode>
                  <c:ptCount val="6"/>
                  <c:pt idx="0">
                    <c:v>8</c:v>
                  </c:pt>
                  <c:pt idx="1">
                    <c:v>8</c:v>
                  </c:pt>
                  <c:pt idx="2">
                    <c:v>15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</c:numCache>
              </c:numRef>
            </c:plus>
            <c:minus>
              <c:numRef>
                <c:f>Microwave1!$B$55:$B$60</c:f>
                <c:numCache>
                  <c:formatCode>General</c:formatCode>
                  <c:ptCount val="6"/>
                  <c:pt idx="0">
                    <c:v>8</c:v>
                  </c:pt>
                  <c:pt idx="1">
                    <c:v>8</c:v>
                  </c:pt>
                  <c:pt idx="2">
                    <c:v>15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Microwave1!$A$55:$A$60</c:f>
              <c:numCache>
                <c:formatCode>0.000</c:formatCode>
                <c:ptCount val="6"/>
                <c:pt idx="0">
                  <c:v>194776</c:v>
                </c:pt>
                <c:pt idx="1">
                  <c:v>195152</c:v>
                </c:pt>
                <c:pt idx="2">
                  <c:v>195320</c:v>
                </c:pt>
                <c:pt idx="3">
                  <c:v>194776.4</c:v>
                </c:pt>
                <c:pt idx="4">
                  <c:v>195159.67999999999</c:v>
                </c:pt>
                <c:pt idx="5">
                  <c:v>195323.02</c:v>
                </c:pt>
              </c:numCache>
            </c:numRef>
          </c:xVal>
          <c:yVal>
            <c:numRef>
              <c:f>Microwave1!$C$55:$C$60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4-462B-8483-959184B230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</a:t>
            </a:r>
            <a:r>
              <a:rPr lang="en-CA" baseline="30000"/>
              <a:t>2</a:t>
            </a:r>
            <a:r>
              <a:rPr lang="en-CA"/>
              <a:t>H</a:t>
            </a:r>
            <a:r>
              <a:rPr lang="en-CA" baseline="30000"/>
              <a:t>127</a:t>
            </a:r>
            <a:r>
              <a:rPr lang="en-CA"/>
              <a:t>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Microwave2!$A$15:$A$17</c:f>
              <c:numCache>
                <c:formatCode>0.000</c:formatCode>
                <c:ptCount val="3"/>
                <c:pt idx="0">
                  <c:v>194776.4</c:v>
                </c:pt>
                <c:pt idx="1">
                  <c:v>195159.67999999999</c:v>
                </c:pt>
                <c:pt idx="2">
                  <c:v>195323.02</c:v>
                </c:pt>
              </c:numCache>
            </c:numRef>
          </c:xVal>
          <c:yVal>
            <c:numRef>
              <c:f>Microwave2!$C$15:$C$17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17-474F-9618-9840D5E9B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 Function Differences (J=0,I=2.5)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Microwave2!$M$52:$M$54</c:f>
              <c:numCache>
                <c:formatCode>0.00</c:formatCode>
                <c:ptCount val="3"/>
                <c:pt idx="0">
                  <c:v>0.05</c:v>
                </c:pt>
                <c:pt idx="1">
                  <c:v>-0.16</c:v>
                </c:pt>
                <c:pt idx="2">
                  <c:v>0.14000000000000001</c:v>
                </c:pt>
              </c:numCache>
            </c:numRef>
          </c:xVal>
          <c:yVal>
            <c:numRef>
              <c:f>Microwave2!$N$52:$N$54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DD-442C-870C-4891A3DB8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793912"/>
        <c:axId val="490789976"/>
      </c:scatterChart>
      <c:valAx>
        <c:axId val="490793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789976"/>
        <c:crosses val="autoZero"/>
        <c:crossBetween val="midCat"/>
      </c:valAx>
      <c:valAx>
        <c:axId val="490789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793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 Function Differences (J=0,I=2.5)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Microwave2!$M$52:$M$54</c:f>
              <c:numCache>
                <c:formatCode>0.00</c:formatCode>
                <c:ptCount val="3"/>
                <c:pt idx="0">
                  <c:v>0.05</c:v>
                </c:pt>
                <c:pt idx="1">
                  <c:v>-0.16</c:v>
                </c:pt>
                <c:pt idx="2">
                  <c:v>0.14000000000000001</c:v>
                </c:pt>
              </c:numCache>
            </c:numRef>
          </c:xVal>
          <c:yVal>
            <c:numRef>
              <c:f>Microwave2!$N$52:$N$54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A1-40A8-A4F6-DD537F40AA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793912"/>
        <c:axId val="490789976"/>
      </c:scatterChart>
      <c:valAx>
        <c:axId val="490793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789976"/>
        <c:crosses val="autoZero"/>
        <c:crossBetween val="midCat"/>
      </c:valAx>
      <c:valAx>
        <c:axId val="490789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793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12</xdr:row>
      <xdr:rowOff>166687</xdr:rowOff>
    </xdr:from>
    <xdr:to>
      <xdr:col>20</xdr:col>
      <xdr:colOff>276225</xdr:colOff>
      <xdr:row>34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54</xdr:row>
      <xdr:rowOff>0</xdr:rowOff>
    </xdr:from>
    <xdr:to>
      <xdr:col>12</xdr:col>
      <xdr:colOff>276225</xdr:colOff>
      <xdr:row>74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13</xdr:row>
      <xdr:rowOff>166687</xdr:rowOff>
    </xdr:from>
    <xdr:to>
      <xdr:col>20</xdr:col>
      <xdr:colOff>276225</xdr:colOff>
      <xdr:row>35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22</xdr:col>
      <xdr:colOff>571500</xdr:colOff>
      <xdr:row>54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638175</xdr:colOff>
      <xdr:row>18</xdr:row>
      <xdr:rowOff>66675</xdr:rowOff>
    </xdr:from>
    <xdr:to>
      <xdr:col>20</xdr:col>
      <xdr:colOff>180975</xdr:colOff>
      <xdr:row>22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0"/>
  <sheetViews>
    <sheetView topLeftCell="A49" workbookViewId="0">
      <selection activeCell="M44" sqref="M44"/>
    </sheetView>
  </sheetViews>
  <sheetFormatPr defaultRowHeight="15" x14ac:dyDescent="0.25"/>
  <cols>
    <col min="1" max="1" width="10.5703125" bestFit="1" customWidth="1"/>
    <col min="2" max="2" width="15.140625" customWidth="1"/>
    <col min="3" max="3" width="12.140625" bestFit="1" customWidth="1"/>
    <col min="4" max="4" width="13.7109375" bestFit="1" customWidth="1"/>
    <col min="5" max="5" width="11.5703125" bestFit="1" customWidth="1"/>
    <col min="7" max="7" width="7.5703125" bestFit="1" customWidth="1"/>
  </cols>
  <sheetData>
    <row r="1" spans="1:5" x14ac:dyDescent="0.25">
      <c r="A1" t="s">
        <v>11</v>
      </c>
    </row>
    <row r="3" spans="1:5" ht="17.25" x14ac:dyDescent="0.25">
      <c r="A3" t="s">
        <v>5</v>
      </c>
      <c r="B3" t="s">
        <v>7</v>
      </c>
    </row>
    <row r="4" spans="1:5" x14ac:dyDescent="0.25">
      <c r="B4" t="s">
        <v>1</v>
      </c>
      <c r="C4" t="s">
        <v>2</v>
      </c>
      <c r="D4" t="s">
        <v>3</v>
      </c>
      <c r="E4" t="s">
        <v>4</v>
      </c>
    </row>
    <row r="5" spans="1:5" x14ac:dyDescent="0.25">
      <c r="A5" t="s">
        <v>9</v>
      </c>
      <c r="B5" s="2">
        <v>1.0078259322400001</v>
      </c>
      <c r="C5" s="3">
        <v>8.9999999999999999E-11</v>
      </c>
      <c r="D5" s="4">
        <v>99.988500000000002</v>
      </c>
      <c r="E5" s="5">
        <v>0.5</v>
      </c>
    </row>
    <row r="6" spans="1:5" x14ac:dyDescent="0.25">
      <c r="A6" t="s">
        <v>10</v>
      </c>
      <c r="B6" s="2">
        <v>2.0141017781100001</v>
      </c>
      <c r="C6" s="3">
        <v>1.2E-10</v>
      </c>
      <c r="D6" s="4">
        <v>1.15E-2</v>
      </c>
      <c r="E6" s="5">
        <v>1</v>
      </c>
    </row>
    <row r="7" spans="1:5" x14ac:dyDescent="0.25">
      <c r="A7" t="s">
        <v>8</v>
      </c>
      <c r="B7" s="2">
        <v>126.904473</v>
      </c>
      <c r="C7" s="3">
        <v>3.9999999999999998E-6</v>
      </c>
      <c r="D7" s="4">
        <v>100</v>
      </c>
      <c r="E7" s="5">
        <v>2.5</v>
      </c>
    </row>
    <row r="8" spans="1:5" x14ac:dyDescent="0.25">
      <c r="B8" s="1">
        <f>B5*B7/(B5+B7)</f>
        <v>0.9998852328844714</v>
      </c>
    </row>
    <row r="9" spans="1:5" x14ac:dyDescent="0.25">
      <c r="B9" s="1">
        <f>B6*B7/(B6+B7)</f>
        <v>1.9826353584759953</v>
      </c>
    </row>
    <row r="10" spans="1:5" x14ac:dyDescent="0.25">
      <c r="B10" s="1"/>
    </row>
    <row r="11" spans="1:5" s="10" customFormat="1" x14ac:dyDescent="0.25">
      <c r="A11" s="10" t="s">
        <v>36</v>
      </c>
      <c r="B11" s="11"/>
    </row>
    <row r="12" spans="1:5" x14ac:dyDescent="0.25">
      <c r="B12" s="1"/>
    </row>
    <row r="13" spans="1:5" x14ac:dyDescent="0.25">
      <c r="A13" t="s">
        <v>0</v>
      </c>
      <c r="B13" t="s">
        <v>37</v>
      </c>
    </row>
    <row r="14" spans="1:5" x14ac:dyDescent="0.25">
      <c r="A14" s="6">
        <v>194776</v>
      </c>
      <c r="B14">
        <v>8</v>
      </c>
      <c r="C14">
        <v>1</v>
      </c>
    </row>
    <row r="15" spans="1:5" x14ac:dyDescent="0.25">
      <c r="A15" s="6">
        <v>195152</v>
      </c>
      <c r="B15">
        <v>8</v>
      </c>
      <c r="C15">
        <v>1</v>
      </c>
    </row>
    <row r="16" spans="1:5" x14ac:dyDescent="0.25">
      <c r="A16" s="6">
        <v>195320</v>
      </c>
      <c r="B16">
        <v>15</v>
      </c>
      <c r="C16">
        <v>1</v>
      </c>
    </row>
    <row r="17" spans="1:2" x14ac:dyDescent="0.25">
      <c r="A17" s="6"/>
    </row>
    <row r="18" spans="1:2" x14ac:dyDescent="0.25">
      <c r="A18" s="6"/>
    </row>
    <row r="19" spans="1:2" x14ac:dyDescent="0.25">
      <c r="A19" s="6"/>
    </row>
    <row r="20" spans="1:2" x14ac:dyDescent="0.25">
      <c r="A20" s="6"/>
    </row>
    <row r="21" spans="1:2" x14ac:dyDescent="0.25">
      <c r="A21" s="6"/>
    </row>
    <row r="22" spans="1:2" x14ac:dyDescent="0.25">
      <c r="A22" s="6"/>
    </row>
    <row r="23" spans="1:2" x14ac:dyDescent="0.25">
      <c r="A23" s="6"/>
    </row>
    <row r="24" spans="1:2" x14ac:dyDescent="0.25">
      <c r="A24" s="6"/>
    </row>
    <row r="25" spans="1:2" x14ac:dyDescent="0.25">
      <c r="A25" s="6"/>
    </row>
    <row r="26" spans="1:2" x14ac:dyDescent="0.25">
      <c r="A26" s="6"/>
    </row>
    <row r="27" spans="1:2" x14ac:dyDescent="0.25">
      <c r="A27" s="6"/>
      <c r="B27">
        <v>1</v>
      </c>
    </row>
    <row r="28" spans="1:2" x14ac:dyDescent="0.25">
      <c r="A28" s="6"/>
    </row>
    <row r="29" spans="1:2" x14ac:dyDescent="0.25">
      <c r="A29" s="6"/>
    </row>
    <row r="30" spans="1:2" x14ac:dyDescent="0.25">
      <c r="A30" s="6"/>
    </row>
    <row r="31" spans="1:2" x14ac:dyDescent="0.25">
      <c r="A31" s="6"/>
    </row>
    <row r="32" spans="1:2" x14ac:dyDescent="0.25">
      <c r="A32" s="6"/>
    </row>
    <row r="33" spans="1:19" x14ac:dyDescent="0.25">
      <c r="A33" s="6"/>
    </row>
    <row r="34" spans="1:19" x14ac:dyDescent="0.25">
      <c r="A34" s="6"/>
    </row>
    <row r="36" spans="1:19" s="10" customFormat="1" x14ac:dyDescent="0.25">
      <c r="A36" s="10" t="s">
        <v>38</v>
      </c>
    </row>
    <row r="38" spans="1:19" x14ac:dyDescent="0.25">
      <c r="B38" t="s">
        <v>37</v>
      </c>
      <c r="C38" t="s">
        <v>12</v>
      </c>
      <c r="D38" t="s">
        <v>13</v>
      </c>
      <c r="E38" t="s">
        <v>16</v>
      </c>
      <c r="F38" t="s">
        <v>17</v>
      </c>
      <c r="G38" t="s">
        <v>18</v>
      </c>
      <c r="I38" t="s">
        <v>21</v>
      </c>
      <c r="J38" t="s">
        <v>17</v>
      </c>
      <c r="K38" t="s">
        <v>18</v>
      </c>
      <c r="M38" t="s">
        <v>27</v>
      </c>
      <c r="N38" t="s">
        <v>32</v>
      </c>
      <c r="O38" s="7" t="s">
        <v>33</v>
      </c>
      <c r="Q38" t="s">
        <v>35</v>
      </c>
      <c r="R38" t="s">
        <v>17</v>
      </c>
      <c r="S38" t="s">
        <v>18</v>
      </c>
    </row>
    <row r="39" spans="1:19" x14ac:dyDescent="0.25">
      <c r="A39" s="6">
        <v>194776</v>
      </c>
      <c r="B39">
        <v>8</v>
      </c>
      <c r="C39">
        <v>0</v>
      </c>
      <c r="D39">
        <v>3</v>
      </c>
      <c r="E39">
        <f>2*(E$43-E$44*($D39+0.5))*($C39+1)</f>
        <v>194778.85714712425</v>
      </c>
      <c r="F39" s="6">
        <f>$A39-E39</f>
        <v>-2.8571471242466941</v>
      </c>
      <c r="G39" s="6">
        <f>F39^2</f>
        <v>8.1632896895911546</v>
      </c>
      <c r="H39" s="6"/>
      <c r="I39">
        <f>2*(I$43-I$44*($D39+0.5)+I$45*($D39+0.5)^2)*($C39+1)</f>
        <v>194776</v>
      </c>
      <c r="J39" s="6">
        <f>$A39-I39</f>
        <v>0</v>
      </c>
      <c r="K39" s="6">
        <f>J39^2</f>
        <v>0</v>
      </c>
      <c r="M39">
        <v>2.5</v>
      </c>
      <c r="N39">
        <v>2.5</v>
      </c>
      <c r="O39" s="9">
        <f>INDEX(I$50:I$52,MATCH($N39,E$50:E$52,0))-INDEX(I$49,MATCH($M39,E$49,0))</f>
        <v>-0.16</v>
      </c>
      <c r="Q39">
        <f>2*(Q$43)*($C39+1)-Q$46*$O39</f>
        <v>194775.08860440488</v>
      </c>
      <c r="R39" s="6">
        <f>$A39-Q39</f>
        <v>0.91139559511793777</v>
      </c>
      <c r="S39" s="6">
        <f>R39^2</f>
        <v>0.83064193080037996</v>
      </c>
    </row>
    <row r="40" spans="1:19" x14ac:dyDescent="0.25">
      <c r="A40" s="6">
        <v>195152</v>
      </c>
      <c r="B40">
        <v>8</v>
      </c>
      <c r="C40">
        <v>0</v>
      </c>
      <c r="D40">
        <v>1</v>
      </c>
      <c r="E40">
        <f t="shared" ref="E40:E41" si="0">2*(E$43-E$44*($D40+0.5))*($C40+1)</f>
        <v>195143.42857459231</v>
      </c>
      <c r="F40" s="6">
        <f t="shared" ref="F40:F41" si="1">$A40-E40</f>
        <v>8.5714254076883662</v>
      </c>
      <c r="G40" s="6">
        <f t="shared" ref="G40:G41" si="2">F40^2</f>
        <v>73.46933351956568</v>
      </c>
      <c r="H40" s="6"/>
      <c r="I40">
        <f t="shared" ref="I40:I41" si="3">2*(I$43-I$44*($D40+0.5)+I$45*($D40+0.5)^2)*($C40+1)</f>
        <v>195152.00000000003</v>
      </c>
      <c r="J40" s="6">
        <f t="shared" ref="J40:J41" si="4">$A40-I40</f>
        <v>0</v>
      </c>
      <c r="K40" s="6">
        <f t="shared" ref="K40:K41" si="5">J40^2</f>
        <v>0</v>
      </c>
      <c r="M40">
        <v>2.5</v>
      </c>
      <c r="N40">
        <v>3.5</v>
      </c>
      <c r="O40" s="9">
        <f>INDEX(I$50:I$52,MATCH($N40,E$50:E$52,0))-INDEX(I$49,MATCH($M40,E$49,0))</f>
        <v>0.05</v>
      </c>
      <c r="Q40">
        <f>2*(Q$43)*($C40+1)-Q$46*$O40</f>
        <v>195155.03797532091</v>
      </c>
      <c r="R40" s="6">
        <f t="shared" ref="R40:R41" si="6">$A40-Q40</f>
        <v>-3.0379753209126648</v>
      </c>
      <c r="S40" s="6">
        <f t="shared" ref="S40:S41" si="7">R40^2</f>
        <v>9.2292940504744081</v>
      </c>
    </row>
    <row r="41" spans="1:19" x14ac:dyDescent="0.25">
      <c r="A41" s="6">
        <v>195320</v>
      </c>
      <c r="B41">
        <v>15</v>
      </c>
      <c r="C41">
        <v>0</v>
      </c>
      <c r="D41">
        <v>0</v>
      </c>
      <c r="E41">
        <f t="shared" si="0"/>
        <v>195325.71428832633</v>
      </c>
      <c r="F41" s="6">
        <f t="shared" si="1"/>
        <v>-5.7142883263295516</v>
      </c>
      <c r="G41" s="6">
        <f t="shared" si="2"/>
        <v>32.653091076426186</v>
      </c>
      <c r="H41" s="6"/>
      <c r="I41">
        <f t="shared" si="3"/>
        <v>195320.00000000003</v>
      </c>
      <c r="J41" s="6">
        <f t="shared" si="4"/>
        <v>0</v>
      </c>
      <c r="K41" s="6">
        <f t="shared" si="5"/>
        <v>0</v>
      </c>
      <c r="M41">
        <v>2.5</v>
      </c>
      <c r="N41">
        <v>1.5</v>
      </c>
      <c r="O41" s="9">
        <f>INDEX(I$50:I$52,MATCH($N41,E$50:E$52,0))-INDEX(I$49,MATCH($M41,E$49,0))</f>
        <v>0.14000000000000001</v>
      </c>
      <c r="Q41">
        <f>2*(Q$43)*($C41+1)-Q$46*$O41</f>
        <v>195317.87341999923</v>
      </c>
      <c r="R41" s="6">
        <f t="shared" si="6"/>
        <v>2.1265800007677171</v>
      </c>
      <c r="S41" s="6">
        <f t="shared" si="7"/>
        <v>4.5223424996652239</v>
      </c>
    </row>
    <row r="42" spans="1:19" x14ac:dyDescent="0.25">
      <c r="G42" s="6">
        <f>SUM(G39:G41)</f>
        <v>114.28571428558303</v>
      </c>
      <c r="H42" s="6"/>
      <c r="K42" s="6">
        <f>SUM(K39:K41)</f>
        <v>0</v>
      </c>
      <c r="S42" s="6">
        <f>SUM(S39:S41)</f>
        <v>14.582278480940012</v>
      </c>
    </row>
    <row r="43" spans="1:19" ht="18" x14ac:dyDescent="0.35">
      <c r="A43" t="s">
        <v>15</v>
      </c>
      <c r="E43">
        <v>97708.428572596677</v>
      </c>
      <c r="I43">
        <v>97699.500000000015</v>
      </c>
      <c r="Q43">
        <v>97532.286919694263</v>
      </c>
    </row>
    <row r="44" spans="1:19" ht="18" x14ac:dyDescent="0.35">
      <c r="A44" t="s">
        <v>14</v>
      </c>
      <c r="E44">
        <v>91.142856867016121</v>
      </c>
      <c r="I44">
        <v>77.333333333337379</v>
      </c>
    </row>
    <row r="45" spans="1:19" ht="18" x14ac:dyDescent="0.35">
      <c r="A45" t="s">
        <v>19</v>
      </c>
      <c r="I45">
        <v>-3.333333333332825</v>
      </c>
    </row>
    <row r="46" spans="1:19" x14ac:dyDescent="0.25">
      <c r="A46" t="s">
        <v>34</v>
      </c>
      <c r="Q46">
        <v>-1809.2827186478191</v>
      </c>
    </row>
    <row r="48" spans="1:19" x14ac:dyDescent="0.25">
      <c r="A48" t="s">
        <v>12</v>
      </c>
      <c r="B48" t="s">
        <v>24</v>
      </c>
      <c r="C48" t="s">
        <v>25</v>
      </c>
      <c r="D48" t="s">
        <v>26</v>
      </c>
      <c r="E48" t="s">
        <v>27</v>
      </c>
      <c r="F48" t="s">
        <v>28</v>
      </c>
      <c r="G48" t="s">
        <v>29</v>
      </c>
      <c r="H48" t="s">
        <v>30</v>
      </c>
      <c r="I48" t="s">
        <v>31</v>
      </c>
      <c r="K48" t="s">
        <v>27</v>
      </c>
      <c r="L48" s="7" t="s">
        <v>32</v>
      </c>
      <c r="M48" s="7" t="s">
        <v>33</v>
      </c>
    </row>
    <row r="49" spans="1:14" x14ac:dyDescent="0.25">
      <c r="A49">
        <v>0</v>
      </c>
      <c r="B49">
        <f>A49+1</f>
        <v>1</v>
      </c>
      <c r="C49">
        <v>2.5</v>
      </c>
      <c r="D49">
        <f>C49+1</f>
        <v>3.5</v>
      </c>
      <c r="E49">
        <f>A49+C49</f>
        <v>2.5</v>
      </c>
      <c r="F49">
        <f>E49+1</f>
        <v>3.5</v>
      </c>
      <c r="G49">
        <f>E49*F49-C49*D49-A49*B49</f>
        <v>0</v>
      </c>
      <c r="H49">
        <f>G49+1</f>
        <v>1</v>
      </c>
      <c r="I49" s="8">
        <f>(0.75*G49*H49-C49*D49*A49*B49)/(2*C49*(2*C49-1)*(2*A49-1)*(2*A49+3))</f>
        <v>0</v>
      </c>
      <c r="K49">
        <v>2.5</v>
      </c>
      <c r="L49">
        <v>3.5</v>
      </c>
      <c r="M49" s="9">
        <f>INDEX(I$50:I$52,MATCH($L49,E$50:E$52,0))-INDEX(I$49,MATCH($K49,E$49,0))</f>
        <v>0.05</v>
      </c>
      <c r="N49">
        <v>0</v>
      </c>
    </row>
    <row r="50" spans="1:14" x14ac:dyDescent="0.25">
      <c r="A50">
        <v>1</v>
      </c>
      <c r="B50">
        <f t="shared" ref="B50:B52" si="8">A50+1</f>
        <v>2</v>
      </c>
      <c r="C50">
        <v>2.5</v>
      </c>
      <c r="D50">
        <f t="shared" ref="D50:D52" si="9">C50+1</f>
        <v>3.5</v>
      </c>
      <c r="E50">
        <v>3.5</v>
      </c>
      <c r="F50">
        <f t="shared" ref="F50:F52" si="10">E50+1</f>
        <v>4.5</v>
      </c>
      <c r="G50">
        <f t="shared" ref="G50:G52" si="11">E50*F50-C50*D50-A50*B50</f>
        <v>5</v>
      </c>
      <c r="H50">
        <f t="shared" ref="H50:H52" si="12">G50+1</f>
        <v>6</v>
      </c>
      <c r="I50" s="8">
        <f t="shared" ref="I50:I52" si="13">(0.75*G50*H50-C50*D50*A50*B50)/(2*C50*(2*C50-1)*(2*A50-1)*(2*A50+3))</f>
        <v>0.05</v>
      </c>
      <c r="K50">
        <v>2.5</v>
      </c>
      <c r="L50">
        <v>2.5</v>
      </c>
      <c r="M50" s="9">
        <f t="shared" ref="M50:M51" si="14">INDEX(I$50:I$52,MATCH($L50,E$50:E$52,0))-INDEX(I$49,MATCH($K50,E$49,0))</f>
        <v>-0.16</v>
      </c>
      <c r="N50">
        <v>0</v>
      </c>
    </row>
    <row r="51" spans="1:14" x14ac:dyDescent="0.25">
      <c r="A51">
        <v>1</v>
      </c>
      <c r="B51">
        <f t="shared" si="8"/>
        <v>2</v>
      </c>
      <c r="C51">
        <v>2.5</v>
      </c>
      <c r="D51">
        <f t="shared" si="9"/>
        <v>3.5</v>
      </c>
      <c r="E51">
        <v>2.5</v>
      </c>
      <c r="F51">
        <f t="shared" si="10"/>
        <v>3.5</v>
      </c>
      <c r="G51">
        <f t="shared" si="11"/>
        <v>-2</v>
      </c>
      <c r="H51">
        <f t="shared" si="12"/>
        <v>-1</v>
      </c>
      <c r="I51" s="8">
        <f t="shared" si="13"/>
        <v>-0.16</v>
      </c>
      <c r="K51">
        <v>2.5</v>
      </c>
      <c r="L51">
        <v>1.5</v>
      </c>
      <c r="M51" s="9">
        <f t="shared" si="14"/>
        <v>0.14000000000000001</v>
      </c>
      <c r="N51">
        <v>0</v>
      </c>
    </row>
    <row r="52" spans="1:14" x14ac:dyDescent="0.25">
      <c r="A52">
        <v>1</v>
      </c>
      <c r="B52">
        <f t="shared" si="8"/>
        <v>2</v>
      </c>
      <c r="C52">
        <v>2.5</v>
      </c>
      <c r="D52">
        <f t="shared" si="9"/>
        <v>3.5</v>
      </c>
      <c r="E52">
        <v>1.5</v>
      </c>
      <c r="F52">
        <f t="shared" si="10"/>
        <v>2.5</v>
      </c>
      <c r="G52">
        <f t="shared" si="11"/>
        <v>-7</v>
      </c>
      <c r="H52">
        <f t="shared" si="12"/>
        <v>-6</v>
      </c>
      <c r="I52" s="8">
        <f t="shared" si="13"/>
        <v>0.14000000000000001</v>
      </c>
    </row>
    <row r="55" spans="1:14" x14ac:dyDescent="0.25">
      <c r="A55" s="6">
        <v>194776</v>
      </c>
      <c r="B55">
        <v>8</v>
      </c>
      <c r="C55">
        <v>1</v>
      </c>
    </row>
    <row r="56" spans="1:14" x14ac:dyDescent="0.25">
      <c r="A56" s="6">
        <v>195152</v>
      </c>
      <c r="B56">
        <v>8</v>
      </c>
      <c r="C56">
        <v>1</v>
      </c>
    </row>
    <row r="57" spans="1:14" x14ac:dyDescent="0.25">
      <c r="A57" s="6">
        <v>195320</v>
      </c>
      <c r="B57">
        <v>15</v>
      </c>
      <c r="C57">
        <v>1</v>
      </c>
    </row>
    <row r="58" spans="1:14" x14ac:dyDescent="0.25">
      <c r="A58" s="6">
        <v>194776.4</v>
      </c>
      <c r="B58">
        <v>0.3</v>
      </c>
      <c r="C58">
        <v>2</v>
      </c>
    </row>
    <row r="59" spans="1:14" x14ac:dyDescent="0.25">
      <c r="A59" s="6">
        <v>195159.67999999999</v>
      </c>
      <c r="B59">
        <v>0.3</v>
      </c>
      <c r="C59">
        <v>2</v>
      </c>
    </row>
    <row r="60" spans="1:14" x14ac:dyDescent="0.25">
      <c r="A60" s="6">
        <v>195323.02</v>
      </c>
      <c r="B60">
        <v>0.3</v>
      </c>
      <c r="C60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55"/>
  <sheetViews>
    <sheetView tabSelected="1" workbookViewId="0">
      <selection activeCell="E8" sqref="E8"/>
    </sheetView>
  </sheetViews>
  <sheetFormatPr defaultRowHeight="15" x14ac:dyDescent="0.25"/>
  <cols>
    <col min="1" max="1" width="10.5703125" bestFit="1" customWidth="1"/>
    <col min="2" max="2" width="15.140625" customWidth="1"/>
    <col min="3" max="3" width="12.140625" bestFit="1" customWidth="1"/>
    <col min="4" max="4" width="13.7109375" bestFit="1" customWidth="1"/>
    <col min="5" max="5" width="11.5703125" bestFit="1" customWidth="1"/>
  </cols>
  <sheetData>
    <row r="1" spans="1:5" x14ac:dyDescent="0.25">
      <c r="A1" t="s">
        <v>6</v>
      </c>
    </row>
    <row r="3" spans="1:5" x14ac:dyDescent="0.25">
      <c r="A3" t="s">
        <v>23</v>
      </c>
    </row>
    <row r="4" spans="1:5" ht="17.25" x14ac:dyDescent="0.25">
      <c r="A4" t="s">
        <v>5</v>
      </c>
      <c r="B4" t="s">
        <v>7</v>
      </c>
    </row>
    <row r="5" spans="1:5" x14ac:dyDescent="0.25">
      <c r="B5" t="s">
        <v>1</v>
      </c>
      <c r="C5" t="s">
        <v>2</v>
      </c>
      <c r="D5" t="s">
        <v>3</v>
      </c>
      <c r="E5" t="s">
        <v>4</v>
      </c>
    </row>
    <row r="6" spans="1:5" x14ac:dyDescent="0.25">
      <c r="A6" t="s">
        <v>9</v>
      </c>
      <c r="B6" s="2">
        <v>1.0078259322400001</v>
      </c>
      <c r="C6" s="3">
        <v>8.9999999999999999E-11</v>
      </c>
      <c r="D6" s="4">
        <v>99.988500000000002</v>
      </c>
      <c r="E6" s="5">
        <v>0.5</v>
      </c>
    </row>
    <row r="7" spans="1:5" x14ac:dyDescent="0.25">
      <c r="A7" t="s">
        <v>10</v>
      </c>
      <c r="B7" s="2">
        <v>2.0141017781100001</v>
      </c>
      <c r="C7" s="3">
        <v>1.2E-10</v>
      </c>
      <c r="D7" s="4">
        <v>1.15E-2</v>
      </c>
      <c r="E7" s="5">
        <v>1</v>
      </c>
    </row>
    <row r="8" spans="1:5" x14ac:dyDescent="0.25">
      <c r="A8" t="s">
        <v>8</v>
      </c>
      <c r="B8" s="2">
        <v>126.904473</v>
      </c>
      <c r="C8" s="3">
        <v>3.9999999999999998E-6</v>
      </c>
      <c r="D8" s="4">
        <v>100</v>
      </c>
      <c r="E8" s="5">
        <v>2.5</v>
      </c>
    </row>
    <row r="9" spans="1:5" x14ac:dyDescent="0.25">
      <c r="B9" s="1">
        <f>B6*B8/(B6+B8)</f>
        <v>0.9998852328844714</v>
      </c>
    </row>
    <row r="10" spans="1:5" x14ac:dyDescent="0.25">
      <c r="B10" s="1">
        <f>B7*B8/(B7+B8)</f>
        <v>1.9826353584759953</v>
      </c>
    </row>
    <row r="11" spans="1:5" x14ac:dyDescent="0.25">
      <c r="B11" s="1"/>
    </row>
    <row r="12" spans="1:5" s="10" customFormat="1" x14ac:dyDescent="0.25">
      <c r="A12" s="10" t="s">
        <v>39</v>
      </c>
      <c r="B12" s="11"/>
    </row>
    <row r="13" spans="1:5" x14ac:dyDescent="0.25">
      <c r="B13" s="1"/>
    </row>
    <row r="14" spans="1:5" x14ac:dyDescent="0.25">
      <c r="A14" t="s">
        <v>0</v>
      </c>
    </row>
    <row r="15" spans="1:5" x14ac:dyDescent="0.25">
      <c r="A15" s="6">
        <v>194776.4</v>
      </c>
      <c r="B15">
        <v>0.3</v>
      </c>
      <c r="C15">
        <v>1</v>
      </c>
    </row>
    <row r="16" spans="1:5" x14ac:dyDescent="0.25">
      <c r="A16" s="6">
        <v>195159.67999999999</v>
      </c>
      <c r="B16">
        <v>0.3</v>
      </c>
      <c r="C16">
        <v>1</v>
      </c>
    </row>
    <row r="17" spans="1:3" x14ac:dyDescent="0.25">
      <c r="A17" s="6">
        <v>195323.02</v>
      </c>
      <c r="B17">
        <v>0.3</v>
      </c>
      <c r="C17">
        <v>1</v>
      </c>
    </row>
    <row r="18" spans="1:3" x14ac:dyDescent="0.25">
      <c r="A18" s="6"/>
    </row>
    <row r="19" spans="1:3" x14ac:dyDescent="0.25">
      <c r="A19" s="6"/>
    </row>
    <row r="20" spans="1:3" x14ac:dyDescent="0.25">
      <c r="A20" s="6"/>
    </row>
    <row r="21" spans="1:3" x14ac:dyDescent="0.25">
      <c r="A21" s="6"/>
    </row>
    <row r="22" spans="1:3" x14ac:dyDescent="0.25">
      <c r="A22" s="6"/>
    </row>
    <row r="23" spans="1:3" x14ac:dyDescent="0.25">
      <c r="A23" s="6"/>
    </row>
    <row r="24" spans="1:3" x14ac:dyDescent="0.25">
      <c r="A24" s="6"/>
    </row>
    <row r="25" spans="1:3" x14ac:dyDescent="0.25">
      <c r="A25" s="6"/>
    </row>
    <row r="26" spans="1:3" x14ac:dyDescent="0.25">
      <c r="A26" s="6"/>
    </row>
    <row r="27" spans="1:3" x14ac:dyDescent="0.25">
      <c r="A27" s="6"/>
    </row>
    <row r="28" spans="1:3" x14ac:dyDescent="0.25">
      <c r="A28" s="6"/>
    </row>
    <row r="29" spans="1:3" x14ac:dyDescent="0.25">
      <c r="A29" s="6"/>
    </row>
    <row r="30" spans="1:3" x14ac:dyDescent="0.25">
      <c r="A30" s="6"/>
    </row>
    <row r="31" spans="1:3" x14ac:dyDescent="0.25">
      <c r="A31" s="6"/>
    </row>
    <row r="32" spans="1:3" x14ac:dyDescent="0.25">
      <c r="A32" s="6"/>
    </row>
    <row r="33" spans="1:19" x14ac:dyDescent="0.25">
      <c r="A33" s="6"/>
    </row>
    <row r="34" spans="1:19" x14ac:dyDescent="0.25">
      <c r="A34" s="6"/>
    </row>
    <row r="35" spans="1:19" x14ac:dyDescent="0.25">
      <c r="A35" s="6"/>
    </row>
    <row r="37" spans="1:19" s="10" customFormat="1" x14ac:dyDescent="0.25">
      <c r="A37" s="10" t="s">
        <v>40</v>
      </c>
    </row>
    <row r="39" spans="1:19" x14ac:dyDescent="0.25">
      <c r="B39" t="s">
        <v>2</v>
      </c>
      <c r="C39" t="s">
        <v>12</v>
      </c>
      <c r="D39" t="s">
        <v>13</v>
      </c>
      <c r="E39" t="s">
        <v>16</v>
      </c>
      <c r="F39" t="s">
        <v>17</v>
      </c>
      <c r="G39" t="s">
        <v>18</v>
      </c>
      <c r="I39" t="s">
        <v>21</v>
      </c>
      <c r="J39" t="s">
        <v>17</v>
      </c>
      <c r="K39" t="s">
        <v>18</v>
      </c>
      <c r="M39" t="s">
        <v>27</v>
      </c>
      <c r="N39" t="s">
        <v>32</v>
      </c>
      <c r="O39" s="7" t="s">
        <v>33</v>
      </c>
      <c r="Q39" t="s">
        <v>35</v>
      </c>
      <c r="R39" t="s">
        <v>17</v>
      </c>
      <c r="S39" t="s">
        <v>18</v>
      </c>
    </row>
    <row r="40" spans="1:19" x14ac:dyDescent="0.25">
      <c r="A40" s="6">
        <v>194776.4</v>
      </c>
      <c r="B40">
        <v>0.3</v>
      </c>
      <c r="C40">
        <v>0</v>
      </c>
      <c r="D40">
        <v>3</v>
      </c>
      <c r="E40">
        <f>2*(E$44-E$45*($D40+0.5))*($C40+1)</f>
        <v>194780.44285757514</v>
      </c>
      <c r="F40" s="6">
        <f>$A40-E40</f>
        <v>-4.0428575751429889</v>
      </c>
      <c r="G40" s="6">
        <f>F40^2</f>
        <v>16.344697372891048</v>
      </c>
      <c r="H40" s="6"/>
      <c r="I40">
        <f>2*(I$44-I$45*($D40+0.5)+I$46*($D40+0.5)^2)*($C40+1)</f>
        <v>194776.40000000192</v>
      </c>
      <c r="J40" s="6">
        <f>$A40-I40</f>
        <v>-1.9208528101444244E-9</v>
      </c>
      <c r="K40" s="6">
        <f>J40^2</f>
        <v>3.6896755182397323E-18</v>
      </c>
      <c r="M40">
        <v>2.5</v>
      </c>
      <c r="N40">
        <v>2.5</v>
      </c>
      <c r="O40" s="9">
        <f>INDEX(I$53:I$55,MATCH($N40,E$53:E$55,0))-INDEX(I$52,MATCH($M40,E$52,0))</f>
        <v>-0.16</v>
      </c>
      <c r="Q40">
        <f>2*(Q$44)*($C40+1)-Q$47*$O40</f>
        <v>194776.52265703332</v>
      </c>
      <c r="R40" s="6">
        <f>$A40-Q40</f>
        <v>-0.12265703332377598</v>
      </c>
      <c r="S40" s="6">
        <f>R40^2</f>
        <v>1.5044747823789891E-2</v>
      </c>
    </row>
    <row r="41" spans="1:19" x14ac:dyDescent="0.25">
      <c r="A41" s="6">
        <v>195159.67999999999</v>
      </c>
      <c r="B41">
        <v>0.3</v>
      </c>
      <c r="C41">
        <v>0</v>
      </c>
      <c r="D41">
        <v>1</v>
      </c>
      <c r="E41">
        <f t="shared" ref="E41:E42" si="0">2*(E$44-E$45*($D41+0.5))*($C41+1)</f>
        <v>195147.55142956509</v>
      </c>
      <c r="F41" s="6">
        <f t="shared" ref="F41:F42" si="1">$A41-E41</f>
        <v>12.128570434899302</v>
      </c>
      <c r="G41" s="6">
        <f t="shared" ref="G41:G42" si="2">F41^2</f>
        <v>147.10222079431344</v>
      </c>
      <c r="H41" s="6"/>
      <c r="I41">
        <f t="shared" ref="I41:I42" si="3">2*(I$44-I$45*($D41+0.5)+I$46*($D41+0.5)^2)*($C41+1)</f>
        <v>195159.67999999199</v>
      </c>
      <c r="J41" s="6">
        <f t="shared" ref="J41:J42" si="4">$A41-I41</f>
        <v>8.0035533756017685E-9</v>
      </c>
      <c r="K41" s="6">
        <f t="shared" ref="K41:K42" si="5">J41^2</f>
        <v>6.4056866636106463E-17</v>
      </c>
      <c r="M41">
        <v>2.5</v>
      </c>
      <c r="N41">
        <v>3.5</v>
      </c>
      <c r="O41" s="9">
        <f>INDEX(I$53:I$55,MATCH($N41,E$53:E$55,0))-INDEX(I$52,MATCH($M41,E$52,0))</f>
        <v>0.05</v>
      </c>
      <c r="Q41">
        <f>2*(Q$44)*($C41+1)-Q$47*$O41</f>
        <v>195159.27113805027</v>
      </c>
      <c r="R41" s="6">
        <f t="shared" ref="R41:R42" si="6">$A41-Q41</f>
        <v>0.40886194971972145</v>
      </c>
      <c r="S41" s="6">
        <f t="shared" ref="S41:S42" si="7">R41^2</f>
        <v>0.16716809392861204</v>
      </c>
    </row>
    <row r="42" spans="1:19" x14ac:dyDescent="0.25">
      <c r="A42" s="6">
        <v>195323.02</v>
      </c>
      <c r="B42">
        <v>0.3</v>
      </c>
      <c r="C42">
        <v>0</v>
      </c>
      <c r="D42">
        <v>0</v>
      </c>
      <c r="E42">
        <f t="shared" si="0"/>
        <v>195331.10571556006</v>
      </c>
      <c r="F42" s="6">
        <f t="shared" si="1"/>
        <v>-8.0857155600679107</v>
      </c>
      <c r="G42" s="6">
        <f t="shared" si="2"/>
        <v>65.378796118324331</v>
      </c>
      <c r="H42" s="6"/>
      <c r="I42">
        <f t="shared" si="3"/>
        <v>195323.02000000607</v>
      </c>
      <c r="J42" s="6">
        <f t="shared" si="4"/>
        <v>-6.0827005654573441E-9</v>
      </c>
      <c r="K42" s="6">
        <f t="shared" si="5"/>
        <v>3.6999246169015093E-17</v>
      </c>
      <c r="M42">
        <v>2.5</v>
      </c>
      <c r="N42">
        <v>1.5</v>
      </c>
      <c r="O42" s="9">
        <f>INDEX(I$53:I$55,MATCH($N42,E$53:E$55,0))-INDEX(I$52,MATCH($M42,E$52,0))</f>
        <v>0.14000000000000001</v>
      </c>
      <c r="Q42">
        <f>2*(Q$44)*($C42+1)-Q$47*$O42</f>
        <v>195323.30620134325</v>
      </c>
      <c r="R42" s="6">
        <f t="shared" si="6"/>
        <v>-0.28620134326047264</v>
      </c>
      <c r="S42" s="6">
        <f t="shared" si="7"/>
        <v>8.1911208884098891E-2</v>
      </c>
    </row>
    <row r="43" spans="1:19" x14ac:dyDescent="0.25">
      <c r="G43" s="6">
        <f>SUM(G40:G42)</f>
        <v>228.82571428552882</v>
      </c>
      <c r="H43" s="6"/>
      <c r="K43" s="6">
        <f>SUM(K40:K42)</f>
        <v>1.0474578832336129E-16</v>
      </c>
      <c r="S43" s="6">
        <f>SUM(S40:S42)</f>
        <v>0.2641240506365008</v>
      </c>
    </row>
    <row r="44" spans="1:19" ht="18" x14ac:dyDescent="0.35">
      <c r="A44" t="s">
        <v>15</v>
      </c>
      <c r="E44">
        <v>97711.44142927877</v>
      </c>
      <c r="I44">
        <v>97698.80750000893</v>
      </c>
      <c r="Q44">
        <v>97534.070273665973</v>
      </c>
    </row>
    <row r="45" spans="1:19" ht="18" x14ac:dyDescent="0.35">
      <c r="A45" t="s">
        <v>14</v>
      </c>
      <c r="E45">
        <v>91.777142997485271</v>
      </c>
      <c r="I45">
        <v>72.236666680052508</v>
      </c>
    </row>
    <row r="46" spans="1:19" ht="18" x14ac:dyDescent="0.35">
      <c r="A46" t="s">
        <v>19</v>
      </c>
      <c r="E46" t="s">
        <v>20</v>
      </c>
      <c r="I46">
        <v>-4.716666663493065</v>
      </c>
    </row>
    <row r="47" spans="1:19" x14ac:dyDescent="0.25">
      <c r="A47" t="s">
        <v>34</v>
      </c>
      <c r="Q47">
        <v>-1822.6118143664262</v>
      </c>
    </row>
    <row r="49" spans="1:14" x14ac:dyDescent="0.25">
      <c r="A49" t="s">
        <v>22</v>
      </c>
    </row>
    <row r="51" spans="1:14" x14ac:dyDescent="0.25">
      <c r="A51" t="s">
        <v>12</v>
      </c>
      <c r="B51" t="s">
        <v>24</v>
      </c>
      <c r="C51" t="s">
        <v>25</v>
      </c>
      <c r="D51" t="s">
        <v>26</v>
      </c>
      <c r="E51" t="s">
        <v>27</v>
      </c>
      <c r="F51" t="s">
        <v>28</v>
      </c>
      <c r="G51" t="s">
        <v>29</v>
      </c>
      <c r="H51" t="s">
        <v>30</v>
      </c>
      <c r="I51" t="s">
        <v>31</v>
      </c>
      <c r="K51" t="s">
        <v>27</v>
      </c>
      <c r="L51" s="7" t="s">
        <v>32</v>
      </c>
      <c r="M51" s="7" t="s">
        <v>33</v>
      </c>
    </row>
    <row r="52" spans="1:14" x14ac:dyDescent="0.25">
      <c r="A52">
        <v>0</v>
      </c>
      <c r="B52">
        <f>A52+1</f>
        <v>1</v>
      </c>
      <c r="C52">
        <v>2.5</v>
      </c>
      <c r="D52">
        <f>C52+1</f>
        <v>3.5</v>
      </c>
      <c r="E52">
        <f>A52+C52</f>
        <v>2.5</v>
      </c>
      <c r="F52">
        <f>E52+1</f>
        <v>3.5</v>
      </c>
      <c r="G52">
        <f>E52*F52-C52*D52-A52*B52</f>
        <v>0</v>
      </c>
      <c r="H52">
        <f>G52+1</f>
        <v>1</v>
      </c>
      <c r="I52" s="8">
        <f>(0.75*G52*H52-C52*D52*A52*B52)/(2*C52*(2*C52-1)*(2*A52-1)*(2*A52+3))</f>
        <v>0</v>
      </c>
      <c r="K52">
        <v>2.5</v>
      </c>
      <c r="L52">
        <v>3.5</v>
      </c>
      <c r="M52" s="9">
        <f>INDEX(I$53:I$55,MATCH($L52,E$53:E$55,0))-INDEX(I$52,MATCH($K52,E$52,0))</f>
        <v>0.05</v>
      </c>
      <c r="N52">
        <v>0</v>
      </c>
    </row>
    <row r="53" spans="1:14" x14ac:dyDescent="0.25">
      <c r="A53">
        <v>1</v>
      </c>
      <c r="B53">
        <f t="shared" ref="B53:B55" si="8">A53+1</f>
        <v>2</v>
      </c>
      <c r="C53">
        <v>2.5</v>
      </c>
      <c r="D53">
        <f t="shared" ref="D53:D55" si="9">C53+1</f>
        <v>3.5</v>
      </c>
      <c r="E53">
        <v>3.5</v>
      </c>
      <c r="F53">
        <f t="shared" ref="F53:F55" si="10">E53+1</f>
        <v>4.5</v>
      </c>
      <c r="G53">
        <f t="shared" ref="G53:G55" si="11">E53*F53-C53*D53-A53*B53</f>
        <v>5</v>
      </c>
      <c r="H53">
        <f t="shared" ref="H53:H55" si="12">G53+1</f>
        <v>6</v>
      </c>
      <c r="I53" s="8">
        <f t="shared" ref="I53:I55" si="13">(0.75*G53*H53-C53*D53*A53*B53)/(2*C53*(2*C53-1)*(2*A53-1)*(2*A53+3))</f>
        <v>0.05</v>
      </c>
      <c r="K53">
        <v>2.5</v>
      </c>
      <c r="L53">
        <v>2.5</v>
      </c>
      <c r="M53" s="9">
        <f>INDEX(I$53:I$55,MATCH($L53,E$53:E$55,0))-INDEX(I$52,MATCH($K53,E$52,0))</f>
        <v>-0.16</v>
      </c>
      <c r="N53">
        <v>0</v>
      </c>
    </row>
    <row r="54" spans="1:14" x14ac:dyDescent="0.25">
      <c r="A54">
        <v>1</v>
      </c>
      <c r="B54">
        <f t="shared" si="8"/>
        <v>2</v>
      </c>
      <c r="C54">
        <v>2.5</v>
      </c>
      <c r="D54">
        <f t="shared" si="9"/>
        <v>3.5</v>
      </c>
      <c r="E54">
        <v>2.5</v>
      </c>
      <c r="F54">
        <f t="shared" si="10"/>
        <v>3.5</v>
      </c>
      <c r="G54">
        <f t="shared" si="11"/>
        <v>-2</v>
      </c>
      <c r="H54">
        <f t="shared" si="12"/>
        <v>-1</v>
      </c>
      <c r="I54" s="8">
        <f t="shared" si="13"/>
        <v>-0.16</v>
      </c>
      <c r="K54">
        <v>2.5</v>
      </c>
      <c r="L54">
        <v>1.5</v>
      </c>
      <c r="M54" s="9">
        <f>INDEX(I$53:I$55,MATCH($L54,E$53:E$55,0))-INDEX(I$52,MATCH($K54,E$52,0))</f>
        <v>0.14000000000000001</v>
      </c>
      <c r="N54">
        <v>0</v>
      </c>
    </row>
    <row r="55" spans="1:14" x14ac:dyDescent="0.25">
      <c r="A55">
        <v>1</v>
      </c>
      <c r="B55">
        <f t="shared" si="8"/>
        <v>2</v>
      </c>
      <c r="C55">
        <v>2.5</v>
      </c>
      <c r="D55">
        <f t="shared" si="9"/>
        <v>3.5</v>
      </c>
      <c r="E55">
        <v>1.5</v>
      </c>
      <c r="F55">
        <f t="shared" si="10"/>
        <v>2.5</v>
      </c>
      <c r="G55">
        <f t="shared" si="11"/>
        <v>-7</v>
      </c>
      <c r="H55">
        <f t="shared" si="12"/>
        <v>-6</v>
      </c>
      <c r="I55" s="8">
        <f t="shared" si="13"/>
        <v>0.14000000000000001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Microwave1</vt:lpstr>
      <vt:lpstr>Microwave2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2023-02-05T19:52:02Z</dcterms:modified>
</cp:coreProperties>
</file>