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9F366437-C8C4-4B8D-83DC-341C4A01A711}" xr6:coauthVersionLast="36" xr6:coauthVersionMax="36" xr10:uidLastSave="{00000000-0000-0000-0000-000000000000}"/>
  <bookViews>
    <workbookView xWindow="0" yWindow="0" windowWidth="22260" windowHeight="10185" xr2:uid="{00000000-000D-0000-FFFF-FFFF00000000}"/>
  </bookViews>
  <sheets>
    <sheet name="Microwave" sheetId="1" r:id="rId1"/>
  </sheets>
  <definedNames>
    <definedName name="solver_adj" localSheetId="0" hidden="1">Microwave!$M$159:$M$161</definedName>
    <definedName name="solver_cvg" localSheetId="0" hidden="1">0.00000001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Microwave!$O$158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6" i="1" l="1"/>
  <c r="G96" i="1" s="1"/>
  <c r="H96" i="1" s="1"/>
  <c r="F97" i="1"/>
  <c r="G97" i="1" s="1"/>
  <c r="H97" i="1" s="1"/>
  <c r="F100" i="1"/>
  <c r="G100" i="1" s="1"/>
  <c r="H100" i="1" s="1"/>
  <c r="F101" i="1"/>
  <c r="G101" i="1" s="1"/>
  <c r="H101" i="1" s="1"/>
  <c r="F104" i="1"/>
  <c r="G104" i="1" s="1"/>
  <c r="H104" i="1" s="1"/>
  <c r="F93" i="1"/>
  <c r="G93" i="1" s="1"/>
  <c r="H93" i="1" s="1"/>
  <c r="F169" i="1"/>
  <c r="D169" i="1"/>
  <c r="B169" i="1"/>
  <c r="F168" i="1"/>
  <c r="D168" i="1"/>
  <c r="B168" i="1"/>
  <c r="F167" i="1"/>
  <c r="D167" i="1"/>
  <c r="B167" i="1"/>
  <c r="E166" i="1"/>
  <c r="F166" i="1" s="1"/>
  <c r="D166" i="1"/>
  <c r="B166" i="1"/>
  <c r="E156" i="1"/>
  <c r="F156" i="1" s="1"/>
  <c r="G156" i="1" s="1"/>
  <c r="E141" i="1"/>
  <c r="F141" i="1" s="1"/>
  <c r="G141" i="1" s="1"/>
  <c r="C157" i="1"/>
  <c r="E157" i="1" s="1"/>
  <c r="F157" i="1" s="1"/>
  <c r="G157" i="1" s="1"/>
  <c r="C156" i="1"/>
  <c r="C155" i="1"/>
  <c r="E155" i="1" s="1"/>
  <c r="F155" i="1" s="1"/>
  <c r="G155" i="1" s="1"/>
  <c r="C154" i="1"/>
  <c r="E154" i="1" s="1"/>
  <c r="F154" i="1" s="1"/>
  <c r="G154" i="1" s="1"/>
  <c r="C153" i="1"/>
  <c r="E153" i="1" s="1"/>
  <c r="F153" i="1" s="1"/>
  <c r="G153" i="1" s="1"/>
  <c r="C152" i="1"/>
  <c r="E152" i="1" s="1"/>
  <c r="F152" i="1" s="1"/>
  <c r="G152" i="1" s="1"/>
  <c r="C144" i="1"/>
  <c r="E144" i="1" s="1"/>
  <c r="F144" i="1" s="1"/>
  <c r="G144" i="1" s="1"/>
  <c r="C143" i="1"/>
  <c r="E143" i="1" s="1"/>
  <c r="F143" i="1" s="1"/>
  <c r="G143" i="1" s="1"/>
  <c r="C142" i="1"/>
  <c r="E142" i="1" s="1"/>
  <c r="F142" i="1" s="1"/>
  <c r="G142" i="1" s="1"/>
  <c r="C141" i="1"/>
  <c r="C140" i="1"/>
  <c r="E140" i="1" s="1"/>
  <c r="F140" i="1" s="1"/>
  <c r="G140" i="1" s="1"/>
  <c r="C139" i="1"/>
  <c r="E139" i="1" s="1"/>
  <c r="F139" i="1" s="1"/>
  <c r="G139" i="1" s="1"/>
  <c r="F129" i="1"/>
  <c r="E130" i="1"/>
  <c r="E129" i="1"/>
  <c r="D131" i="1"/>
  <c r="D130" i="1"/>
  <c r="D129" i="1"/>
  <c r="C94" i="1"/>
  <c r="F94" i="1" s="1"/>
  <c r="G94" i="1" s="1"/>
  <c r="H94" i="1" s="1"/>
  <c r="C95" i="1"/>
  <c r="F95" i="1" s="1"/>
  <c r="G95" i="1" s="1"/>
  <c r="H95" i="1" s="1"/>
  <c r="C96" i="1"/>
  <c r="C97" i="1"/>
  <c r="C98" i="1"/>
  <c r="F98" i="1" s="1"/>
  <c r="G98" i="1" s="1"/>
  <c r="H98" i="1" s="1"/>
  <c r="C99" i="1"/>
  <c r="F99" i="1" s="1"/>
  <c r="G99" i="1" s="1"/>
  <c r="H99" i="1" s="1"/>
  <c r="C100" i="1"/>
  <c r="C101" i="1"/>
  <c r="C102" i="1"/>
  <c r="F102" i="1" s="1"/>
  <c r="G102" i="1" s="1"/>
  <c r="H102" i="1" s="1"/>
  <c r="C103" i="1"/>
  <c r="F103" i="1" s="1"/>
  <c r="G103" i="1" s="1"/>
  <c r="H103" i="1" s="1"/>
  <c r="C104" i="1"/>
  <c r="C93" i="1"/>
  <c r="B9" i="1"/>
  <c r="R43" i="1"/>
  <c r="S43" i="1"/>
  <c r="T43" i="1"/>
  <c r="U43" i="1"/>
  <c r="R44" i="1"/>
  <c r="S44" i="1"/>
  <c r="T44" i="1"/>
  <c r="U44" i="1"/>
  <c r="R45" i="1"/>
  <c r="S45" i="1"/>
  <c r="T45" i="1"/>
  <c r="U45" i="1"/>
  <c r="R46" i="1"/>
  <c r="S46" i="1"/>
  <c r="T46" i="1"/>
  <c r="U46" i="1"/>
  <c r="R47" i="1"/>
  <c r="S47" i="1"/>
  <c r="T47" i="1"/>
  <c r="U47" i="1"/>
  <c r="R48" i="1"/>
  <c r="S48" i="1"/>
  <c r="T48" i="1"/>
  <c r="U48" i="1"/>
  <c r="R49" i="1"/>
  <c r="S49" i="1"/>
  <c r="T49" i="1"/>
  <c r="U49" i="1"/>
  <c r="R50" i="1"/>
  <c r="S50" i="1"/>
  <c r="T50" i="1"/>
  <c r="U50" i="1"/>
  <c r="R51" i="1"/>
  <c r="S51" i="1"/>
  <c r="T51" i="1"/>
  <c r="U51" i="1"/>
  <c r="R52" i="1"/>
  <c r="S52" i="1"/>
  <c r="T52" i="1"/>
  <c r="U52" i="1"/>
  <c r="R53" i="1"/>
  <c r="S53" i="1"/>
  <c r="T53" i="1"/>
  <c r="U53" i="1"/>
  <c r="U42" i="1"/>
  <c r="T42" i="1"/>
  <c r="S42" i="1"/>
  <c r="R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1" i="1"/>
  <c r="M51" i="1"/>
  <c r="N51" i="1"/>
  <c r="L52" i="1"/>
  <c r="M52" i="1"/>
  <c r="N52" i="1"/>
  <c r="L53" i="1"/>
  <c r="M53" i="1"/>
  <c r="N53" i="1"/>
  <c r="N42" i="1"/>
  <c r="M42" i="1"/>
  <c r="L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H42" i="1"/>
  <c r="G42" i="1"/>
  <c r="B43" i="1"/>
  <c r="C43" i="1" s="1"/>
  <c r="D43" i="1" s="1"/>
  <c r="B44" i="1"/>
  <c r="C44" i="1" s="1"/>
  <c r="D44" i="1" s="1"/>
  <c r="B45" i="1"/>
  <c r="C45" i="1" s="1"/>
  <c r="D45" i="1" s="1"/>
  <c r="B46" i="1"/>
  <c r="C46" i="1" s="1"/>
  <c r="D46" i="1" s="1"/>
  <c r="B47" i="1"/>
  <c r="C47" i="1" s="1"/>
  <c r="D47" i="1" s="1"/>
  <c r="B48" i="1"/>
  <c r="C48" i="1" s="1"/>
  <c r="D48" i="1" s="1"/>
  <c r="B49" i="1"/>
  <c r="C49" i="1" s="1"/>
  <c r="D49" i="1" s="1"/>
  <c r="B50" i="1"/>
  <c r="C50" i="1" s="1"/>
  <c r="D50" i="1" s="1"/>
  <c r="B51" i="1"/>
  <c r="C51" i="1" s="1"/>
  <c r="D51" i="1" s="1"/>
  <c r="B52" i="1"/>
  <c r="C52" i="1" s="1"/>
  <c r="D52" i="1" s="1"/>
  <c r="B53" i="1"/>
  <c r="C53" i="1" s="1"/>
  <c r="D53" i="1" s="1"/>
  <c r="B42" i="1"/>
  <c r="C42" i="1" s="1"/>
  <c r="D42" i="1" s="1"/>
  <c r="G167" i="1" l="1"/>
  <c r="G169" i="1"/>
  <c r="I169" i="1" s="1"/>
  <c r="G168" i="1"/>
  <c r="H168" i="1" s="1"/>
  <c r="I168" i="1" s="1"/>
  <c r="H169" i="1"/>
  <c r="H167" i="1"/>
  <c r="I167" i="1" s="1"/>
  <c r="G166" i="1"/>
  <c r="G158" i="1"/>
  <c r="G145" i="1"/>
  <c r="H105" i="1"/>
  <c r="V44" i="1"/>
  <c r="Q44" i="1" s="1"/>
  <c r="V50" i="1"/>
  <c r="Q50" i="1" s="1"/>
  <c r="V46" i="1"/>
  <c r="Q46" i="1" s="1"/>
  <c r="V42" i="1"/>
  <c r="Q42" i="1" s="1"/>
  <c r="V52" i="1"/>
  <c r="Q52" i="1" s="1"/>
  <c r="V48" i="1"/>
  <c r="Q48" i="1" s="1"/>
  <c r="V47" i="1"/>
  <c r="Q47" i="1" s="1"/>
  <c r="V53" i="1"/>
  <c r="Q53" i="1" s="1"/>
  <c r="V49" i="1"/>
  <c r="Q49" i="1" s="1"/>
  <c r="V45" i="1"/>
  <c r="Q45" i="1" s="1"/>
  <c r="V43" i="1"/>
  <c r="Q43" i="1" s="1"/>
  <c r="V51" i="1"/>
  <c r="Q51" i="1" s="1"/>
  <c r="O51" i="1"/>
  <c r="K51" i="1" s="1"/>
  <c r="O43" i="1"/>
  <c r="K43" i="1" s="1"/>
  <c r="O47" i="1"/>
  <c r="K47" i="1" s="1"/>
  <c r="O42" i="1"/>
  <c r="K42" i="1" s="1"/>
  <c r="O53" i="1"/>
  <c r="K53" i="1" s="1"/>
  <c r="O49" i="1"/>
  <c r="K49" i="1" s="1"/>
  <c r="O45" i="1"/>
  <c r="O50" i="1"/>
  <c r="K50" i="1" s="1"/>
  <c r="O46" i="1"/>
  <c r="K46" i="1" s="1"/>
  <c r="O52" i="1"/>
  <c r="K52" i="1" s="1"/>
  <c r="O48" i="1"/>
  <c r="K48" i="1" s="1"/>
  <c r="O44" i="1"/>
  <c r="K44" i="1" s="1"/>
  <c r="I43" i="1"/>
  <c r="F43" i="1" s="1"/>
  <c r="I42" i="1"/>
  <c r="F42" i="1" s="1"/>
  <c r="I46" i="1"/>
  <c r="F46" i="1" s="1"/>
  <c r="I47" i="1"/>
  <c r="F47" i="1" s="1"/>
  <c r="I53" i="1"/>
  <c r="F53" i="1" s="1"/>
  <c r="I51" i="1"/>
  <c r="F51" i="1" s="1"/>
  <c r="I52" i="1"/>
  <c r="F52" i="1" s="1"/>
  <c r="I48" i="1"/>
  <c r="F48" i="1" s="1"/>
  <c r="I49" i="1"/>
  <c r="F49" i="1" s="1"/>
  <c r="I45" i="1"/>
  <c r="F45" i="1" s="1"/>
  <c r="I50" i="1"/>
  <c r="F50" i="1" s="1"/>
  <c r="I44" i="1"/>
  <c r="F44" i="1" s="1"/>
  <c r="D54" i="1"/>
  <c r="M166" i="1" l="1"/>
  <c r="K141" i="1"/>
  <c r="M141" i="1" s="1"/>
  <c r="N141" i="1" s="1"/>
  <c r="O141" i="1" s="1"/>
  <c r="L98" i="1"/>
  <c r="N98" i="1" s="1"/>
  <c r="O98" i="1" s="1"/>
  <c r="P98" i="1" s="1"/>
  <c r="M168" i="1"/>
  <c r="K152" i="1"/>
  <c r="M152" i="1" s="1"/>
  <c r="N152" i="1" s="1"/>
  <c r="O152" i="1" s="1"/>
  <c r="L96" i="1"/>
  <c r="N96" i="1" s="1"/>
  <c r="O96" i="1" s="1"/>
  <c r="P96" i="1" s="1"/>
  <c r="L102" i="1"/>
  <c r="N102" i="1" s="1"/>
  <c r="O102" i="1" s="1"/>
  <c r="P102" i="1" s="1"/>
  <c r="L100" i="1"/>
  <c r="N100" i="1" s="1"/>
  <c r="O100" i="1" s="1"/>
  <c r="P100" i="1" s="1"/>
  <c r="L103" i="1"/>
  <c r="N103" i="1" s="1"/>
  <c r="O103" i="1" s="1"/>
  <c r="P103" i="1" s="1"/>
  <c r="L94" i="1"/>
  <c r="N94" i="1" s="1"/>
  <c r="O94" i="1" s="1"/>
  <c r="P94" i="1" s="1"/>
  <c r="K156" i="1"/>
  <c r="M156" i="1" s="1"/>
  <c r="N156" i="1" s="1"/>
  <c r="O156" i="1" s="1"/>
  <c r="H166" i="1"/>
  <c r="I166" i="1" s="1"/>
  <c r="M167" i="1" s="1"/>
  <c r="V54" i="1"/>
  <c r="K45" i="1"/>
  <c r="O54" i="1"/>
  <c r="I54" i="1"/>
  <c r="L104" i="1" l="1"/>
  <c r="N104" i="1" s="1"/>
  <c r="O104" i="1" s="1"/>
  <c r="P104" i="1" s="1"/>
  <c r="K142" i="1"/>
  <c r="M142" i="1" s="1"/>
  <c r="N142" i="1" s="1"/>
  <c r="O142" i="1" s="1"/>
  <c r="K153" i="1"/>
  <c r="M153" i="1" s="1"/>
  <c r="N153" i="1" s="1"/>
  <c r="O153" i="1" s="1"/>
  <c r="O158" i="1" s="1"/>
  <c r="L97" i="1"/>
  <c r="N97" i="1" s="1"/>
  <c r="O97" i="1" s="1"/>
  <c r="P97" i="1" s="1"/>
  <c r="K139" i="1"/>
  <c r="M139" i="1" s="1"/>
  <c r="N139" i="1" s="1"/>
  <c r="O139" i="1" s="1"/>
  <c r="L99" i="1"/>
  <c r="N99" i="1" s="1"/>
  <c r="O99" i="1" s="1"/>
  <c r="P99" i="1" s="1"/>
  <c r="L95" i="1"/>
  <c r="N95" i="1" s="1"/>
  <c r="O95" i="1" s="1"/>
  <c r="P95" i="1" s="1"/>
  <c r="K144" i="1"/>
  <c r="M144" i="1" s="1"/>
  <c r="N144" i="1" s="1"/>
  <c r="O144" i="1" s="1"/>
  <c r="L93" i="1"/>
  <c r="N93" i="1" s="1"/>
  <c r="O93" i="1" s="1"/>
  <c r="P93" i="1" s="1"/>
  <c r="P105" i="1" s="1"/>
  <c r="K143" i="1"/>
  <c r="M143" i="1" s="1"/>
  <c r="N143" i="1" s="1"/>
  <c r="O143" i="1" s="1"/>
  <c r="K140" i="1"/>
  <c r="M140" i="1" s="1"/>
  <c r="N140" i="1" s="1"/>
  <c r="O140" i="1" s="1"/>
  <c r="K155" i="1"/>
  <c r="M155" i="1" s="1"/>
  <c r="N155" i="1" s="1"/>
  <c r="O155" i="1" s="1"/>
  <c r="K157" i="1"/>
  <c r="M157" i="1" s="1"/>
  <c r="N157" i="1" s="1"/>
  <c r="O157" i="1" s="1"/>
  <c r="K154" i="1"/>
  <c r="M154" i="1" s="1"/>
  <c r="N154" i="1" s="1"/>
  <c r="O154" i="1" s="1"/>
  <c r="L101" i="1"/>
  <c r="N101" i="1" s="1"/>
  <c r="O101" i="1" s="1"/>
  <c r="P101" i="1" s="1"/>
  <c r="B8" i="1"/>
  <c r="B129" i="1" s="1"/>
  <c r="O145" i="1" l="1"/>
</calcChain>
</file>

<file path=xl/sharedStrings.xml><?xml version="1.0" encoding="utf-8"?>
<sst xmlns="http://schemas.openxmlformats.org/spreadsheetml/2006/main" count="89" uniqueCount="52">
  <si>
    <t>MHz</t>
  </si>
  <si>
    <t>m</t>
  </si>
  <si>
    <t>unc</t>
  </si>
  <si>
    <t>nat ab (%)</t>
  </si>
  <si>
    <t>nuc spin</t>
  </si>
  <si>
    <r>
      <t>J=0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</t>
    </r>
  </si>
  <si>
    <t>19F</t>
  </si>
  <si>
    <t>35Cl</t>
  </si>
  <si>
    <t>37Cl</t>
  </si>
  <si>
    <t>From D. A. Gilbert, A. Roberts, P. A. Griswold, Phys. Rev., 76, 1723 (1949); D. A. Gilbert, A. Roberts, Phys. Rev.,  77, 742 (1950)</t>
  </si>
  <si>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 xml:space="preserve">Cl and </t>
    </r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 xml:space="preserve">Cl </t>
    </r>
  </si>
  <si>
    <t>Cluster analysis</t>
  </si>
  <si>
    <t>Model 1</t>
  </si>
  <si>
    <t>dev1</t>
  </si>
  <si>
    <t>dev1^2</t>
  </si>
  <si>
    <t>Model 2</t>
  </si>
  <si>
    <t>Model 3</t>
  </si>
  <si>
    <t>Model 4</t>
  </si>
  <si>
    <t>range is too narrow to be multiple J</t>
  </si>
  <si>
    <t>could be vibrational progression v=0-3 or multiple isotopes and vibrational progression</t>
  </si>
  <si>
    <t>Assuming J=0 gives reasonable value for F-Cl distance.</t>
  </si>
  <si>
    <t>J</t>
  </si>
  <si>
    <t>J+1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</si>
  <si>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</si>
  <si>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</si>
  <si>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v</t>
  </si>
  <si>
    <t>Model v=0-3</t>
  </si>
  <si>
    <t>diff</t>
  </si>
  <si>
    <t>diffsq</t>
  </si>
  <si>
    <t>μ ratio</t>
  </si>
  <si>
    <t>Cluster ratios</t>
  </si>
  <si>
    <t>more likely that two lower clusters are heavier isotopologue, two higher are lighter isotopologue</t>
  </si>
  <si>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Cl</t>
    </r>
  </si>
  <si>
    <t>I</t>
  </si>
  <si>
    <t>I+1</t>
  </si>
  <si>
    <t>F</t>
  </si>
  <si>
    <t>F+1</t>
  </si>
  <si>
    <t>G</t>
  </si>
  <si>
    <t>G+1</t>
  </si>
  <si>
    <t>Casimir</t>
  </si>
  <si>
    <t>F'</t>
  </si>
  <si>
    <t>dCas</t>
  </si>
  <si>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Cl</t>
    </r>
  </si>
  <si>
    <t>Model v=0-3 +eQq</t>
  </si>
  <si>
    <t>eQq</t>
  </si>
  <si>
    <t>Model 1-1</t>
  </si>
  <si>
    <t>Plot the spectrum</t>
  </si>
  <si>
    <t>Determining J</t>
  </si>
  <si>
    <t>Case 1: Assume a vibrational progression v = 0-3</t>
  </si>
  <si>
    <t>Calculate ratios of cluster frequencies, if these match isotope ratios, strong indication of isotopologues</t>
  </si>
  <si>
    <t>Case 2: Two isotopologue, two v model</t>
  </si>
  <si>
    <t>Casimir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</si>
</sst>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"/>
    <numFmt numFmtId="165" formatCode="0.0"/>
    <numFmt numFmtId="166" formatCode="0.000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0" fontId="0" fillId="2" borderId="0" xfId="0" applyFill="1"/>
    <xf numFmtId="167" fontId="0" fillId="0" borderId="0" xfId="0" applyNumberFormat="1"/>
    <xf numFmtId="167" fontId="0" fillId="0" borderId="0" xfId="0" applyNumberFormat="1" applyFill="1"/>
    <xf numFmtId="0" fontId="0" fillId="3" borderId="0" xfId="0" applyFill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FCl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Microwave!$A$14:$A$25</c:f>
              <c:numCache>
                <c:formatCode>0.000</c:formatCode>
                <c:ptCount val="12"/>
                <c:pt idx="0">
                  <c:v>29974.47</c:v>
                </c:pt>
                <c:pt idx="1">
                  <c:v>30003.218000000001</c:v>
                </c:pt>
                <c:pt idx="2">
                  <c:v>30026.195</c:v>
                </c:pt>
                <c:pt idx="3">
                  <c:v>30228.368999999999</c:v>
                </c:pt>
                <c:pt idx="4">
                  <c:v>30257.159</c:v>
                </c:pt>
                <c:pt idx="5">
                  <c:v>30280.107</c:v>
                </c:pt>
                <c:pt idx="6">
                  <c:v>30545.993999999999</c:v>
                </c:pt>
                <c:pt idx="7">
                  <c:v>30582.614000000001</c:v>
                </c:pt>
                <c:pt idx="8">
                  <c:v>30611.760999999999</c:v>
                </c:pt>
                <c:pt idx="9">
                  <c:v>30807.413</c:v>
                </c:pt>
                <c:pt idx="10">
                  <c:v>30843.948</c:v>
                </c:pt>
                <c:pt idx="11">
                  <c:v>30873.004000000001</c:v>
                </c:pt>
              </c:numCache>
            </c:numRef>
          </c:xVal>
          <c:yVal>
            <c:numRef>
              <c:f>Microwave!$C$14:$C$25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7-474F-9618-9840D5E9B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in Microwave Spectra of ClF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090638670166213E-2"/>
          <c:y val="0.13452351397251816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Microwave!$A$61:$A$82</c:f>
              <c:numCache>
                <c:formatCode>0.000</c:formatCode>
                <c:ptCount val="22"/>
                <c:pt idx="0">
                  <c:v>29974.47</c:v>
                </c:pt>
                <c:pt idx="1">
                  <c:v>30003.218000000001</c:v>
                </c:pt>
                <c:pt idx="2">
                  <c:v>30026.195</c:v>
                </c:pt>
                <c:pt idx="3">
                  <c:v>30228.368999999999</c:v>
                </c:pt>
                <c:pt idx="4">
                  <c:v>30257.159</c:v>
                </c:pt>
                <c:pt idx="5">
                  <c:v>30280.107</c:v>
                </c:pt>
                <c:pt idx="6">
                  <c:v>30545.993999999999</c:v>
                </c:pt>
                <c:pt idx="7">
                  <c:v>30582.614000000001</c:v>
                </c:pt>
                <c:pt idx="8">
                  <c:v>30611.760999999999</c:v>
                </c:pt>
                <c:pt idx="9">
                  <c:v>30807.413</c:v>
                </c:pt>
                <c:pt idx="10">
                  <c:v>30843.948</c:v>
                </c:pt>
                <c:pt idx="11">
                  <c:v>30873.004000000001</c:v>
                </c:pt>
                <c:pt idx="12">
                  <c:v>30419.520999999997</c:v>
                </c:pt>
                <c:pt idx="13" formatCode="General">
                  <c:v>30128.253000000521</c:v>
                </c:pt>
                <c:pt idx="14" formatCode="General">
                  <c:v>30710.788999999928</c:v>
                </c:pt>
                <c:pt idx="15" formatCode="General">
                  <c:v>30128.252999548044</c:v>
                </c:pt>
                <c:pt idx="16" formatCode="General">
                  <c:v>30580.123000076637</c:v>
                </c:pt>
                <c:pt idx="17" formatCode="General">
                  <c:v>30841.455000068174</c:v>
                </c:pt>
                <c:pt idx="18" formatCode="General">
                  <c:v>30001.294333481201</c:v>
                </c:pt>
                <c:pt idx="19" formatCode="General">
                  <c:v>30255.211666666622</c:v>
                </c:pt>
                <c:pt idx="20" formatCode="General">
                  <c:v>30580.123000076637</c:v>
                </c:pt>
                <c:pt idx="21" formatCode="General">
                  <c:v>30841.455000068174</c:v>
                </c:pt>
              </c:numCache>
            </c:numRef>
          </c:xVal>
          <c:yVal>
            <c:numRef>
              <c:f>Microwave!$B$61:$B$82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35-47BD-82B4-7BEF556E9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 analysis (4v Model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Microwave!$G$93:$G$104</c:f>
              <c:numCache>
                <c:formatCode>0.000</c:formatCode>
                <c:ptCount val="12"/>
                <c:pt idx="0">
                  <c:v>-18.242000006601302</c:v>
                </c:pt>
                <c:pt idx="1">
                  <c:v>10.505999993398291</c:v>
                </c:pt>
                <c:pt idx="2">
                  <c:v>33.482999993397243</c:v>
                </c:pt>
                <c:pt idx="3">
                  <c:v>-48.882333340643527</c:v>
                </c:pt>
                <c:pt idx="4">
                  <c:v>-20.092333340642654</c:v>
                </c:pt>
                <c:pt idx="5">
                  <c:v>2.8556666593576665</c:v>
                </c:pt>
                <c:pt idx="6">
                  <c:v>-15.796666674687003</c:v>
                </c:pt>
                <c:pt idx="7">
                  <c:v>20.823333325315616</c:v>
                </c:pt>
                <c:pt idx="8">
                  <c:v>49.970333325312822</c:v>
                </c:pt>
                <c:pt idx="9">
                  <c:v>-38.917000008725154</c:v>
                </c:pt>
                <c:pt idx="10">
                  <c:v>-2.3820000087252993</c:v>
                </c:pt>
                <c:pt idx="11">
                  <c:v>26.673999991275195</c:v>
                </c:pt>
              </c:numCache>
            </c:numRef>
          </c:xVal>
          <c:yVal>
            <c:numRef>
              <c:f>Microwave!$E$93:$E$104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FA-44F7-B280-3F5EB285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77208"/>
        <c:axId val="552576552"/>
      </c:scatterChart>
      <c:valAx>
        <c:axId val="55257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6552"/>
        <c:crosses val="autoZero"/>
        <c:crossBetween val="midCat"/>
      </c:valAx>
      <c:valAx>
        <c:axId val="55257655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72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 analysis (4v Model 1-1)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Microwave!$O$93:$O$104</c:f>
              <c:numCache>
                <c:formatCode>0.000</c:formatCode>
                <c:ptCount val="12"/>
                <c:pt idx="0">
                  <c:v>12.200024949819635</c:v>
                </c:pt>
                <c:pt idx="1">
                  <c:v>8.3315700317543815</c:v>
                </c:pt>
                <c:pt idx="2">
                  <c:v>5.215406097300729</c:v>
                </c:pt>
                <c:pt idx="3">
                  <c:v>-18.440308380879287</c:v>
                </c:pt>
                <c:pt idx="4">
                  <c:v>-22.26676329894326</c:v>
                </c:pt>
                <c:pt idx="5">
                  <c:v>-25.411927233395545</c:v>
                </c:pt>
                <c:pt idx="6">
                  <c:v>14.645358288420539</c:v>
                </c:pt>
                <c:pt idx="7">
                  <c:v>18.648903370358312</c:v>
                </c:pt>
                <c:pt idx="8">
                  <c:v>21.702739435902913</c:v>
                </c:pt>
                <c:pt idx="9">
                  <c:v>-8.4749750422743091</c:v>
                </c:pt>
                <c:pt idx="10">
                  <c:v>-4.556429960339301</c:v>
                </c:pt>
                <c:pt idx="11">
                  <c:v>-1.593593894791411</c:v>
                </c:pt>
              </c:numCache>
            </c:numRef>
          </c:xVal>
          <c:yVal>
            <c:numRef>
              <c:f>Microwave!$E$93:$E$104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E3-41CE-8B63-9E13B7C1A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77208"/>
        <c:axId val="552576552"/>
      </c:scatterChart>
      <c:valAx>
        <c:axId val="55257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6552"/>
        <c:crosses val="autoZero"/>
        <c:crossBetween val="midCat"/>
      </c:valAx>
      <c:valAx>
        <c:axId val="55257655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72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37</a:t>
            </a:r>
            <a:r>
              <a:rPr lang="en-CA"/>
              <a:t>Cl Deviation analysis (Model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Microwave!$F$139:$F$144</c:f>
              <c:numCache>
                <c:formatCode>0.000</c:formatCode>
                <c:ptCount val="6"/>
                <c:pt idx="0">
                  <c:v>-26.824333334745461</c:v>
                </c:pt>
                <c:pt idx="1">
                  <c:v>1.9236666652541317</c:v>
                </c:pt>
                <c:pt idx="2">
                  <c:v>24.900666665253084</c:v>
                </c:pt>
                <c:pt idx="3">
                  <c:v>-26.842666668064339</c:v>
                </c:pt>
                <c:pt idx="4">
                  <c:v>1.9473333319365338</c:v>
                </c:pt>
                <c:pt idx="5">
                  <c:v>24.895333331936854</c:v>
                </c:pt>
              </c:numCache>
            </c:numRef>
          </c:xVal>
          <c:yVal>
            <c:numRef>
              <c:f>Microwave!$D$139:$D$144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F7-47E5-AF39-C4723940B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77208"/>
        <c:axId val="552576552"/>
      </c:scatterChart>
      <c:valAx>
        <c:axId val="55257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6552"/>
        <c:crosses val="autoZero"/>
        <c:crossBetween val="midCat"/>
      </c:valAx>
      <c:valAx>
        <c:axId val="5525765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72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35</a:t>
            </a:r>
            <a:r>
              <a:rPr lang="en-CA"/>
              <a:t>Cl Deviation analysis (Model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Microwave!$F$152:$F$157</c:f>
              <c:numCache>
                <c:formatCode>0.000</c:formatCode>
                <c:ptCount val="6"/>
                <c:pt idx="0">
                  <c:v>-34.12899990609003</c:v>
                </c:pt>
                <c:pt idx="1">
                  <c:v>2.4910000939125894</c:v>
                </c:pt>
                <c:pt idx="2">
                  <c:v>31.638000093909795</c:v>
                </c:pt>
                <c:pt idx="3">
                  <c:v>-34.041999938403023</c:v>
                </c:pt>
                <c:pt idx="4">
                  <c:v>2.4930000615968311</c:v>
                </c:pt>
                <c:pt idx="5">
                  <c:v>31.549000061597326</c:v>
                </c:pt>
              </c:numCache>
            </c:numRef>
          </c:xVal>
          <c:yVal>
            <c:numRef>
              <c:f>Microwave!$D$152:$D$157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12-4A7D-A4F6-A1BCA53C0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77208"/>
        <c:axId val="552576552"/>
      </c:scatterChart>
      <c:valAx>
        <c:axId val="55257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6552"/>
        <c:crosses val="autoZero"/>
        <c:crossBetween val="midCat"/>
      </c:valAx>
      <c:valAx>
        <c:axId val="5525765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72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37</a:t>
            </a:r>
            <a:r>
              <a:rPr lang="en-CA"/>
              <a:t>Cl Deviation analysis (Model 1-1)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Microwave!$N$139:$N$144</c:f>
              <c:numCache>
                <c:formatCode>0.000</c:formatCode>
                <c:ptCount val="6"/>
                <c:pt idx="0">
                  <c:v>5.2736483485205099E-4</c:v>
                </c:pt>
                <c:pt idx="1">
                  <c:v>7.6052347285440192E-3</c:v>
                </c:pt>
                <c:pt idx="2">
                  <c:v>-8.1324693528586067E-3</c:v>
                </c:pt>
                <c:pt idx="3">
                  <c:v>-1.7805970081099076E-2</c:v>
                </c:pt>
                <c:pt idx="4">
                  <c:v>3.1271899813873461E-2</c:v>
                </c:pt>
                <c:pt idx="5">
                  <c:v>-1.3465804266161285E-2</c:v>
                </c:pt>
              </c:numCache>
            </c:numRef>
          </c:xVal>
          <c:yVal>
            <c:numRef>
              <c:f>Microwave!$D$139:$D$144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ED-4E79-A1D0-5613BAE98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77208"/>
        <c:axId val="552576552"/>
      </c:scatterChart>
      <c:valAx>
        <c:axId val="55257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6552"/>
        <c:crosses val="autoZero"/>
        <c:crossBetween val="midCat"/>
      </c:valAx>
      <c:valAx>
        <c:axId val="5525765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72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35</a:t>
            </a:r>
            <a:r>
              <a:rPr lang="en-CA"/>
              <a:t>Cl Deviation analysis (Model 1-1)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Microwave!$N$152:$N$157</c:f>
              <c:numCache>
                <c:formatCode>0.000</c:formatCode>
                <c:ptCount val="6"/>
                <c:pt idx="0">
                  <c:v>-6.9811349232622888E-2</c:v>
                </c:pt>
                <c:pt idx="1">
                  <c:v>5.8200945491989842E-2</c:v>
                </c:pt>
                <c:pt idx="2">
                  <c:v>1.1610781268245773E-2</c:v>
                </c:pt>
                <c:pt idx="3">
                  <c:v>1.718865077054943E-2</c:v>
                </c:pt>
                <c:pt idx="4">
                  <c:v>6.0200945492397295E-2</c:v>
                </c:pt>
                <c:pt idx="5">
                  <c:v>-7.738921872805804E-2</c:v>
                </c:pt>
              </c:numCache>
            </c:numRef>
          </c:xVal>
          <c:yVal>
            <c:numRef>
              <c:f>Microwave!$D$152:$D$157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12-4B37-B011-48D18EE19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77208"/>
        <c:axId val="552576552"/>
      </c:scatterChart>
      <c:valAx>
        <c:axId val="55257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6552"/>
        <c:crosses val="autoZero"/>
        <c:crossBetween val="midCat"/>
      </c:valAx>
      <c:valAx>
        <c:axId val="5525765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72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differences (J=0,I=1.5)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Microwave!$M$166:$M$168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Microwave!$N$166:$N$168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2E-4F7A-9C11-E95C06E3C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51216"/>
        <c:axId val="511852200"/>
      </c:scatterChart>
      <c:valAx>
        <c:axId val="51185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52200"/>
        <c:crosses val="autoZero"/>
        <c:crossBetween val="midCat"/>
      </c:valAx>
      <c:valAx>
        <c:axId val="51185220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18512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12</xdr:row>
      <xdr:rowOff>166687</xdr:rowOff>
    </xdr:from>
    <xdr:to>
      <xdr:col>20</xdr:col>
      <xdr:colOff>276225</xdr:colOff>
      <xdr:row>34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60</xdr:row>
      <xdr:rowOff>0</xdr:rowOff>
    </xdr:from>
    <xdr:to>
      <xdr:col>12</xdr:col>
      <xdr:colOff>485775</xdr:colOff>
      <xdr:row>81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528637</xdr:colOff>
      <xdr:row>109</xdr:row>
      <xdr:rowOff>138112</xdr:rowOff>
    </xdr:from>
    <xdr:to>
      <xdr:col>5</xdr:col>
      <xdr:colOff>757237</xdr:colOff>
      <xdr:row>124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110</xdr:row>
      <xdr:rowOff>0</xdr:rowOff>
    </xdr:from>
    <xdr:to>
      <xdr:col>20</xdr:col>
      <xdr:colOff>304800</xdr:colOff>
      <xdr:row>124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9525</xdr:colOff>
      <xdr:row>170</xdr:row>
      <xdr:rowOff>9525</xdr:rowOff>
    </xdr:from>
    <xdr:to>
      <xdr:col>6</xdr:col>
      <xdr:colOff>76200</xdr:colOff>
      <xdr:row>184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186</xdr:row>
      <xdr:rowOff>0</xdr:rowOff>
    </xdr:from>
    <xdr:to>
      <xdr:col>6</xdr:col>
      <xdr:colOff>66675</xdr:colOff>
      <xdr:row>200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170</xdr:row>
      <xdr:rowOff>0</xdr:rowOff>
    </xdr:from>
    <xdr:to>
      <xdr:col>14</xdr:col>
      <xdr:colOff>161925</xdr:colOff>
      <xdr:row>184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186</xdr:row>
      <xdr:rowOff>0</xdr:rowOff>
    </xdr:from>
    <xdr:to>
      <xdr:col>14</xdr:col>
      <xdr:colOff>161925</xdr:colOff>
      <xdr:row>200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57150</xdr:colOff>
      <xdr:row>165</xdr:row>
      <xdr:rowOff>109537</xdr:rowOff>
    </xdr:from>
    <xdr:to>
      <xdr:col>23</xdr:col>
      <xdr:colOff>361950</xdr:colOff>
      <xdr:row>168</xdr:row>
      <xdr:rowOff>114300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9"/>
  <sheetViews>
    <sheetView tabSelected="1" topLeftCell="A136" workbookViewId="0">
      <selection activeCell="A137" sqref="A137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6.7109375" bestFit="1" customWidth="1"/>
    <col min="5" max="5" width="11.5703125" bestFit="1" customWidth="1"/>
    <col min="6" max="6" width="12" customWidth="1"/>
    <col min="7" max="7" width="12" bestFit="1" customWidth="1"/>
    <col min="8" max="8" width="11.28515625" customWidth="1"/>
    <col min="13" max="13" width="10.85546875" customWidth="1"/>
  </cols>
  <sheetData>
    <row r="1" spans="1:5" x14ac:dyDescent="0.25">
      <c r="A1" t="s">
        <v>9</v>
      </c>
    </row>
    <row r="3" spans="1:5" ht="17.25" x14ac:dyDescent="0.25">
      <c r="A3" t="s">
        <v>5</v>
      </c>
      <c r="B3" t="s">
        <v>10</v>
      </c>
    </row>
    <row r="4" spans="1:5" x14ac:dyDescent="0.25">
      <c r="B4" t="s">
        <v>1</v>
      </c>
      <c r="C4" t="s">
        <v>2</v>
      </c>
      <c r="D4" t="s">
        <v>3</v>
      </c>
      <c r="E4" t="s">
        <v>4</v>
      </c>
    </row>
    <row r="5" spans="1:5" x14ac:dyDescent="0.25">
      <c r="A5" t="s">
        <v>6</v>
      </c>
      <c r="B5" s="2">
        <v>18.99840322</v>
      </c>
      <c r="C5" s="3">
        <v>7.0000000000000005E-8</v>
      </c>
      <c r="D5" s="4">
        <v>100</v>
      </c>
      <c r="E5" s="5">
        <v>0.5</v>
      </c>
    </row>
    <row r="6" spans="1:5" x14ac:dyDescent="0.25">
      <c r="A6" t="s">
        <v>7</v>
      </c>
      <c r="B6" s="2">
        <v>34.968852720999998</v>
      </c>
      <c r="C6" s="3">
        <v>6.8999999999999996E-8</v>
      </c>
      <c r="D6" s="4">
        <v>75.760000000000005</v>
      </c>
      <c r="E6" s="5">
        <v>1.5</v>
      </c>
    </row>
    <row r="7" spans="1:5" x14ac:dyDescent="0.25">
      <c r="A7" t="s">
        <v>8</v>
      </c>
      <c r="B7" s="2">
        <v>36.965902589999999</v>
      </c>
      <c r="C7" s="3">
        <v>4.9999999999999998E-8</v>
      </c>
      <c r="D7" s="4">
        <v>24.24</v>
      </c>
      <c r="E7" s="5">
        <v>1.5</v>
      </c>
    </row>
    <row r="8" spans="1:5" x14ac:dyDescent="0.25">
      <c r="B8" s="1">
        <f>B5*B6/(B5+B6)</f>
        <v>12.310286164274482</v>
      </c>
    </row>
    <row r="9" spans="1:5" x14ac:dyDescent="0.25">
      <c r="B9" s="1">
        <f>B5*B7/(B5+B7)</f>
        <v>12.5489472732917</v>
      </c>
    </row>
    <row r="10" spans="1:5" x14ac:dyDescent="0.25">
      <c r="B10" s="1"/>
    </row>
    <row r="11" spans="1:5" s="11" customFormat="1" x14ac:dyDescent="0.25">
      <c r="A11" s="11" t="s">
        <v>46</v>
      </c>
      <c r="B11" s="12"/>
    </row>
    <row r="12" spans="1:5" x14ac:dyDescent="0.25">
      <c r="B12" s="1"/>
    </row>
    <row r="13" spans="1:5" x14ac:dyDescent="0.25">
      <c r="A13" t="s">
        <v>0</v>
      </c>
    </row>
    <row r="14" spans="1:5" x14ac:dyDescent="0.25">
      <c r="A14" s="6">
        <v>29974.47</v>
      </c>
      <c r="B14">
        <v>6.9000000000000006E-2</v>
      </c>
      <c r="C14">
        <v>1</v>
      </c>
    </row>
    <row r="15" spans="1:5" x14ac:dyDescent="0.25">
      <c r="A15" s="6">
        <v>30003.218000000001</v>
      </c>
      <c r="B15">
        <v>6.9000000000000006E-2</v>
      </c>
      <c r="C15">
        <v>1</v>
      </c>
    </row>
    <row r="16" spans="1:5" x14ac:dyDescent="0.25">
      <c r="A16" s="6">
        <v>30026.195</v>
      </c>
      <c r="B16">
        <v>6.9000000000000006E-2</v>
      </c>
      <c r="C16">
        <v>1</v>
      </c>
    </row>
    <row r="17" spans="1:3" x14ac:dyDescent="0.25">
      <c r="A17" s="6">
        <v>30228.368999999999</v>
      </c>
      <c r="B17">
        <v>4.2000000000000003E-2</v>
      </c>
      <c r="C17">
        <v>1</v>
      </c>
    </row>
    <row r="18" spans="1:3" x14ac:dyDescent="0.25">
      <c r="A18" s="6">
        <v>30257.159</v>
      </c>
      <c r="B18">
        <v>4.2000000000000003E-2</v>
      </c>
      <c r="C18">
        <v>1</v>
      </c>
    </row>
    <row r="19" spans="1:3" x14ac:dyDescent="0.25">
      <c r="A19" s="6">
        <v>30280.107</v>
      </c>
      <c r="B19">
        <v>4.2000000000000003E-2</v>
      </c>
      <c r="C19">
        <v>1</v>
      </c>
    </row>
    <row r="20" spans="1:3" x14ac:dyDescent="0.25">
      <c r="A20" s="6">
        <v>30545.993999999999</v>
      </c>
      <c r="B20">
        <v>6.9000000000000006E-2</v>
      </c>
      <c r="C20">
        <v>1</v>
      </c>
    </row>
    <row r="21" spans="1:3" x14ac:dyDescent="0.25">
      <c r="A21" s="6">
        <v>30582.614000000001</v>
      </c>
      <c r="B21">
        <v>6.9000000000000006E-2</v>
      </c>
      <c r="C21">
        <v>1</v>
      </c>
    </row>
    <row r="22" spans="1:3" x14ac:dyDescent="0.25">
      <c r="A22" s="6">
        <v>30611.760999999999</v>
      </c>
      <c r="B22">
        <v>6.9000000000000006E-2</v>
      </c>
      <c r="C22">
        <v>1</v>
      </c>
    </row>
    <row r="23" spans="1:3" x14ac:dyDescent="0.25">
      <c r="A23" s="6">
        <v>30807.413</v>
      </c>
      <c r="B23">
        <v>4.2000000000000003E-2</v>
      </c>
      <c r="C23">
        <v>1</v>
      </c>
    </row>
    <row r="24" spans="1:3" x14ac:dyDescent="0.25">
      <c r="A24" s="6">
        <v>30843.948</v>
      </c>
      <c r="B24">
        <v>4.2000000000000003E-2</v>
      </c>
      <c r="C24">
        <v>1</v>
      </c>
    </row>
    <row r="25" spans="1:3" x14ac:dyDescent="0.25">
      <c r="A25" s="6">
        <v>30873.004000000001</v>
      </c>
      <c r="B25">
        <v>4.2000000000000003E-2</v>
      </c>
      <c r="C25">
        <v>1</v>
      </c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22" x14ac:dyDescent="0.25">
      <c r="A33" s="6"/>
    </row>
    <row r="34" spans="1:22" x14ac:dyDescent="0.25">
      <c r="A34" s="6"/>
    </row>
    <row r="37" spans="1:22" s="11" customFormat="1" x14ac:dyDescent="0.25">
      <c r="A37" s="11" t="s">
        <v>11</v>
      </c>
    </row>
    <row r="39" spans="1:22" x14ac:dyDescent="0.25">
      <c r="B39" t="s">
        <v>11</v>
      </c>
    </row>
    <row r="41" spans="1:22" x14ac:dyDescent="0.25">
      <c r="B41" t="s">
        <v>12</v>
      </c>
      <c r="C41" t="s">
        <v>13</v>
      </c>
      <c r="D41" t="s">
        <v>14</v>
      </c>
      <c r="F41" t="s">
        <v>15</v>
      </c>
      <c r="K41" t="s">
        <v>16</v>
      </c>
      <c r="Q41" t="s">
        <v>17</v>
      </c>
    </row>
    <row r="42" spans="1:22" x14ac:dyDescent="0.25">
      <c r="A42" s="6">
        <v>29974.47</v>
      </c>
      <c r="B42" s="6">
        <f>B$55</f>
        <v>30419.520999999997</v>
      </c>
      <c r="C42" s="6">
        <f>$A42-B42</f>
        <v>-445.05099999999584</v>
      </c>
      <c r="D42" s="4">
        <f>C42^2</f>
        <v>198070.3926009963</v>
      </c>
      <c r="F42">
        <f>INDEX(G$55:H$55,MATCH(I42,G42:H42,0))</f>
        <v>30128.253000000521</v>
      </c>
      <c r="G42">
        <f>($A42-G$55)^2</f>
        <v>23649.211089159835</v>
      </c>
      <c r="H42">
        <f>($A42-H$55)^2</f>
        <v>542165.66976089217</v>
      </c>
      <c r="I42">
        <f>MIN(G42:H42)</f>
        <v>23649.211089159835</v>
      </c>
      <c r="K42">
        <f>INDEX(L$55:N$55,MATCH(O42,L42:N42,0))</f>
        <v>30128.252999548044</v>
      </c>
      <c r="L42">
        <f>($A42-L$55)^2</f>
        <v>23649.210949993216</v>
      </c>
      <c r="M42">
        <f>($A42-M$55)^2</f>
        <v>366815.55650182976</v>
      </c>
      <c r="N42">
        <f>($A42-N$55)^2</f>
        <v>751662.99034320936</v>
      </c>
      <c r="O42">
        <f>MIN(L42:N42)</f>
        <v>23649.210949993216</v>
      </c>
      <c r="Q42">
        <f>INDEX(R$55:U$55,MATCH(V42,R42:U42,0))</f>
        <v>30001.294333481201</v>
      </c>
      <c r="R42">
        <f>($A42-R$55)^2</f>
        <v>719.54486671060442</v>
      </c>
      <c r="S42">
        <f>($A42-S$55)^2</f>
        <v>78815.883402752312</v>
      </c>
      <c r="T42">
        <f>($A42-T$55)^2</f>
        <v>366815.55650182976</v>
      </c>
      <c r="U42">
        <f>($A42-U$55)^2</f>
        <v>751662.99034320936</v>
      </c>
      <c r="V42">
        <f>MIN(R42:U42)</f>
        <v>719.54486671060442</v>
      </c>
    </row>
    <row r="43" spans="1:22" x14ac:dyDescent="0.25">
      <c r="A43" s="6">
        <v>30003.218000000001</v>
      </c>
      <c r="B43" s="6">
        <f t="shared" ref="B43:B53" si="0">B$55</f>
        <v>30419.520999999997</v>
      </c>
      <c r="C43" s="6">
        <f t="shared" ref="C43:C53" si="1">$A43-B43</f>
        <v>-416.30299999999625</v>
      </c>
      <c r="D43" s="4">
        <f t="shared" ref="D43:D53" si="2">C43^2</f>
        <v>173308.18780899688</v>
      </c>
      <c r="F43">
        <f t="shared" ref="F43:F53" si="3">INDEX(G$55:H$55,MATCH(I43,G43:H43,0))</f>
        <v>30128.253000000521</v>
      </c>
      <c r="G43">
        <f t="shared" ref="G43:H53" si="4">($A43-G$55)^2</f>
        <v>15633.751225130058</v>
      </c>
      <c r="H43">
        <f t="shared" si="4"/>
        <v>500656.72004089691</v>
      </c>
      <c r="I43">
        <f t="shared" ref="I43:I53" si="5">MIN(G43:H43)</f>
        <v>15633.751225130058</v>
      </c>
      <c r="K43">
        <f t="shared" ref="K43:K53" si="6">INDEX(L$55:N$55,MATCH(O43,L43:N43,0))</f>
        <v>30128.252999548044</v>
      </c>
      <c r="L43">
        <f t="shared" ref="L43:N53" si="7">($A43-L$55)^2</f>
        <v>15633.751111979071</v>
      </c>
      <c r="M43">
        <f t="shared" si="7"/>
        <v>332819.37911342393</v>
      </c>
      <c r="N43">
        <f t="shared" si="7"/>
        <v>702641.26828329044</v>
      </c>
      <c r="O43">
        <f t="shared" ref="O43:O53" si="8">MIN(L43:N43)</f>
        <v>15633.751111979071</v>
      </c>
      <c r="Q43">
        <f t="shared" ref="Q43:Q53" si="9">INDEX(R$55:U$55,MATCH(V43,R43:U43,0))</f>
        <v>30001.294333481201</v>
      </c>
      <c r="R43">
        <f t="shared" ref="R43:U53" si="10">($A43-R$55)^2</f>
        <v>3.7004928755521833</v>
      </c>
      <c r="S43">
        <f t="shared" si="10"/>
        <v>63500.808040088457</v>
      </c>
      <c r="T43">
        <f t="shared" si="10"/>
        <v>332819.37911342393</v>
      </c>
      <c r="U43">
        <f t="shared" si="10"/>
        <v>702641.26828329044</v>
      </c>
      <c r="V43">
        <f t="shared" ref="V43:V53" si="11">MIN(R43:U43)</f>
        <v>3.7004928755521833</v>
      </c>
    </row>
    <row r="44" spans="1:22" x14ac:dyDescent="0.25">
      <c r="A44" s="6">
        <v>30026.195</v>
      </c>
      <c r="B44" s="6">
        <f t="shared" si="0"/>
        <v>30419.520999999997</v>
      </c>
      <c r="C44" s="6">
        <f t="shared" si="1"/>
        <v>-393.32599999999729</v>
      </c>
      <c r="D44" s="4">
        <f t="shared" si="2"/>
        <v>154705.34227599786</v>
      </c>
      <c r="F44">
        <f t="shared" si="3"/>
        <v>30128.253000000521</v>
      </c>
      <c r="G44">
        <f t="shared" si="4"/>
        <v>10415.835364106371</v>
      </c>
      <c r="H44">
        <f t="shared" si="4"/>
        <v>468668.94483590167</v>
      </c>
      <c r="I44">
        <f t="shared" si="5"/>
        <v>10415.835364106371</v>
      </c>
      <c r="K44">
        <f t="shared" si="6"/>
        <v>30128.252999548044</v>
      </c>
      <c r="L44">
        <f t="shared" si="7"/>
        <v>10415.835271748525</v>
      </c>
      <c r="M44">
        <f t="shared" si="7"/>
        <v>306836.22926890338</v>
      </c>
      <c r="N44">
        <f t="shared" si="7"/>
        <v>664648.86771115928</v>
      </c>
      <c r="O44">
        <f t="shared" si="8"/>
        <v>10415.835271748525</v>
      </c>
      <c r="Q44">
        <f t="shared" si="9"/>
        <v>30001.294333481201</v>
      </c>
      <c r="R44">
        <f t="shared" si="10"/>
        <v>620.04319308043603</v>
      </c>
      <c r="S44">
        <f t="shared" si="10"/>
        <v>52448.633611091005</v>
      </c>
      <c r="T44">
        <f t="shared" si="10"/>
        <v>306836.22926890338</v>
      </c>
      <c r="U44">
        <f t="shared" si="10"/>
        <v>664648.86771115928</v>
      </c>
      <c r="V44">
        <f t="shared" si="11"/>
        <v>620.04319308043603</v>
      </c>
    </row>
    <row r="45" spans="1:22" x14ac:dyDescent="0.25">
      <c r="A45" s="6">
        <v>30228.368999999999</v>
      </c>
      <c r="B45" s="6">
        <f t="shared" si="0"/>
        <v>30419.520999999997</v>
      </c>
      <c r="C45" s="6">
        <f t="shared" si="1"/>
        <v>-191.15199999999822</v>
      </c>
      <c r="D45" s="4">
        <f t="shared" si="2"/>
        <v>36539.087103999322</v>
      </c>
      <c r="F45">
        <f t="shared" si="3"/>
        <v>30128.253000000521</v>
      </c>
      <c r="G45">
        <f t="shared" si="4"/>
        <v>10023.213455895466</v>
      </c>
      <c r="H45">
        <f t="shared" si="4"/>
        <v>232729.05639993164</v>
      </c>
      <c r="I45">
        <f t="shared" si="5"/>
        <v>10023.213455895466</v>
      </c>
      <c r="K45">
        <f t="shared" si="6"/>
        <v>30128.252999548044</v>
      </c>
      <c r="L45">
        <f t="shared" si="7"/>
        <v>10023.213546495892</v>
      </c>
      <c r="M45">
        <f t="shared" si="7"/>
        <v>123730.87656991578</v>
      </c>
      <c r="N45">
        <f t="shared" si="7"/>
        <v>375874.44347959437</v>
      </c>
      <c r="O45">
        <f t="shared" si="8"/>
        <v>10023.213546495892</v>
      </c>
      <c r="Q45">
        <f t="shared" si="9"/>
        <v>30255.211666666622</v>
      </c>
      <c r="R45">
        <f t="shared" si="10"/>
        <v>51562.904174623342</v>
      </c>
      <c r="S45">
        <f t="shared" si="10"/>
        <v>720.52875377547105</v>
      </c>
      <c r="T45">
        <f t="shared" si="10"/>
        <v>123730.87656991578</v>
      </c>
      <c r="U45">
        <f t="shared" si="10"/>
        <v>375874.44347959437</v>
      </c>
      <c r="V45">
        <f t="shared" si="11"/>
        <v>720.52875377547105</v>
      </c>
    </row>
    <row r="46" spans="1:22" x14ac:dyDescent="0.25">
      <c r="A46" s="6">
        <v>30257.159</v>
      </c>
      <c r="B46" s="6">
        <f t="shared" si="0"/>
        <v>30419.520999999997</v>
      </c>
      <c r="C46" s="6">
        <f t="shared" si="1"/>
        <v>-162.36199999999735</v>
      </c>
      <c r="D46" s="4">
        <f t="shared" si="2"/>
        <v>26361.41904399914</v>
      </c>
      <c r="F46">
        <f t="shared" si="3"/>
        <v>30128.253000000521</v>
      </c>
      <c r="G46">
        <f t="shared" si="4"/>
        <v>16616.756835865632</v>
      </c>
      <c r="H46">
        <f t="shared" si="4"/>
        <v>205780.17689993492</v>
      </c>
      <c r="I46">
        <f t="shared" si="5"/>
        <v>16616.756835865632</v>
      </c>
      <c r="K46">
        <f t="shared" si="6"/>
        <v>30128.252999548044</v>
      </c>
      <c r="L46">
        <f t="shared" si="7"/>
        <v>16616.756952519696</v>
      </c>
      <c r="M46">
        <f t="shared" si="7"/>
        <v>104305.74534550238</v>
      </c>
      <c r="N46">
        <f t="shared" si="7"/>
        <v>341401.81569566781</v>
      </c>
      <c r="O46">
        <f t="shared" si="8"/>
        <v>16616.756952519696</v>
      </c>
      <c r="Q46">
        <f t="shared" si="9"/>
        <v>30255.211666666622</v>
      </c>
      <c r="R46">
        <f t="shared" si="10"/>
        <v>65466.727572776181</v>
      </c>
      <c r="S46">
        <f t="shared" si="10"/>
        <v>3.7921071112818536</v>
      </c>
      <c r="T46">
        <f t="shared" si="10"/>
        <v>104305.74534550238</v>
      </c>
      <c r="U46">
        <f t="shared" si="10"/>
        <v>341401.81569566781</v>
      </c>
      <c r="V46">
        <f t="shared" si="11"/>
        <v>3.7921071112818536</v>
      </c>
    </row>
    <row r="47" spans="1:22" x14ac:dyDescent="0.25">
      <c r="A47" s="6">
        <v>30280.107</v>
      </c>
      <c r="B47" s="6">
        <f t="shared" si="0"/>
        <v>30419.520999999997</v>
      </c>
      <c r="C47" s="6">
        <f t="shared" si="1"/>
        <v>-139.41399999999703</v>
      </c>
      <c r="D47" s="4">
        <f t="shared" si="2"/>
        <v>19436.263395999173</v>
      </c>
      <c r="F47">
        <f t="shared" si="3"/>
        <v>30128.253000000521</v>
      </c>
      <c r="G47">
        <f t="shared" si="4"/>
        <v>23059.637315841806</v>
      </c>
      <c r="H47">
        <f t="shared" si="4"/>
        <v>185486.98512393792</v>
      </c>
      <c r="I47">
        <f t="shared" si="5"/>
        <v>23059.637315841806</v>
      </c>
      <c r="K47">
        <f t="shared" si="6"/>
        <v>30128.252999548044</v>
      </c>
      <c r="L47">
        <f t="shared" si="7"/>
        <v>23059.637453262767</v>
      </c>
      <c r="M47">
        <f t="shared" si="7"/>
        <v>90009.600301984829</v>
      </c>
      <c r="N47">
        <f t="shared" si="7"/>
        <v>315111.5771805385</v>
      </c>
      <c r="O47">
        <f t="shared" si="8"/>
        <v>23059.637453262767</v>
      </c>
      <c r="Q47">
        <f t="shared" si="9"/>
        <v>30255.211666666622</v>
      </c>
      <c r="R47">
        <f t="shared" si="10"/>
        <v>77736.503011323148</v>
      </c>
      <c r="S47">
        <f t="shared" si="10"/>
        <v>619.77762177997658</v>
      </c>
      <c r="T47">
        <f t="shared" si="10"/>
        <v>90009.600301984829</v>
      </c>
      <c r="U47">
        <f t="shared" si="10"/>
        <v>315111.5771805385</v>
      </c>
      <c r="V47">
        <f t="shared" si="11"/>
        <v>619.77762177997658</v>
      </c>
    </row>
    <row r="48" spans="1:22" x14ac:dyDescent="0.25">
      <c r="A48" s="6">
        <v>30545.993999999999</v>
      </c>
      <c r="B48" s="6">
        <f t="shared" si="0"/>
        <v>30419.520999999997</v>
      </c>
      <c r="C48" s="6">
        <f t="shared" si="1"/>
        <v>126.47300000000178</v>
      </c>
      <c r="D48" s="4">
        <f t="shared" si="2"/>
        <v>15995.419729000449</v>
      </c>
      <c r="F48">
        <f t="shared" si="3"/>
        <v>30710.788999999928</v>
      </c>
      <c r="G48">
        <f t="shared" si="4"/>
        <v>174507.54308056383</v>
      </c>
      <c r="H48">
        <f t="shared" si="4"/>
        <v>27157.392024976642</v>
      </c>
      <c r="I48">
        <f t="shared" si="5"/>
        <v>27157.392024976642</v>
      </c>
      <c r="K48">
        <f t="shared" si="6"/>
        <v>30580.123000076637</v>
      </c>
      <c r="L48">
        <f t="shared" si="7"/>
        <v>174507.54345860041</v>
      </c>
      <c r="M48">
        <f t="shared" si="7"/>
        <v>1164.7886462311892</v>
      </c>
      <c r="N48">
        <f t="shared" si="7"/>
        <v>87297.202561286133</v>
      </c>
      <c r="O48">
        <f t="shared" si="8"/>
        <v>1164.7886462311892</v>
      </c>
      <c r="Q48">
        <f t="shared" si="9"/>
        <v>30580.123000076637</v>
      </c>
      <c r="R48">
        <f t="shared" si="10"/>
        <v>296697.7267056898</v>
      </c>
      <c r="S48">
        <f t="shared" si="10"/>
        <v>84554.365378802759</v>
      </c>
      <c r="T48">
        <f t="shared" si="10"/>
        <v>1164.7886462311892</v>
      </c>
      <c r="U48">
        <f t="shared" si="10"/>
        <v>87297.202561286133</v>
      </c>
      <c r="V48">
        <f t="shared" si="11"/>
        <v>1164.7886462311892</v>
      </c>
    </row>
    <row r="49" spans="1:22" x14ac:dyDescent="0.25">
      <c r="A49" s="6">
        <v>30582.614000000001</v>
      </c>
      <c r="B49" s="6">
        <f t="shared" si="0"/>
        <v>30419.520999999997</v>
      </c>
      <c r="C49" s="6">
        <f t="shared" si="1"/>
        <v>163.09300000000439</v>
      </c>
      <c r="D49" s="4">
        <f t="shared" si="2"/>
        <v>26599.326649001432</v>
      </c>
      <c r="F49">
        <f t="shared" si="3"/>
        <v>30710.788999999928</v>
      </c>
      <c r="G49">
        <f t="shared" si="4"/>
        <v>206443.91832052797</v>
      </c>
      <c r="H49">
        <f t="shared" si="4"/>
        <v>16428.830624981161</v>
      </c>
      <c r="I49">
        <f t="shared" si="5"/>
        <v>16428.830624981161</v>
      </c>
      <c r="K49">
        <f t="shared" si="6"/>
        <v>30580.123000076637</v>
      </c>
      <c r="L49">
        <f t="shared" si="7"/>
        <v>206443.91873170401</v>
      </c>
      <c r="M49">
        <f t="shared" si="7"/>
        <v>6.2050806182001654</v>
      </c>
      <c r="N49">
        <f t="shared" si="7"/>
        <v>66998.663316291641</v>
      </c>
      <c r="O49">
        <f t="shared" si="8"/>
        <v>6.2050806182001654</v>
      </c>
      <c r="Q49">
        <f t="shared" si="9"/>
        <v>30580.123000076637</v>
      </c>
      <c r="R49">
        <f t="shared" si="10"/>
        <v>337932.55468152958</v>
      </c>
      <c r="S49">
        <f t="shared" si="10"/>
        <v>107192.28787214097</v>
      </c>
      <c r="T49">
        <f t="shared" si="10"/>
        <v>6.2050806182001654</v>
      </c>
      <c r="U49">
        <f t="shared" si="10"/>
        <v>66998.663316291641</v>
      </c>
      <c r="V49">
        <f t="shared" si="11"/>
        <v>6.2050806182001654</v>
      </c>
    </row>
    <row r="50" spans="1:22" x14ac:dyDescent="0.25">
      <c r="A50" s="6">
        <v>30611.760999999999</v>
      </c>
      <c r="B50" s="6">
        <f t="shared" si="0"/>
        <v>30419.520999999997</v>
      </c>
      <c r="C50" s="6">
        <f t="shared" si="1"/>
        <v>192.2400000000016</v>
      </c>
      <c r="D50" s="4">
        <f t="shared" si="2"/>
        <v>36956.217600000615</v>
      </c>
      <c r="F50">
        <f t="shared" si="3"/>
        <v>30710.788999999928</v>
      </c>
      <c r="G50">
        <f t="shared" si="4"/>
        <v>233779.98606349499</v>
      </c>
      <c r="H50">
        <f t="shared" si="4"/>
        <v>9806.5447839859989</v>
      </c>
      <c r="I50">
        <f t="shared" si="5"/>
        <v>9806.5447839859989</v>
      </c>
      <c r="K50">
        <f t="shared" si="6"/>
        <v>30580.123000076637</v>
      </c>
      <c r="L50">
        <f t="shared" si="7"/>
        <v>233779.98650104774</v>
      </c>
      <c r="M50">
        <f t="shared" si="7"/>
        <v>1000.9630391506128</v>
      </c>
      <c r="N50">
        <f t="shared" si="7"/>
        <v>52759.333667318882</v>
      </c>
      <c r="O50">
        <f t="shared" si="8"/>
        <v>1000.9630391506128</v>
      </c>
      <c r="Q50">
        <f t="shared" si="9"/>
        <v>30580.123000076637</v>
      </c>
      <c r="R50">
        <f t="shared" si="10"/>
        <v>372669.55093057314</v>
      </c>
      <c r="S50">
        <f t="shared" si="10"/>
        <v>127127.42710047496</v>
      </c>
      <c r="T50">
        <f t="shared" si="10"/>
        <v>1000.9630391506128</v>
      </c>
      <c r="U50">
        <f t="shared" si="10"/>
        <v>52759.333667318882</v>
      </c>
      <c r="V50">
        <f t="shared" si="11"/>
        <v>1000.9630391506128</v>
      </c>
    </row>
    <row r="51" spans="1:22" x14ac:dyDescent="0.25">
      <c r="A51" s="6">
        <v>30807.413</v>
      </c>
      <c r="B51" s="6">
        <f t="shared" si="0"/>
        <v>30419.520999999997</v>
      </c>
      <c r="C51" s="6">
        <f t="shared" si="1"/>
        <v>387.89200000000346</v>
      </c>
      <c r="D51" s="4">
        <f t="shared" si="2"/>
        <v>150460.20366400268</v>
      </c>
      <c r="F51">
        <f t="shared" si="3"/>
        <v>30710.788999999928</v>
      </c>
      <c r="G51">
        <f t="shared" si="4"/>
        <v>461258.30559929315</v>
      </c>
      <c r="H51">
        <f t="shared" si="4"/>
        <v>9336.1973760140208</v>
      </c>
      <c r="I51">
        <f t="shared" si="5"/>
        <v>9336.1973760140208</v>
      </c>
      <c r="K51">
        <f t="shared" si="6"/>
        <v>30841.455000068174</v>
      </c>
      <c r="L51">
        <f t="shared" si="7"/>
        <v>461258.30621390208</v>
      </c>
      <c r="M51">
        <f t="shared" si="7"/>
        <v>51660.744065162449</v>
      </c>
      <c r="N51">
        <f t="shared" si="7"/>
        <v>1158.8577686415153</v>
      </c>
      <c r="O51">
        <f t="shared" si="8"/>
        <v>1158.8577686415153</v>
      </c>
      <c r="Q51">
        <f t="shared" si="9"/>
        <v>30841.455000068174</v>
      </c>
      <c r="R51">
        <f t="shared" si="10"/>
        <v>649827.30451004789</v>
      </c>
      <c r="S51">
        <f t="shared" si="10"/>
        <v>304926.31253516045</v>
      </c>
      <c r="T51">
        <f t="shared" si="10"/>
        <v>51660.744065162449</v>
      </c>
      <c r="U51">
        <f t="shared" si="10"/>
        <v>1158.8577686415153</v>
      </c>
      <c r="V51">
        <f t="shared" si="11"/>
        <v>1158.8577686415153</v>
      </c>
    </row>
    <row r="52" spans="1:22" x14ac:dyDescent="0.25">
      <c r="A52" s="6">
        <v>30843.948</v>
      </c>
      <c r="B52" s="6">
        <f t="shared" si="0"/>
        <v>30419.520999999997</v>
      </c>
      <c r="C52" s="6">
        <f t="shared" si="1"/>
        <v>424.42700000000332</v>
      </c>
      <c r="D52" s="4">
        <f t="shared" si="2"/>
        <v>180138.27832900282</v>
      </c>
      <c r="F52">
        <f t="shared" si="3"/>
        <v>30710.788999999928</v>
      </c>
      <c r="G52">
        <f t="shared" si="4"/>
        <v>512219.33302425494</v>
      </c>
      <c r="H52">
        <f t="shared" si="4"/>
        <v>17731.319281019285</v>
      </c>
      <c r="I52">
        <f t="shared" si="5"/>
        <v>17731.319281019285</v>
      </c>
      <c r="K52">
        <f t="shared" si="6"/>
        <v>30841.455000068174</v>
      </c>
      <c r="L52">
        <f t="shared" si="7"/>
        <v>512219.33367192635</v>
      </c>
      <c r="M52">
        <f t="shared" si="7"/>
        <v>69603.630584562517</v>
      </c>
      <c r="N52">
        <f t="shared" si="7"/>
        <v>6.2150486600868788</v>
      </c>
      <c r="O52">
        <f t="shared" si="8"/>
        <v>6.2150486600868788</v>
      </c>
      <c r="Q52">
        <f t="shared" si="9"/>
        <v>30841.455000068174</v>
      </c>
      <c r="R52">
        <f t="shared" si="10"/>
        <v>710065.20169757633</v>
      </c>
      <c r="S52">
        <f t="shared" si="10"/>
        <v>346610.47018683021</v>
      </c>
      <c r="T52">
        <f t="shared" si="10"/>
        <v>69603.630584562517</v>
      </c>
      <c r="U52">
        <f t="shared" si="10"/>
        <v>6.2150486600868788</v>
      </c>
      <c r="V52">
        <f t="shared" si="11"/>
        <v>6.2150486600868788</v>
      </c>
    </row>
    <row r="53" spans="1:22" x14ac:dyDescent="0.25">
      <c r="A53" s="6">
        <v>30873.004000000001</v>
      </c>
      <c r="B53" s="6">
        <f t="shared" si="0"/>
        <v>30419.520999999997</v>
      </c>
      <c r="C53" s="6">
        <f t="shared" si="1"/>
        <v>453.48300000000381</v>
      </c>
      <c r="D53" s="4">
        <f t="shared" si="2"/>
        <v>205646.83128900346</v>
      </c>
      <c r="F53">
        <f t="shared" si="3"/>
        <v>30710.788999999928</v>
      </c>
      <c r="G53">
        <f t="shared" si="4"/>
        <v>554654.05200022541</v>
      </c>
      <c r="H53">
        <f t="shared" si="4"/>
        <v>26313.706225023652</v>
      </c>
      <c r="I53">
        <f t="shared" si="5"/>
        <v>26313.706225023652</v>
      </c>
      <c r="K53">
        <f t="shared" si="6"/>
        <v>30841.455000068174</v>
      </c>
      <c r="L53">
        <f t="shared" si="7"/>
        <v>554654.05267419119</v>
      </c>
      <c r="M53">
        <f t="shared" si="7"/>
        <v>85779.280116109279</v>
      </c>
      <c r="N53">
        <f t="shared" si="7"/>
        <v>995.33939669841902</v>
      </c>
      <c r="O53">
        <f t="shared" si="8"/>
        <v>995.33939669841902</v>
      </c>
      <c r="Q53">
        <f t="shared" si="9"/>
        <v>30841.455000068174</v>
      </c>
      <c r="R53">
        <f t="shared" si="10"/>
        <v>759877.74270231766</v>
      </c>
      <c r="S53">
        <f t="shared" si="10"/>
        <v>381667.36712550005</v>
      </c>
      <c r="T53">
        <f t="shared" si="10"/>
        <v>85779.280116109279</v>
      </c>
      <c r="U53">
        <f t="shared" si="10"/>
        <v>995.33939669841902</v>
      </c>
      <c r="V53">
        <f t="shared" si="11"/>
        <v>995.33939669841902</v>
      </c>
    </row>
    <row r="54" spans="1:22" x14ac:dyDescent="0.25">
      <c r="D54" s="4">
        <f>SUM(D42:D53)</f>
        <v>1224216.9694900003</v>
      </c>
      <c r="I54">
        <f>SUM(I42:I53)</f>
        <v>206172.39560199995</v>
      </c>
      <c r="O54">
        <f>SUM(O42:O53)</f>
        <v>103730.77426599916</v>
      </c>
      <c r="V54">
        <f>SUM(V42:V53)</f>
        <v>7019.7560153333452</v>
      </c>
    </row>
    <row r="55" spans="1:22" x14ac:dyDescent="0.25">
      <c r="B55" s="6">
        <v>30419.520999999997</v>
      </c>
      <c r="G55">
        <v>30128.253000000521</v>
      </c>
      <c r="H55">
        <v>30710.788999999928</v>
      </c>
      <c r="L55">
        <v>30128.252999548044</v>
      </c>
      <c r="M55">
        <v>30580.123000076637</v>
      </c>
      <c r="N55">
        <v>30841.455000068174</v>
      </c>
      <c r="R55">
        <v>30001.294333481201</v>
      </c>
      <c r="S55">
        <v>30255.211666666622</v>
      </c>
      <c r="T55">
        <v>30580.123000076637</v>
      </c>
      <c r="U55">
        <v>30841.455000068174</v>
      </c>
    </row>
    <row r="56" spans="1:22" x14ac:dyDescent="0.25">
      <c r="L56">
        <v>30001.294333342998</v>
      </c>
      <c r="M56">
        <v>30255.211666666622</v>
      </c>
      <c r="N56">
        <v>30710.789000000193</v>
      </c>
      <c r="O56">
        <v>109461.37735133409</v>
      </c>
    </row>
    <row r="57" spans="1:22" x14ac:dyDescent="0.25">
      <c r="L57">
        <v>30001.294333481201</v>
      </c>
      <c r="M57">
        <v>30417.667333330948</v>
      </c>
      <c r="N57">
        <v>30841.455000007958</v>
      </c>
      <c r="O57">
        <v>165370.81780800014</v>
      </c>
    </row>
    <row r="58" spans="1:22" x14ac:dyDescent="0.25">
      <c r="L58">
        <v>30128.252999548044</v>
      </c>
      <c r="M58">
        <v>30580.123000076637</v>
      </c>
      <c r="N58">
        <v>30841.455000068174</v>
      </c>
      <c r="O58">
        <v>103730.77426599916</v>
      </c>
    </row>
    <row r="61" spans="1:22" x14ac:dyDescent="0.25">
      <c r="A61" s="6">
        <v>29974.47</v>
      </c>
      <c r="B61">
        <v>0</v>
      </c>
    </row>
    <row r="62" spans="1:22" x14ac:dyDescent="0.25">
      <c r="A62" s="6">
        <v>30003.218000000001</v>
      </c>
      <c r="B62">
        <v>0</v>
      </c>
    </row>
    <row r="63" spans="1:22" x14ac:dyDescent="0.25">
      <c r="A63" s="6">
        <v>30026.195</v>
      </c>
      <c r="B63">
        <v>0</v>
      </c>
    </row>
    <row r="64" spans="1:22" x14ac:dyDescent="0.25">
      <c r="A64" s="6">
        <v>30228.368999999999</v>
      </c>
      <c r="B64">
        <v>0</v>
      </c>
    </row>
    <row r="65" spans="1:2" x14ac:dyDescent="0.25">
      <c r="A65" s="6">
        <v>30257.159</v>
      </c>
      <c r="B65">
        <v>0</v>
      </c>
    </row>
    <row r="66" spans="1:2" x14ac:dyDescent="0.25">
      <c r="A66" s="6">
        <v>30280.107</v>
      </c>
      <c r="B66">
        <v>0</v>
      </c>
    </row>
    <row r="67" spans="1:2" x14ac:dyDescent="0.25">
      <c r="A67" s="6">
        <v>30545.993999999999</v>
      </c>
      <c r="B67">
        <v>0</v>
      </c>
    </row>
    <row r="68" spans="1:2" x14ac:dyDescent="0.25">
      <c r="A68" s="6">
        <v>30582.614000000001</v>
      </c>
      <c r="B68">
        <v>0</v>
      </c>
    </row>
    <row r="69" spans="1:2" x14ac:dyDescent="0.25">
      <c r="A69" s="6">
        <v>30611.760999999999</v>
      </c>
      <c r="B69">
        <v>0</v>
      </c>
    </row>
    <row r="70" spans="1:2" x14ac:dyDescent="0.25">
      <c r="A70" s="6">
        <v>30807.413</v>
      </c>
      <c r="B70">
        <v>0</v>
      </c>
    </row>
    <row r="71" spans="1:2" x14ac:dyDescent="0.25">
      <c r="A71" s="6">
        <v>30843.948</v>
      </c>
      <c r="B71">
        <v>0</v>
      </c>
    </row>
    <row r="72" spans="1:2" x14ac:dyDescent="0.25">
      <c r="A72" s="6">
        <v>30873.004000000001</v>
      </c>
      <c r="B72">
        <v>0</v>
      </c>
    </row>
    <row r="73" spans="1:2" x14ac:dyDescent="0.25">
      <c r="A73" s="6">
        <v>30419.520999999997</v>
      </c>
      <c r="B73">
        <v>1</v>
      </c>
    </row>
    <row r="74" spans="1:2" x14ac:dyDescent="0.25">
      <c r="A74">
        <v>30128.253000000521</v>
      </c>
      <c r="B74">
        <v>2</v>
      </c>
    </row>
    <row r="75" spans="1:2" x14ac:dyDescent="0.25">
      <c r="A75">
        <v>30710.788999999928</v>
      </c>
      <c r="B75">
        <v>2</v>
      </c>
    </row>
    <row r="76" spans="1:2" x14ac:dyDescent="0.25">
      <c r="A76">
        <v>30128.252999548044</v>
      </c>
      <c r="B76">
        <v>3</v>
      </c>
    </row>
    <row r="77" spans="1:2" x14ac:dyDescent="0.25">
      <c r="A77">
        <v>30580.123000076637</v>
      </c>
      <c r="B77">
        <v>3</v>
      </c>
    </row>
    <row r="78" spans="1:2" x14ac:dyDescent="0.25">
      <c r="A78">
        <v>30841.455000068174</v>
      </c>
      <c r="B78">
        <v>3</v>
      </c>
    </row>
    <row r="79" spans="1:2" x14ac:dyDescent="0.25">
      <c r="A79">
        <v>30001.294333481201</v>
      </c>
      <c r="B79">
        <v>4</v>
      </c>
    </row>
    <row r="80" spans="1:2" x14ac:dyDescent="0.25">
      <c r="A80">
        <v>30255.211666666622</v>
      </c>
      <c r="B80">
        <v>4</v>
      </c>
    </row>
    <row r="81" spans="1:16" x14ac:dyDescent="0.25">
      <c r="A81">
        <v>30580.123000076637</v>
      </c>
      <c r="B81">
        <v>4</v>
      </c>
    </row>
    <row r="82" spans="1:16" x14ac:dyDescent="0.25">
      <c r="A82">
        <v>30841.455000068174</v>
      </c>
      <c r="B82">
        <v>4</v>
      </c>
    </row>
    <row r="84" spans="1:16" s="11" customFormat="1" x14ac:dyDescent="0.25">
      <c r="A84" s="11" t="s">
        <v>47</v>
      </c>
    </row>
    <row r="86" spans="1:16" x14ac:dyDescent="0.25">
      <c r="B86" t="s">
        <v>18</v>
      </c>
    </row>
    <row r="87" spans="1:16" x14ac:dyDescent="0.25">
      <c r="B87" t="s">
        <v>19</v>
      </c>
    </row>
    <row r="88" spans="1:16" x14ac:dyDescent="0.25">
      <c r="B88" t="s">
        <v>20</v>
      </c>
    </row>
    <row r="90" spans="1:16" s="11" customFormat="1" x14ac:dyDescent="0.25">
      <c r="A90" s="11" t="s">
        <v>48</v>
      </c>
    </row>
    <row r="92" spans="1:16" x14ac:dyDescent="0.25">
      <c r="B92" t="s">
        <v>21</v>
      </c>
      <c r="C92" t="s">
        <v>22</v>
      </c>
      <c r="E92" t="s">
        <v>25</v>
      </c>
      <c r="F92" t="s">
        <v>26</v>
      </c>
      <c r="G92" t="s">
        <v>27</v>
      </c>
      <c r="H92" t="s">
        <v>28</v>
      </c>
      <c r="J92" t="s">
        <v>35</v>
      </c>
      <c r="K92" t="s">
        <v>40</v>
      </c>
      <c r="L92" t="s">
        <v>39</v>
      </c>
      <c r="N92" t="s">
        <v>43</v>
      </c>
      <c r="O92" t="s">
        <v>27</v>
      </c>
      <c r="P92" t="s">
        <v>28</v>
      </c>
    </row>
    <row r="93" spans="1:16" x14ac:dyDescent="0.25">
      <c r="A93" s="6">
        <v>29974.47</v>
      </c>
      <c r="B93">
        <v>0</v>
      </c>
      <c r="C93">
        <f>B93+1</f>
        <v>1</v>
      </c>
      <c r="E93">
        <v>3</v>
      </c>
      <c r="F93">
        <f>2*(F$106-F$107*($E93+0.5))*$C93</f>
        <v>29992.712000006602</v>
      </c>
      <c r="G93" s="6">
        <f>$A93-F93</f>
        <v>-18.242000006601302</v>
      </c>
      <c r="H93" s="4">
        <f>G93^2</f>
        <v>332.77056424084191</v>
      </c>
      <c r="J93">
        <v>1.5</v>
      </c>
      <c r="K93">
        <v>1.5</v>
      </c>
      <c r="L93" s="10">
        <f>INDEX($I$167:$I$169,MATCH($K93,$E$167:$E$169,0))-INDEX($I$166,MATCH($J93,$E$166,0))</f>
        <v>-0.2</v>
      </c>
      <c r="N93">
        <f>2*(N$106-N$107*($E93+0.5))*$C93-N$108*$L93</f>
        <v>29962.269975050182</v>
      </c>
      <c r="O93" s="6">
        <f>$A93-N93</f>
        <v>12.200024949819635</v>
      </c>
      <c r="P93" s="4">
        <f>O93^2</f>
        <v>148.84060877622159</v>
      </c>
    </row>
    <row r="94" spans="1:16" x14ac:dyDescent="0.25">
      <c r="A94" s="6">
        <v>30003.218000000001</v>
      </c>
      <c r="B94">
        <v>0</v>
      </c>
      <c r="C94">
        <f t="shared" ref="C94:C104" si="12">B94+1</f>
        <v>1</v>
      </c>
      <c r="E94">
        <v>3</v>
      </c>
      <c r="F94">
        <f t="shared" ref="F94:F104" si="13">2*(F$106-F$107*($E94+0.5))*$C94</f>
        <v>29992.712000006602</v>
      </c>
      <c r="G94" s="6">
        <f t="shared" ref="G94:G104" si="14">$A94-F94</f>
        <v>10.505999993398291</v>
      </c>
      <c r="H94" s="4">
        <f t="shared" ref="H94:H104" si="15">G94^2</f>
        <v>110.37603586128489</v>
      </c>
      <c r="J94">
        <v>1.5</v>
      </c>
      <c r="K94">
        <v>2.5</v>
      </c>
      <c r="L94" s="10">
        <f t="shared" ref="L94:L104" si="16">INDEX($I$167:$I$169,MATCH($K94,$E$167:$E$169,0))-INDEX($I$166,MATCH($J94,$E$166,0))</f>
        <v>0.05</v>
      </c>
      <c r="N94">
        <f t="shared" ref="N94:N104" si="17">2*(N$106-N$107*($E94+0.5))*$C94-N$108*$L94</f>
        <v>29994.886429968246</v>
      </c>
      <c r="O94" s="6">
        <f t="shared" ref="O94:O104" si="18">$A94-N94</f>
        <v>8.3315700317543815</v>
      </c>
      <c r="P94" s="4">
        <f t="shared" ref="P94:P104" si="19">O94^2</f>
        <v>69.415059194027705</v>
      </c>
    </row>
    <row r="95" spans="1:16" x14ac:dyDescent="0.25">
      <c r="A95" s="6">
        <v>30026.195</v>
      </c>
      <c r="B95">
        <v>0</v>
      </c>
      <c r="C95">
        <f t="shared" si="12"/>
        <v>1</v>
      </c>
      <c r="E95">
        <v>3</v>
      </c>
      <c r="F95">
        <f t="shared" si="13"/>
        <v>29992.712000006602</v>
      </c>
      <c r="G95" s="6">
        <f t="shared" si="14"/>
        <v>33.482999993397243</v>
      </c>
      <c r="H95" s="4">
        <f t="shared" si="15"/>
        <v>1121.1112885578398</v>
      </c>
      <c r="J95">
        <v>1.5</v>
      </c>
      <c r="K95">
        <v>0.5</v>
      </c>
      <c r="L95" s="10">
        <f t="shared" si="16"/>
        <v>0.25</v>
      </c>
      <c r="N95">
        <f t="shared" si="17"/>
        <v>30020.979593902699</v>
      </c>
      <c r="O95" s="6">
        <f t="shared" si="18"/>
        <v>5.215406097300729</v>
      </c>
      <c r="P95" s="4">
        <f t="shared" si="19"/>
        <v>27.200460759761622</v>
      </c>
    </row>
    <row r="96" spans="1:16" x14ac:dyDescent="0.25">
      <c r="A96" s="6">
        <v>30228.368999999999</v>
      </c>
      <c r="B96">
        <v>0</v>
      </c>
      <c r="C96">
        <f t="shared" si="12"/>
        <v>1</v>
      </c>
      <c r="E96">
        <v>2</v>
      </c>
      <c r="F96">
        <f t="shared" si="13"/>
        <v>30277.251333340642</v>
      </c>
      <c r="G96" s="6">
        <f t="shared" si="14"/>
        <v>-48.882333340643527</v>
      </c>
      <c r="H96" s="4">
        <f t="shared" si="15"/>
        <v>2389.4825128257899</v>
      </c>
      <c r="J96">
        <v>1.5</v>
      </c>
      <c r="K96">
        <v>1.5</v>
      </c>
      <c r="L96" s="10">
        <f t="shared" si="16"/>
        <v>-0.2</v>
      </c>
      <c r="N96">
        <f t="shared" si="17"/>
        <v>30246.809308380878</v>
      </c>
      <c r="O96" s="6">
        <f t="shared" si="18"/>
        <v>-18.440308380879287</v>
      </c>
      <c r="P96" s="4">
        <f t="shared" si="19"/>
        <v>340.04497318192688</v>
      </c>
    </row>
    <row r="97" spans="1:16" x14ac:dyDescent="0.25">
      <c r="A97" s="6">
        <v>30257.159</v>
      </c>
      <c r="B97">
        <v>0</v>
      </c>
      <c r="C97">
        <f t="shared" si="12"/>
        <v>1</v>
      </c>
      <c r="E97">
        <v>2</v>
      </c>
      <c r="F97">
        <f t="shared" si="13"/>
        <v>30277.251333340642</v>
      </c>
      <c r="G97" s="6">
        <f t="shared" si="14"/>
        <v>-20.092333340642654</v>
      </c>
      <c r="H97" s="4">
        <f t="shared" si="15"/>
        <v>403.70185907150039</v>
      </c>
      <c r="J97">
        <v>1.5</v>
      </c>
      <c r="K97">
        <v>2.5</v>
      </c>
      <c r="L97" s="10">
        <f t="shared" si="16"/>
        <v>0.05</v>
      </c>
      <c r="N97">
        <f t="shared" si="17"/>
        <v>30279.425763298943</v>
      </c>
      <c r="O97" s="6">
        <f t="shared" si="18"/>
        <v>-22.26676329894326</v>
      </c>
      <c r="P97" s="4">
        <f t="shared" si="19"/>
        <v>495.80874781116654</v>
      </c>
    </row>
    <row r="98" spans="1:16" x14ac:dyDescent="0.25">
      <c r="A98" s="6">
        <v>30280.107</v>
      </c>
      <c r="B98">
        <v>0</v>
      </c>
      <c r="C98">
        <f t="shared" si="12"/>
        <v>1</v>
      </c>
      <c r="E98">
        <v>2</v>
      </c>
      <c r="F98">
        <f t="shared" si="13"/>
        <v>30277.251333340642</v>
      </c>
      <c r="G98" s="6">
        <f t="shared" si="14"/>
        <v>2.8556666593576665</v>
      </c>
      <c r="H98" s="4">
        <f t="shared" si="15"/>
        <v>8.1548320693669751</v>
      </c>
      <c r="J98">
        <v>1.5</v>
      </c>
      <c r="K98">
        <v>0.5</v>
      </c>
      <c r="L98" s="10">
        <f t="shared" si="16"/>
        <v>0.25</v>
      </c>
      <c r="N98">
        <f t="shared" si="17"/>
        <v>30305.518927233396</v>
      </c>
      <c r="O98" s="6">
        <f t="shared" si="18"/>
        <v>-25.411927233395545</v>
      </c>
      <c r="P98" s="4">
        <f t="shared" si="19"/>
        <v>645.76604571539019</v>
      </c>
    </row>
    <row r="99" spans="1:16" x14ac:dyDescent="0.25">
      <c r="A99" s="6">
        <v>30545.993999999999</v>
      </c>
      <c r="B99">
        <v>0</v>
      </c>
      <c r="C99">
        <f t="shared" si="12"/>
        <v>1</v>
      </c>
      <c r="E99">
        <v>1</v>
      </c>
      <c r="F99">
        <f t="shared" si="13"/>
        <v>30561.790666674686</v>
      </c>
      <c r="G99" s="6">
        <f t="shared" si="14"/>
        <v>-15.796666674687003</v>
      </c>
      <c r="H99" s="4">
        <f t="shared" si="15"/>
        <v>249.53467803116695</v>
      </c>
      <c r="J99">
        <v>1.5</v>
      </c>
      <c r="K99">
        <v>1.5</v>
      </c>
      <c r="L99" s="10">
        <f t="shared" si="16"/>
        <v>-0.2</v>
      </c>
      <c r="N99">
        <f t="shared" si="17"/>
        <v>30531.348641711578</v>
      </c>
      <c r="O99" s="6">
        <f t="shared" si="18"/>
        <v>14.645358288420539</v>
      </c>
      <c r="P99" s="4">
        <f t="shared" si="19"/>
        <v>214.48651939620817</v>
      </c>
    </row>
    <row r="100" spans="1:16" x14ac:dyDescent="0.25">
      <c r="A100" s="6">
        <v>30582.614000000001</v>
      </c>
      <c r="B100">
        <v>0</v>
      </c>
      <c r="C100">
        <f t="shared" si="12"/>
        <v>1</v>
      </c>
      <c r="E100">
        <v>1</v>
      </c>
      <c r="F100">
        <f t="shared" si="13"/>
        <v>30561.790666674686</v>
      </c>
      <c r="G100" s="6">
        <f t="shared" si="14"/>
        <v>20.823333325315616</v>
      </c>
      <c r="H100" s="4">
        <f t="shared" si="15"/>
        <v>433.61121077719991</v>
      </c>
      <c r="J100">
        <v>1.5</v>
      </c>
      <c r="K100">
        <v>2.5</v>
      </c>
      <c r="L100" s="10">
        <f t="shared" si="16"/>
        <v>0.05</v>
      </c>
      <c r="N100">
        <f t="shared" si="17"/>
        <v>30563.965096629643</v>
      </c>
      <c r="O100" s="6">
        <f t="shared" si="18"/>
        <v>18.648903370358312</v>
      </c>
      <c r="P100" s="4">
        <f t="shared" si="19"/>
        <v>347.78159691696158</v>
      </c>
    </row>
    <row r="101" spans="1:16" x14ac:dyDescent="0.25">
      <c r="A101" s="6">
        <v>30611.760999999999</v>
      </c>
      <c r="B101">
        <v>0</v>
      </c>
      <c r="C101">
        <f t="shared" si="12"/>
        <v>1</v>
      </c>
      <c r="E101">
        <v>1</v>
      </c>
      <c r="F101">
        <f t="shared" si="13"/>
        <v>30561.790666674686</v>
      </c>
      <c r="G101" s="6">
        <f t="shared" si="14"/>
        <v>49.970333325312822</v>
      </c>
      <c r="H101" s="4">
        <f t="shared" si="15"/>
        <v>2497.0342126428691</v>
      </c>
      <c r="J101">
        <v>1.5</v>
      </c>
      <c r="K101">
        <v>0.5</v>
      </c>
      <c r="L101" s="10">
        <f t="shared" si="16"/>
        <v>0.25</v>
      </c>
      <c r="N101">
        <f t="shared" si="17"/>
        <v>30590.058260564096</v>
      </c>
      <c r="O101" s="6">
        <f t="shared" si="18"/>
        <v>21.702739435902913</v>
      </c>
      <c r="P101" s="4">
        <f t="shared" si="19"/>
        <v>471.00889902269552</v>
      </c>
    </row>
    <row r="102" spans="1:16" x14ac:dyDescent="0.25">
      <c r="A102" s="6">
        <v>30807.413</v>
      </c>
      <c r="B102">
        <v>0</v>
      </c>
      <c r="C102">
        <f t="shared" si="12"/>
        <v>1</v>
      </c>
      <c r="E102">
        <v>0</v>
      </c>
      <c r="F102">
        <f t="shared" si="13"/>
        <v>30846.330000008726</v>
      </c>
      <c r="G102" s="6">
        <f t="shared" si="14"/>
        <v>-38.917000008725154</v>
      </c>
      <c r="H102" s="4">
        <f t="shared" si="15"/>
        <v>1514.5328896791136</v>
      </c>
      <c r="J102">
        <v>1.5</v>
      </c>
      <c r="K102">
        <v>1.5</v>
      </c>
      <c r="L102" s="10">
        <f t="shared" si="16"/>
        <v>-0.2</v>
      </c>
      <c r="N102">
        <f t="shared" si="17"/>
        <v>30815.887975042275</v>
      </c>
      <c r="O102" s="6">
        <f t="shared" si="18"/>
        <v>-8.4749750422743091</v>
      </c>
      <c r="P102" s="4">
        <f t="shared" si="19"/>
        <v>71.825201967172433</v>
      </c>
    </row>
    <row r="103" spans="1:16" x14ac:dyDescent="0.25">
      <c r="A103" s="6">
        <v>30843.948</v>
      </c>
      <c r="B103">
        <v>0</v>
      </c>
      <c r="C103">
        <f t="shared" si="12"/>
        <v>1</v>
      </c>
      <c r="E103">
        <v>0</v>
      </c>
      <c r="F103">
        <f t="shared" si="13"/>
        <v>30846.330000008726</v>
      </c>
      <c r="G103" s="6">
        <f t="shared" si="14"/>
        <v>-2.3820000087252993</v>
      </c>
      <c r="H103" s="4">
        <f t="shared" si="15"/>
        <v>5.673924041567326</v>
      </c>
      <c r="J103">
        <v>1.5</v>
      </c>
      <c r="K103">
        <v>2.5</v>
      </c>
      <c r="L103" s="10">
        <f t="shared" si="16"/>
        <v>0.05</v>
      </c>
      <c r="N103">
        <f t="shared" si="17"/>
        <v>30848.50442996034</v>
      </c>
      <c r="O103" s="6">
        <f t="shared" si="18"/>
        <v>-4.556429960339301</v>
      </c>
      <c r="P103" s="4">
        <f t="shared" si="19"/>
        <v>20.761053983477606</v>
      </c>
    </row>
    <row r="104" spans="1:16" x14ac:dyDescent="0.25">
      <c r="A104" s="6">
        <v>30873.004000000001</v>
      </c>
      <c r="B104">
        <v>0</v>
      </c>
      <c r="C104">
        <f t="shared" si="12"/>
        <v>1</v>
      </c>
      <c r="E104">
        <v>0</v>
      </c>
      <c r="F104">
        <f t="shared" si="13"/>
        <v>30846.330000008726</v>
      </c>
      <c r="G104" s="6">
        <f t="shared" si="14"/>
        <v>26.673999991275195</v>
      </c>
      <c r="H104" s="4">
        <f t="shared" si="15"/>
        <v>711.50227553454909</v>
      </c>
      <c r="J104">
        <v>1.5</v>
      </c>
      <c r="K104">
        <v>0.5</v>
      </c>
      <c r="L104" s="10">
        <f t="shared" si="16"/>
        <v>0.25</v>
      </c>
      <c r="N104">
        <f t="shared" si="17"/>
        <v>30874.597593894792</v>
      </c>
      <c r="O104" s="6">
        <f t="shared" si="18"/>
        <v>-1.593593894791411</v>
      </c>
      <c r="P104" s="4">
        <f t="shared" si="19"/>
        <v>2.5395415015164589</v>
      </c>
    </row>
    <row r="105" spans="1:16" x14ac:dyDescent="0.25">
      <c r="H105" s="4">
        <f>SUM(H93:H104)</f>
        <v>9777.4862833330917</v>
      </c>
      <c r="P105" s="4">
        <f>SUM(P93:P104)</f>
        <v>2855.4787082265261</v>
      </c>
    </row>
    <row r="106" spans="1:16" ht="18" x14ac:dyDescent="0.35">
      <c r="A106" t="s">
        <v>23</v>
      </c>
      <c r="F106">
        <v>15494.299833337873</v>
      </c>
      <c r="N106">
        <v>15492.125402821039</v>
      </c>
    </row>
    <row r="107" spans="1:16" ht="18" x14ac:dyDescent="0.35">
      <c r="A107" t="s">
        <v>24</v>
      </c>
      <c r="F107">
        <v>142.26966666702043</v>
      </c>
      <c r="N107">
        <v>142.26966666534918</v>
      </c>
    </row>
    <row r="108" spans="1:16" ht="18" x14ac:dyDescent="0.35">
      <c r="A108" t="s">
        <v>44</v>
      </c>
      <c r="N108">
        <v>-130.46581967225481</v>
      </c>
    </row>
    <row r="126" spans="1:4" s="11" customFormat="1" x14ac:dyDescent="0.25">
      <c r="A126" s="11" t="s">
        <v>49</v>
      </c>
    </row>
    <row r="128" spans="1:4" x14ac:dyDescent="0.25">
      <c r="D128" t="s">
        <v>30</v>
      </c>
    </row>
    <row r="129" spans="1:15" x14ac:dyDescent="0.25">
      <c r="A129" s="7" t="s">
        <v>29</v>
      </c>
      <c r="B129">
        <f>B9/B8</f>
        <v>1.019387129253732</v>
      </c>
      <c r="D129">
        <f>U$55/T$55</f>
        <v>1.0085458125852169</v>
      </c>
      <c r="E129">
        <f>T$55/S$55</f>
        <v>1.0107390203377087</v>
      </c>
      <c r="F129">
        <f>S$55/R$55</f>
        <v>1.0084635459511508</v>
      </c>
    </row>
    <row r="130" spans="1:15" x14ac:dyDescent="0.25">
      <c r="D130" s="8">
        <f>U$55/S$55</f>
        <v>1.0193766065780805</v>
      </c>
      <c r="E130" s="8">
        <f>T$55/R$55</f>
        <v>1.0192934564809581</v>
      </c>
    </row>
    <row r="131" spans="1:15" x14ac:dyDescent="0.25">
      <c r="D131">
        <f>U$55/R$55</f>
        <v>1.0280041473293824</v>
      </c>
    </row>
    <row r="133" spans="1:15" x14ac:dyDescent="0.25">
      <c r="A133" t="s">
        <v>31</v>
      </c>
    </row>
    <row r="135" spans="1:15" s="11" customFormat="1" x14ac:dyDescent="0.25">
      <c r="A135" s="11" t="s">
        <v>50</v>
      </c>
    </row>
    <row r="137" spans="1:15" ht="17.25" x14ac:dyDescent="0.25">
      <c r="A137" t="s">
        <v>32</v>
      </c>
    </row>
    <row r="138" spans="1:15" x14ac:dyDescent="0.25">
      <c r="B138" t="s">
        <v>21</v>
      </c>
      <c r="C138" t="s">
        <v>22</v>
      </c>
      <c r="D138" t="s">
        <v>25</v>
      </c>
      <c r="E138" t="s">
        <v>12</v>
      </c>
      <c r="F138" t="s">
        <v>27</v>
      </c>
      <c r="G138" t="s">
        <v>28</v>
      </c>
      <c r="I138" t="s">
        <v>35</v>
      </c>
      <c r="J138" t="s">
        <v>40</v>
      </c>
      <c r="K138" t="s">
        <v>39</v>
      </c>
      <c r="M138" t="s">
        <v>45</v>
      </c>
      <c r="N138" t="s">
        <v>27</v>
      </c>
      <c r="O138" t="s">
        <v>28</v>
      </c>
    </row>
    <row r="139" spans="1:15" x14ac:dyDescent="0.25">
      <c r="A139" s="6">
        <v>29974.47</v>
      </c>
      <c r="B139">
        <v>0</v>
      </c>
      <c r="C139">
        <f>B139+1</f>
        <v>1</v>
      </c>
      <c r="D139">
        <v>1</v>
      </c>
      <c r="E139">
        <f>2*(E$146-E$147*(D139+0.5))*$C139</f>
        <v>30001.294333334747</v>
      </c>
      <c r="F139" s="6">
        <f>$A139-E139</f>
        <v>-26.824333334745461</v>
      </c>
      <c r="G139" s="4">
        <f>F139^2</f>
        <v>719.54485885353654</v>
      </c>
      <c r="I139">
        <v>1.5</v>
      </c>
      <c r="J139">
        <v>1.5</v>
      </c>
      <c r="K139" s="10">
        <f>INDEX($I$167:$I$169,MATCH($J139,$E$167:$E$169,0))-INDEX($I$166,MATCH($I139,$E$166,0))</f>
        <v>-0.2</v>
      </c>
      <c r="M139">
        <f>2*(M$146-M$147*($D139+0.5))*$C139-M$148*$K139</f>
        <v>29974.469472635166</v>
      </c>
      <c r="N139" s="6">
        <f>$A139-M139</f>
        <v>5.2736483485205099E-4</v>
      </c>
      <c r="O139" s="6">
        <f>N139^2</f>
        <v>2.7811366903853101E-7</v>
      </c>
    </row>
    <row r="140" spans="1:15" x14ac:dyDescent="0.25">
      <c r="A140" s="6">
        <v>30003.218000000001</v>
      </c>
      <c r="B140">
        <v>0</v>
      </c>
      <c r="C140">
        <f t="shared" ref="C140:C157" si="20">B140+1</f>
        <v>1</v>
      </c>
      <c r="D140">
        <v>1</v>
      </c>
      <c r="E140">
        <f t="shared" ref="E140:E144" si="21">2*(E$146-E$147*(D140+0.5))*$C140</f>
        <v>30001.294333334747</v>
      </c>
      <c r="F140" s="6">
        <f t="shared" ref="F140:F144" si="22">$A140-E140</f>
        <v>1.9236666652541317</v>
      </c>
      <c r="G140" s="4">
        <f t="shared" ref="G140:G144" si="23">F140^2</f>
        <v>3.7004934390099513</v>
      </c>
      <c r="I140">
        <v>1.5</v>
      </c>
      <c r="J140">
        <v>2.5</v>
      </c>
      <c r="K140" s="10">
        <f t="shared" ref="K140:K144" si="24">INDEX($I$167:$I$169,MATCH($J140,$E$167:$E$169,0))-INDEX($I$166,MATCH($I140,$E$166,0))</f>
        <v>0.05</v>
      </c>
      <c r="M140">
        <f t="shared" ref="M140:M144" si="25">2*(M$146-M$147*($D140+0.5))*$C140-M$148*$K140</f>
        <v>30003.210394765272</v>
      </c>
      <c r="N140" s="6">
        <f t="shared" ref="N140:N144" si="26">$A140-M140</f>
        <v>7.6052347285440192E-3</v>
      </c>
      <c r="O140" s="6">
        <f t="shared" ref="O140:O144" si="27">N140^2</f>
        <v>5.7839595276252024E-5</v>
      </c>
    </row>
    <row r="141" spans="1:15" x14ac:dyDescent="0.25">
      <c r="A141" s="6">
        <v>30026.195</v>
      </c>
      <c r="B141">
        <v>0</v>
      </c>
      <c r="C141">
        <f t="shared" si="20"/>
        <v>1</v>
      </c>
      <c r="D141">
        <v>1</v>
      </c>
      <c r="E141">
        <f t="shared" si="21"/>
        <v>30001.294333334747</v>
      </c>
      <c r="F141" s="6">
        <f t="shared" si="22"/>
        <v>24.900666665253084</v>
      </c>
      <c r="G141" s="4">
        <f t="shared" si="23"/>
        <v>620.04320037404614</v>
      </c>
      <c r="I141">
        <v>1.5</v>
      </c>
      <c r="J141">
        <v>0.5</v>
      </c>
      <c r="K141" s="10">
        <f t="shared" si="24"/>
        <v>0.25</v>
      </c>
      <c r="M141">
        <f t="shared" si="25"/>
        <v>30026.203132469353</v>
      </c>
      <c r="N141" s="6">
        <f t="shared" si="26"/>
        <v>-8.1324693528586067E-3</v>
      </c>
      <c r="O141" s="6">
        <f t="shared" si="27"/>
        <v>6.6137057775184492E-5</v>
      </c>
    </row>
    <row r="142" spans="1:15" x14ac:dyDescent="0.25">
      <c r="A142" s="6">
        <v>30228.368999999999</v>
      </c>
      <c r="B142">
        <v>0</v>
      </c>
      <c r="C142">
        <f t="shared" si="20"/>
        <v>1</v>
      </c>
      <c r="D142">
        <v>0</v>
      </c>
      <c r="E142">
        <f t="shared" si="21"/>
        <v>30255.211666668063</v>
      </c>
      <c r="F142" s="6">
        <f t="shared" si="22"/>
        <v>-26.842666668064339</v>
      </c>
      <c r="G142" s="4">
        <f t="shared" si="23"/>
        <v>720.52875385281232</v>
      </c>
      <c r="I142">
        <v>1.5</v>
      </c>
      <c r="J142">
        <v>1.5</v>
      </c>
      <c r="K142" s="10">
        <f t="shared" si="24"/>
        <v>-0.2</v>
      </c>
      <c r="M142">
        <f t="shared" si="25"/>
        <v>30228.38680597008</v>
      </c>
      <c r="N142" s="6">
        <f t="shared" si="26"/>
        <v>-1.7805970081099076E-2</v>
      </c>
      <c r="O142" s="6">
        <f t="shared" si="27"/>
        <v>3.1705257052899543E-4</v>
      </c>
    </row>
    <row r="143" spans="1:15" x14ac:dyDescent="0.25">
      <c r="A143" s="6">
        <v>30257.159</v>
      </c>
      <c r="B143">
        <v>0</v>
      </c>
      <c r="C143">
        <f t="shared" si="20"/>
        <v>1</v>
      </c>
      <c r="D143">
        <v>0</v>
      </c>
      <c r="E143">
        <f t="shared" si="21"/>
        <v>30255.211666668063</v>
      </c>
      <c r="F143" s="6">
        <f t="shared" si="22"/>
        <v>1.9473333319365338</v>
      </c>
      <c r="G143" s="4">
        <f t="shared" si="23"/>
        <v>3.7921071056710427</v>
      </c>
      <c r="I143">
        <v>1.5</v>
      </c>
      <c r="J143">
        <v>2.5</v>
      </c>
      <c r="K143" s="10">
        <f t="shared" si="24"/>
        <v>0.05</v>
      </c>
      <c r="M143">
        <f t="shared" si="25"/>
        <v>30257.127728100186</v>
      </c>
      <c r="N143" s="6">
        <f t="shared" si="26"/>
        <v>3.1271899813873461E-2</v>
      </c>
      <c r="O143" s="6">
        <f t="shared" si="27"/>
        <v>9.7793171796893888E-4</v>
      </c>
    </row>
    <row r="144" spans="1:15" x14ac:dyDescent="0.25">
      <c r="A144" s="6">
        <v>30280.107</v>
      </c>
      <c r="B144">
        <v>0</v>
      </c>
      <c r="C144">
        <f t="shared" si="20"/>
        <v>1</v>
      </c>
      <c r="D144">
        <v>0</v>
      </c>
      <c r="E144">
        <f t="shared" si="21"/>
        <v>30255.211666668063</v>
      </c>
      <c r="F144" s="6">
        <f t="shared" si="22"/>
        <v>24.895333331936854</v>
      </c>
      <c r="G144" s="4">
        <f t="shared" si="23"/>
        <v>619.7776217082461</v>
      </c>
      <c r="I144">
        <v>1.5</v>
      </c>
      <c r="J144">
        <v>0.5</v>
      </c>
      <c r="K144" s="10">
        <f t="shared" si="24"/>
        <v>0.25</v>
      </c>
      <c r="M144">
        <f t="shared" si="25"/>
        <v>30280.120465804266</v>
      </c>
      <c r="N144" s="6">
        <f t="shared" si="26"/>
        <v>-1.3465804266161285E-2</v>
      </c>
      <c r="O144" s="6">
        <f t="shared" si="27"/>
        <v>1.8132788453456748E-4</v>
      </c>
    </row>
    <row r="145" spans="1:15" x14ac:dyDescent="0.25">
      <c r="A145" s="6"/>
      <c r="G145" s="4">
        <f>SUM(G139:G144)</f>
        <v>2687.3870353333223</v>
      </c>
      <c r="K145" s="9"/>
      <c r="N145" s="6"/>
      <c r="O145" s="6">
        <f>SUM(O139:O144)</f>
        <v>1.6005669397529769E-3</v>
      </c>
    </row>
    <row r="146" spans="1:15" ht="18" x14ac:dyDescent="0.35">
      <c r="A146" t="s">
        <v>23</v>
      </c>
      <c r="E146">
        <v>15191.085166667361</v>
      </c>
      <c r="K146" s="9"/>
      <c r="M146">
        <v>15189.169105170811</v>
      </c>
    </row>
    <row r="147" spans="1:15" ht="18" x14ac:dyDescent="0.35">
      <c r="A147" t="s">
        <v>24</v>
      </c>
      <c r="E147">
        <v>126.95866666665853</v>
      </c>
      <c r="K147" s="9"/>
      <c r="M147">
        <v>126.95866666745749</v>
      </c>
    </row>
    <row r="148" spans="1:15" x14ac:dyDescent="0.25">
      <c r="A148" s="6" t="s">
        <v>44</v>
      </c>
      <c r="K148" s="9"/>
      <c r="M148">
        <v>-114.96368852041246</v>
      </c>
    </row>
    <row r="149" spans="1:15" x14ac:dyDescent="0.25">
      <c r="A149" s="6"/>
      <c r="K149" s="9"/>
    </row>
    <row r="150" spans="1:15" ht="17.25" x14ac:dyDescent="0.25">
      <c r="A150" t="s">
        <v>42</v>
      </c>
      <c r="K150" s="9"/>
    </row>
    <row r="151" spans="1:15" x14ac:dyDescent="0.25">
      <c r="A151" s="6"/>
      <c r="B151" t="s">
        <v>21</v>
      </c>
      <c r="C151" t="s">
        <v>22</v>
      </c>
      <c r="D151" t="s">
        <v>25</v>
      </c>
      <c r="E151" t="s">
        <v>12</v>
      </c>
      <c r="F151" t="s">
        <v>27</v>
      </c>
      <c r="G151" t="s">
        <v>28</v>
      </c>
      <c r="I151" t="s">
        <v>35</v>
      </c>
      <c r="J151" t="s">
        <v>40</v>
      </c>
      <c r="K151" s="9"/>
      <c r="M151" t="s">
        <v>45</v>
      </c>
      <c r="N151" t="s">
        <v>27</v>
      </c>
      <c r="O151" t="s">
        <v>28</v>
      </c>
    </row>
    <row r="152" spans="1:15" x14ac:dyDescent="0.25">
      <c r="A152" s="6">
        <v>30545.993999999999</v>
      </c>
      <c r="B152">
        <v>0</v>
      </c>
      <c r="C152">
        <f t="shared" si="20"/>
        <v>1</v>
      </c>
      <c r="D152">
        <v>1</v>
      </c>
      <c r="E152">
        <f>2*(E$159-E$160*(D152+0.5))*$C152</f>
        <v>30580.122999906089</v>
      </c>
      <c r="F152" s="6">
        <f>$A152-E152</f>
        <v>-34.12899990609003</v>
      </c>
      <c r="G152" s="4">
        <f>F152^2</f>
        <v>1164.7886345898933</v>
      </c>
      <c r="I152">
        <v>1.5</v>
      </c>
      <c r="J152">
        <v>1.5</v>
      </c>
      <c r="K152" s="10">
        <f t="shared" ref="K152:K157" si="28">INDEX($I$167:$I$169,MATCH($J152,$E$167:$E$169,0))-INDEX($I$166,MATCH($I152,$E$166,0))</f>
        <v>-0.2</v>
      </c>
      <c r="M152">
        <f>2*(M$159-M$160*($D152+0.5))*$C152-M$161*$K152</f>
        <v>30546.063811349231</v>
      </c>
      <c r="N152" s="6">
        <f>$A152-M152</f>
        <v>-6.9811349232622888E-2</v>
      </c>
      <c r="O152" s="6">
        <f>N152^2</f>
        <v>4.8736244816792364E-3</v>
      </c>
    </row>
    <row r="153" spans="1:15" x14ac:dyDescent="0.25">
      <c r="A153" s="6">
        <v>30582.614000000001</v>
      </c>
      <c r="B153">
        <v>0</v>
      </c>
      <c r="C153">
        <f t="shared" si="20"/>
        <v>1</v>
      </c>
      <c r="D153">
        <v>1</v>
      </c>
      <c r="E153">
        <f t="shared" ref="E153:E157" si="29">2*(E$159-E$160*(D153+0.5))*$C153</f>
        <v>30580.122999906089</v>
      </c>
      <c r="F153" s="6">
        <f t="shared" ref="F153:F157" si="30">$A153-E153</f>
        <v>2.4910000939125894</v>
      </c>
      <c r="G153" s="4">
        <f t="shared" ref="G153:G157" si="31">F153^2</f>
        <v>6.205081467872529</v>
      </c>
      <c r="I153">
        <v>1.5</v>
      </c>
      <c r="J153">
        <v>2.5</v>
      </c>
      <c r="K153" s="10">
        <f t="shared" si="28"/>
        <v>0.05</v>
      </c>
      <c r="M153">
        <f t="shared" ref="M153:M157" si="32">2*(M$159-M$160*($D153+0.5))*$C153-M$161*$K153</f>
        <v>30582.555799054509</v>
      </c>
      <c r="N153" s="6">
        <f t="shared" ref="N153:N157" si="33">$A153-M153</f>
        <v>5.8200945491989842E-2</v>
      </c>
      <c r="O153" s="6">
        <f t="shared" ref="O153:O157" si="34">N153^2</f>
        <v>3.3873500561615727E-3</v>
      </c>
    </row>
    <row r="154" spans="1:15" x14ac:dyDescent="0.25">
      <c r="A154" s="6">
        <v>30611.760999999999</v>
      </c>
      <c r="B154">
        <v>0</v>
      </c>
      <c r="C154">
        <f t="shared" si="20"/>
        <v>1</v>
      </c>
      <c r="D154">
        <v>1</v>
      </c>
      <c r="E154">
        <f t="shared" si="29"/>
        <v>30580.122999906089</v>
      </c>
      <c r="F154" s="6">
        <f t="shared" si="30"/>
        <v>31.638000093909795</v>
      </c>
      <c r="G154" s="4">
        <f t="shared" si="31"/>
        <v>1000.9630499422362</v>
      </c>
      <c r="I154">
        <v>1.5</v>
      </c>
      <c r="J154">
        <v>0.5</v>
      </c>
      <c r="K154" s="10">
        <f t="shared" si="28"/>
        <v>0.25</v>
      </c>
      <c r="M154">
        <f t="shared" si="32"/>
        <v>30611.74938921873</v>
      </c>
      <c r="N154" s="6">
        <f t="shared" si="33"/>
        <v>1.1610781268245773E-2</v>
      </c>
      <c r="O154" s="6">
        <f t="shared" si="34"/>
        <v>1.3481024165904693E-4</v>
      </c>
    </row>
    <row r="155" spans="1:15" x14ac:dyDescent="0.25">
      <c r="A155" s="6">
        <v>30807.413</v>
      </c>
      <c r="B155">
        <v>0</v>
      </c>
      <c r="C155">
        <f t="shared" si="20"/>
        <v>1</v>
      </c>
      <c r="D155">
        <v>0</v>
      </c>
      <c r="E155">
        <f t="shared" si="29"/>
        <v>30841.454999938403</v>
      </c>
      <c r="F155" s="6">
        <f t="shared" si="30"/>
        <v>-34.041999938403023</v>
      </c>
      <c r="G155" s="4">
        <f t="shared" si="31"/>
        <v>1158.8577598062313</v>
      </c>
      <c r="I155">
        <v>1.5</v>
      </c>
      <c r="J155">
        <v>1.5</v>
      </c>
      <c r="K155" s="10">
        <f t="shared" si="28"/>
        <v>-0.2</v>
      </c>
      <c r="M155">
        <f t="shared" si="32"/>
        <v>30807.39581134923</v>
      </c>
      <c r="N155" s="6">
        <f t="shared" si="33"/>
        <v>1.718865077054943E-2</v>
      </c>
      <c r="O155" s="6">
        <f t="shared" si="34"/>
        <v>2.9544971531190951E-4</v>
      </c>
    </row>
    <row r="156" spans="1:15" x14ac:dyDescent="0.25">
      <c r="A156" s="6">
        <v>30843.948</v>
      </c>
      <c r="B156">
        <v>0</v>
      </c>
      <c r="C156">
        <f t="shared" si="20"/>
        <v>1</v>
      </c>
      <c r="D156">
        <v>0</v>
      </c>
      <c r="E156">
        <f t="shared" si="29"/>
        <v>30841.454999938403</v>
      </c>
      <c r="F156" s="6">
        <f t="shared" si="30"/>
        <v>2.4930000615968311</v>
      </c>
      <c r="G156" s="4">
        <f t="shared" si="31"/>
        <v>6.2150493071218031</v>
      </c>
      <c r="I156">
        <v>1.5</v>
      </c>
      <c r="J156">
        <v>2.5</v>
      </c>
      <c r="K156" s="10">
        <f t="shared" si="28"/>
        <v>0.05</v>
      </c>
      <c r="M156">
        <f t="shared" si="32"/>
        <v>30843.887799054508</v>
      </c>
      <c r="N156" s="6">
        <f t="shared" si="33"/>
        <v>6.0200945492397295E-2</v>
      </c>
      <c r="O156" s="6">
        <f t="shared" si="34"/>
        <v>3.6241538381785901E-3</v>
      </c>
    </row>
    <row r="157" spans="1:15" x14ac:dyDescent="0.25">
      <c r="A157" s="6">
        <v>30873.004000000001</v>
      </c>
      <c r="B157">
        <v>0</v>
      </c>
      <c r="C157">
        <f t="shared" si="20"/>
        <v>1</v>
      </c>
      <c r="D157">
        <v>0</v>
      </c>
      <c r="E157">
        <f t="shared" si="29"/>
        <v>30841.454999938403</v>
      </c>
      <c r="F157" s="6">
        <f t="shared" si="30"/>
        <v>31.549000061597326</v>
      </c>
      <c r="G157" s="4">
        <f t="shared" si="31"/>
        <v>995.33940488666804</v>
      </c>
      <c r="I157">
        <v>1.5</v>
      </c>
      <c r="J157">
        <v>0.5</v>
      </c>
      <c r="K157" s="10">
        <f t="shared" si="28"/>
        <v>0.25</v>
      </c>
      <c r="M157">
        <f t="shared" si="32"/>
        <v>30873.081389218729</v>
      </c>
      <c r="N157" s="6">
        <f t="shared" si="33"/>
        <v>-7.738921872805804E-2</v>
      </c>
      <c r="O157" s="6">
        <f t="shared" si="34"/>
        <v>5.9890911753392095E-3</v>
      </c>
    </row>
    <row r="158" spans="1:15" x14ac:dyDescent="0.25">
      <c r="G158" s="4">
        <f>SUM(G152:G157)</f>
        <v>4332.3689800000229</v>
      </c>
      <c r="O158" s="6">
        <f>SUM(O152:O157)</f>
        <v>1.8304479508329568E-2</v>
      </c>
    </row>
    <row r="159" spans="1:15" ht="18" x14ac:dyDescent="0.35">
      <c r="A159" t="s">
        <v>23</v>
      </c>
      <c r="E159">
        <v>15486.06049997728</v>
      </c>
      <c r="M159">
        <v>15483.627700756724</v>
      </c>
    </row>
    <row r="160" spans="1:15" ht="18" x14ac:dyDescent="0.35">
      <c r="A160" t="s">
        <v>24</v>
      </c>
      <c r="E160">
        <v>130.66600001615751</v>
      </c>
      <c r="M160">
        <v>130.665999999999</v>
      </c>
    </row>
    <row r="161" spans="1:14" x14ac:dyDescent="0.25">
      <c r="A161" t="s">
        <v>44</v>
      </c>
      <c r="M161">
        <v>-145.96795082111123</v>
      </c>
    </row>
    <row r="163" spans="1:14" s="11" customFormat="1" x14ac:dyDescent="0.25">
      <c r="A163" s="11" t="s">
        <v>51</v>
      </c>
    </row>
    <row r="165" spans="1:14" x14ac:dyDescent="0.25">
      <c r="A165" t="s">
        <v>21</v>
      </c>
      <c r="B165" t="s">
        <v>22</v>
      </c>
      <c r="C165" t="s">
        <v>33</v>
      </c>
      <c r="D165" t="s">
        <v>34</v>
      </c>
      <c r="E165" t="s">
        <v>35</v>
      </c>
      <c r="F165" t="s">
        <v>36</v>
      </c>
      <c r="G165" t="s">
        <v>37</v>
      </c>
      <c r="H165" t="s">
        <v>38</v>
      </c>
      <c r="I165" t="s">
        <v>39</v>
      </c>
      <c r="K165" t="s">
        <v>35</v>
      </c>
      <c r="L165" s="7" t="s">
        <v>40</v>
      </c>
      <c r="M165" s="7" t="s">
        <v>41</v>
      </c>
    </row>
    <row r="166" spans="1:14" x14ac:dyDescent="0.25">
      <c r="A166">
        <v>0</v>
      </c>
      <c r="B166">
        <f>A166+1</f>
        <v>1</v>
      </c>
      <c r="C166">
        <v>1.5</v>
      </c>
      <c r="D166">
        <f>C166+1</f>
        <v>2.5</v>
      </c>
      <c r="E166">
        <f>A166+C166</f>
        <v>1.5</v>
      </c>
      <c r="F166">
        <f>E166+1</f>
        <v>2.5</v>
      </c>
      <c r="G166">
        <f>E166*F166-C166*D166-A166*B166</f>
        <v>0</v>
      </c>
      <c r="H166">
        <f>G166+1</f>
        <v>1</v>
      </c>
      <c r="I166" s="9">
        <f>(0.75*G166*H166-C166*D166*A166*B166)/(2*C166*(2*C166-1)*(2*A166-1)*(2*A166+3))</f>
        <v>0</v>
      </c>
      <c r="K166">
        <v>1.5</v>
      </c>
      <c r="L166">
        <v>2.5</v>
      </c>
      <c r="M166" s="10">
        <f>INDEX($I$167:$I$169,MATCH($L166,$E$167:$E$169,0))-INDEX($I$166,MATCH($K166,$E$166,0))</f>
        <v>0.05</v>
      </c>
      <c r="N166">
        <v>0</v>
      </c>
    </row>
    <row r="167" spans="1:14" x14ac:dyDescent="0.25">
      <c r="A167">
        <v>1</v>
      </c>
      <c r="B167">
        <f t="shared" ref="B167:B169" si="35">A167+1</f>
        <v>2</v>
      </c>
      <c r="C167">
        <v>1.5</v>
      </c>
      <c r="D167">
        <f t="shared" ref="D167:D169" si="36">C167+1</f>
        <v>2.5</v>
      </c>
      <c r="E167">
        <v>2.5</v>
      </c>
      <c r="F167">
        <f t="shared" ref="F167:F169" si="37">E167+1</f>
        <v>3.5</v>
      </c>
      <c r="G167">
        <f t="shared" ref="G167:G169" si="38">E167*F167-C167*D167-A167*B167</f>
        <v>3</v>
      </c>
      <c r="H167">
        <f t="shared" ref="H167:H169" si="39">G167+1</f>
        <v>4</v>
      </c>
      <c r="I167" s="9">
        <f t="shared" ref="I167:I169" si="40">(0.75*G167*H167-C167*D167*A167*B167)/(2*C167*(2*C167-1)*(2*A167-1)*(2*A167+3))</f>
        <v>0.05</v>
      </c>
      <c r="K167">
        <v>1.5</v>
      </c>
      <c r="L167">
        <v>1.5</v>
      </c>
      <c r="M167" s="10">
        <f t="shared" ref="M167:M168" si="41">INDEX($I$167:$I$169,MATCH($L167,$E$167:$E$169,0))-INDEX($I$166,MATCH($K167,$E$166,0))</f>
        <v>-0.2</v>
      </c>
      <c r="N167">
        <v>0</v>
      </c>
    </row>
    <row r="168" spans="1:14" x14ac:dyDescent="0.25">
      <c r="A168">
        <v>1</v>
      </c>
      <c r="B168">
        <f t="shared" si="35"/>
        <v>2</v>
      </c>
      <c r="C168">
        <v>1.5</v>
      </c>
      <c r="D168">
        <f t="shared" si="36"/>
        <v>2.5</v>
      </c>
      <c r="E168">
        <v>1.5</v>
      </c>
      <c r="F168">
        <f t="shared" si="37"/>
        <v>2.5</v>
      </c>
      <c r="G168">
        <f t="shared" si="38"/>
        <v>-2</v>
      </c>
      <c r="H168">
        <f t="shared" si="39"/>
        <v>-1</v>
      </c>
      <c r="I168" s="9">
        <f t="shared" si="40"/>
        <v>-0.2</v>
      </c>
      <c r="K168">
        <v>1.5</v>
      </c>
      <c r="L168">
        <v>0.5</v>
      </c>
      <c r="M168" s="10">
        <f t="shared" si="41"/>
        <v>0.25</v>
      </c>
      <c r="N168">
        <v>0</v>
      </c>
    </row>
    <row r="169" spans="1:14" x14ac:dyDescent="0.25">
      <c r="A169">
        <v>1</v>
      </c>
      <c r="B169">
        <f t="shared" si="35"/>
        <v>2</v>
      </c>
      <c r="C169">
        <v>1.5</v>
      </c>
      <c r="D169">
        <f t="shared" si="36"/>
        <v>2.5</v>
      </c>
      <c r="E169">
        <v>0.5</v>
      </c>
      <c r="F169">
        <f t="shared" si="37"/>
        <v>1.5</v>
      </c>
      <c r="G169">
        <f t="shared" si="38"/>
        <v>-5</v>
      </c>
      <c r="H169">
        <f t="shared" si="39"/>
        <v>-4</v>
      </c>
      <c r="I169" s="9">
        <f t="shared" si="40"/>
        <v>0.25</v>
      </c>
    </row>
  </sheetData>
  <sortState ref="A14:B25">
    <sortCondition ref="A1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2023-02-04T02:12:44Z</dcterms:modified>
</cp:coreProperties>
</file>