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A706EAEC-4DA6-404C-BDF1-B3E1D150C3BA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</sheets>
  <definedNames>
    <definedName name="solver_adj" localSheetId="0" hidden="1">Microwave!$U$143:$U$146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Microwave!$W$142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0" i="3" l="1"/>
  <c r="Q150" i="3"/>
  <c r="M150" i="3"/>
  <c r="M55" i="3" l="1"/>
  <c r="M56" i="3" s="1"/>
  <c r="N56" i="3" l="1"/>
  <c r="F150" i="3"/>
  <c r="K53" i="3" l="1"/>
  <c r="B116" i="3"/>
  <c r="F159" i="3" l="1"/>
  <c r="D159" i="3"/>
  <c r="B159" i="3"/>
  <c r="F158" i="3"/>
  <c r="D158" i="3"/>
  <c r="B158" i="3"/>
  <c r="F157" i="3"/>
  <c r="D157" i="3"/>
  <c r="B157" i="3"/>
  <c r="E156" i="3"/>
  <c r="D156" i="3"/>
  <c r="B156" i="3"/>
  <c r="G159" i="3" l="1"/>
  <c r="H159" i="3" s="1"/>
  <c r="I159" i="3" s="1"/>
  <c r="G157" i="3"/>
  <c r="H157" i="3" s="1"/>
  <c r="I157" i="3" s="1"/>
  <c r="G158" i="3"/>
  <c r="H158" i="3" s="1"/>
  <c r="I158" i="3" s="1"/>
  <c r="F156" i="3"/>
  <c r="G156" i="3" s="1"/>
  <c r="H156" i="3" s="1"/>
  <c r="I156" i="3" s="1"/>
  <c r="B150" i="3"/>
  <c r="C138" i="3"/>
  <c r="C139" i="3"/>
  <c r="C140" i="3"/>
  <c r="C141" i="3"/>
  <c r="C137" i="3"/>
  <c r="C120" i="3"/>
  <c r="C121" i="3"/>
  <c r="C122" i="3"/>
  <c r="C123" i="3"/>
  <c r="C124" i="3"/>
  <c r="C125" i="3"/>
  <c r="C126" i="3"/>
  <c r="C127" i="3"/>
  <c r="C119" i="3"/>
  <c r="F119" i="3" s="1"/>
  <c r="C82" i="3"/>
  <c r="M82" i="3" s="1"/>
  <c r="N82" i="3" s="1"/>
  <c r="O82" i="3" s="1"/>
  <c r="C83" i="3"/>
  <c r="D83" i="3" s="1"/>
  <c r="E83" i="3" s="1"/>
  <c r="F83" i="3" s="1"/>
  <c r="C84" i="3"/>
  <c r="I84" i="3" s="1"/>
  <c r="J84" i="3" s="1"/>
  <c r="K84" i="3" s="1"/>
  <c r="C85" i="3"/>
  <c r="I85" i="3" s="1"/>
  <c r="J85" i="3" s="1"/>
  <c r="K85" i="3" s="1"/>
  <c r="C86" i="3"/>
  <c r="M86" i="3" s="1"/>
  <c r="N86" i="3" s="1"/>
  <c r="O86" i="3" s="1"/>
  <c r="C87" i="3"/>
  <c r="D87" i="3" s="1"/>
  <c r="E87" i="3" s="1"/>
  <c r="F87" i="3" s="1"/>
  <c r="C88" i="3"/>
  <c r="I88" i="3" s="1"/>
  <c r="J88" i="3" s="1"/>
  <c r="K88" i="3" s="1"/>
  <c r="C89" i="3"/>
  <c r="I89" i="3" s="1"/>
  <c r="J89" i="3" s="1"/>
  <c r="K89" i="3" s="1"/>
  <c r="C90" i="3"/>
  <c r="M90" i="3" s="1"/>
  <c r="N90" i="3" s="1"/>
  <c r="O90" i="3" s="1"/>
  <c r="C91" i="3"/>
  <c r="D91" i="3" s="1"/>
  <c r="E91" i="3" s="1"/>
  <c r="F91" i="3" s="1"/>
  <c r="C92" i="3"/>
  <c r="I92" i="3" s="1"/>
  <c r="J92" i="3" s="1"/>
  <c r="K92" i="3" s="1"/>
  <c r="C93" i="3"/>
  <c r="I93" i="3" s="1"/>
  <c r="J93" i="3" s="1"/>
  <c r="K93" i="3" s="1"/>
  <c r="C94" i="3"/>
  <c r="M94" i="3" s="1"/>
  <c r="N94" i="3" s="1"/>
  <c r="O94" i="3" s="1"/>
  <c r="C81" i="3"/>
  <c r="C56" i="3"/>
  <c r="L119" i="3" l="1"/>
  <c r="F137" i="3"/>
  <c r="M156" i="3"/>
  <c r="D81" i="3"/>
  <c r="E81" i="3" s="1"/>
  <c r="F81" i="3" s="1"/>
  <c r="I81" i="3"/>
  <c r="F140" i="3"/>
  <c r="G140" i="3" s="1"/>
  <c r="H140" i="3" s="1"/>
  <c r="M157" i="3"/>
  <c r="L122" i="3"/>
  <c r="U122" i="3" s="1"/>
  <c r="V122" i="3" s="1"/>
  <c r="W122" i="3" s="1"/>
  <c r="L139" i="3"/>
  <c r="M139" i="3" s="1"/>
  <c r="N139" i="3" s="1"/>
  <c r="O139" i="3" s="1"/>
  <c r="L125" i="3"/>
  <c r="U125" i="3" s="1"/>
  <c r="V125" i="3" s="1"/>
  <c r="W125" i="3" s="1"/>
  <c r="L137" i="3"/>
  <c r="U137" i="3" s="1"/>
  <c r="L123" i="3"/>
  <c r="M123" i="3" s="1"/>
  <c r="N123" i="3" s="1"/>
  <c r="O123" i="3" s="1"/>
  <c r="L120" i="3"/>
  <c r="L140" i="3"/>
  <c r="Q140" i="3" s="1"/>
  <c r="R140" i="3" s="1"/>
  <c r="S140" i="3" s="1"/>
  <c r="L126" i="3"/>
  <c r="U126" i="3" s="1"/>
  <c r="V126" i="3" s="1"/>
  <c r="W126" i="3" s="1"/>
  <c r="L138" i="3"/>
  <c r="M138" i="3" s="1"/>
  <c r="N138" i="3" s="1"/>
  <c r="O138" i="3" s="1"/>
  <c r="L127" i="3"/>
  <c r="U127" i="3" s="1"/>
  <c r="V127" i="3" s="1"/>
  <c r="W127" i="3" s="1"/>
  <c r="L124" i="3"/>
  <c r="U124" i="3" s="1"/>
  <c r="V124" i="3" s="1"/>
  <c r="W124" i="3" s="1"/>
  <c r="L121" i="3"/>
  <c r="U121" i="3" s="1"/>
  <c r="V121" i="3" s="1"/>
  <c r="W121" i="3" s="1"/>
  <c r="L141" i="3"/>
  <c r="M141" i="3" s="1"/>
  <c r="N141" i="3" s="1"/>
  <c r="O141" i="3" s="1"/>
  <c r="M158" i="3"/>
  <c r="F126" i="3"/>
  <c r="G126" i="3" s="1"/>
  <c r="H126" i="3" s="1"/>
  <c r="F122" i="3"/>
  <c r="G122" i="3" s="1"/>
  <c r="H122" i="3" s="1"/>
  <c r="F141" i="3"/>
  <c r="G141" i="3" s="1"/>
  <c r="H141" i="3" s="1"/>
  <c r="F127" i="3"/>
  <c r="G127" i="3" s="1"/>
  <c r="H127" i="3" s="1"/>
  <c r="F123" i="3"/>
  <c r="G123" i="3" s="1"/>
  <c r="H123" i="3" s="1"/>
  <c r="G137" i="3"/>
  <c r="H137" i="3" s="1"/>
  <c r="F138" i="3"/>
  <c r="G138" i="3" s="1"/>
  <c r="H138" i="3" s="1"/>
  <c r="D84" i="3"/>
  <c r="E84" i="3" s="1"/>
  <c r="F84" i="3" s="1"/>
  <c r="F125" i="3"/>
  <c r="G125" i="3" s="1"/>
  <c r="H125" i="3" s="1"/>
  <c r="F121" i="3"/>
  <c r="G121" i="3" s="1"/>
  <c r="H121" i="3" s="1"/>
  <c r="M140" i="3"/>
  <c r="N140" i="3" s="1"/>
  <c r="O140" i="3" s="1"/>
  <c r="F124" i="3"/>
  <c r="G124" i="3" s="1"/>
  <c r="H124" i="3" s="1"/>
  <c r="F120" i="3"/>
  <c r="G120" i="3" s="1"/>
  <c r="H120" i="3" s="1"/>
  <c r="F139" i="3"/>
  <c r="G139" i="3" s="1"/>
  <c r="H139" i="3" s="1"/>
  <c r="D89" i="3"/>
  <c r="E89" i="3" s="1"/>
  <c r="F89" i="3" s="1"/>
  <c r="M93" i="3"/>
  <c r="N93" i="3" s="1"/>
  <c r="O93" i="3" s="1"/>
  <c r="G119" i="3"/>
  <c r="H119" i="3" s="1"/>
  <c r="D85" i="3"/>
  <c r="E85" i="3" s="1"/>
  <c r="F85" i="3" s="1"/>
  <c r="M92" i="3"/>
  <c r="N92" i="3" s="1"/>
  <c r="O92" i="3" s="1"/>
  <c r="M85" i="3"/>
  <c r="N85" i="3" s="1"/>
  <c r="O85" i="3" s="1"/>
  <c r="D90" i="3"/>
  <c r="E90" i="3" s="1"/>
  <c r="F90" i="3" s="1"/>
  <c r="M84" i="3"/>
  <c r="N84" i="3" s="1"/>
  <c r="O84" i="3" s="1"/>
  <c r="D94" i="3"/>
  <c r="E94" i="3" s="1"/>
  <c r="F94" i="3" s="1"/>
  <c r="D93" i="3"/>
  <c r="E93" i="3" s="1"/>
  <c r="F93" i="3" s="1"/>
  <c r="D88" i="3"/>
  <c r="E88" i="3" s="1"/>
  <c r="F88" i="3" s="1"/>
  <c r="D82" i="3"/>
  <c r="E82" i="3" s="1"/>
  <c r="F82" i="3" s="1"/>
  <c r="M89" i="3"/>
  <c r="N89" i="3" s="1"/>
  <c r="O89" i="3" s="1"/>
  <c r="D92" i="3"/>
  <c r="E92" i="3" s="1"/>
  <c r="F92" i="3" s="1"/>
  <c r="D86" i="3"/>
  <c r="E86" i="3" s="1"/>
  <c r="F86" i="3" s="1"/>
  <c r="M88" i="3"/>
  <c r="N88" i="3" s="1"/>
  <c r="O88" i="3" s="1"/>
  <c r="J81" i="3"/>
  <c r="K81" i="3" s="1"/>
  <c r="I91" i="3"/>
  <c r="J91" i="3" s="1"/>
  <c r="K91" i="3" s="1"/>
  <c r="I87" i="3"/>
  <c r="J87" i="3" s="1"/>
  <c r="K87" i="3" s="1"/>
  <c r="I83" i="3"/>
  <c r="J83" i="3" s="1"/>
  <c r="K83" i="3" s="1"/>
  <c r="I94" i="3"/>
  <c r="J94" i="3" s="1"/>
  <c r="K94" i="3" s="1"/>
  <c r="I90" i="3"/>
  <c r="J90" i="3" s="1"/>
  <c r="K90" i="3" s="1"/>
  <c r="I86" i="3"/>
  <c r="J86" i="3" s="1"/>
  <c r="K86" i="3" s="1"/>
  <c r="I82" i="3"/>
  <c r="J82" i="3" s="1"/>
  <c r="K82" i="3" s="1"/>
  <c r="M81" i="3"/>
  <c r="N81" i="3" s="1"/>
  <c r="O81" i="3" s="1"/>
  <c r="M91" i="3"/>
  <c r="N91" i="3" s="1"/>
  <c r="O91" i="3" s="1"/>
  <c r="M87" i="3"/>
  <c r="N87" i="3" s="1"/>
  <c r="O87" i="3" s="1"/>
  <c r="M83" i="3"/>
  <c r="N83" i="3" s="1"/>
  <c r="O83" i="3" s="1"/>
  <c r="M121" i="3" l="1"/>
  <c r="N121" i="3" s="1"/>
  <c r="O121" i="3" s="1"/>
  <c r="M124" i="3"/>
  <c r="N124" i="3" s="1"/>
  <c r="O124" i="3" s="1"/>
  <c r="M122" i="3"/>
  <c r="N122" i="3" s="1"/>
  <c r="O122" i="3" s="1"/>
  <c r="Y124" i="3"/>
  <c r="Z124" i="3" s="1"/>
  <c r="AA124" i="3" s="1"/>
  <c r="Q123" i="3"/>
  <c r="R123" i="3" s="1"/>
  <c r="S123" i="3" s="1"/>
  <c r="Q120" i="3"/>
  <c r="R120" i="3" s="1"/>
  <c r="S120" i="3" s="1"/>
  <c r="M125" i="3"/>
  <c r="N125" i="3" s="1"/>
  <c r="O125" i="3" s="1"/>
  <c r="Q141" i="3"/>
  <c r="Q126" i="3"/>
  <c r="R126" i="3" s="1"/>
  <c r="S126" i="3" s="1"/>
  <c r="Q138" i="3"/>
  <c r="R138" i="3" s="1"/>
  <c r="S138" i="3" s="1"/>
  <c r="Q139" i="3"/>
  <c r="R139" i="3" s="1"/>
  <c r="S139" i="3" s="1"/>
  <c r="U140" i="3"/>
  <c r="V140" i="3" s="1"/>
  <c r="W140" i="3" s="1"/>
  <c r="Y121" i="3"/>
  <c r="Z121" i="3" s="1"/>
  <c r="AA121" i="3" s="1"/>
  <c r="Y127" i="3"/>
  <c r="Z127" i="3" s="1"/>
  <c r="AA127" i="3" s="1"/>
  <c r="Y122" i="3"/>
  <c r="Z122" i="3" s="1"/>
  <c r="AA122" i="3" s="1"/>
  <c r="Y126" i="3"/>
  <c r="Z126" i="3" s="1"/>
  <c r="AA126" i="3" s="1"/>
  <c r="U123" i="3"/>
  <c r="V123" i="3" s="1"/>
  <c r="W123" i="3" s="1"/>
  <c r="Q127" i="3"/>
  <c r="R127" i="3" s="1"/>
  <c r="S127" i="3" s="1"/>
  <c r="U120" i="3"/>
  <c r="V120" i="3" s="1"/>
  <c r="W120" i="3" s="1"/>
  <c r="Q124" i="3"/>
  <c r="R124" i="3" s="1"/>
  <c r="S124" i="3" s="1"/>
  <c r="Q125" i="3"/>
  <c r="U141" i="3"/>
  <c r="V141" i="3" s="1"/>
  <c r="W141" i="3" s="1"/>
  <c r="Q122" i="3"/>
  <c r="R122" i="3" s="1"/>
  <c r="S122" i="3" s="1"/>
  <c r="U138" i="3"/>
  <c r="V138" i="3" s="1"/>
  <c r="W138" i="3" s="1"/>
  <c r="Y123" i="3"/>
  <c r="Z123" i="3" s="1"/>
  <c r="AA123" i="3" s="1"/>
  <c r="U139" i="3"/>
  <c r="V139" i="3" s="1"/>
  <c r="W139" i="3" s="1"/>
  <c r="Y120" i="3"/>
  <c r="Z120" i="3" s="1"/>
  <c r="AA120" i="3" s="1"/>
  <c r="Q121" i="3"/>
  <c r="R121" i="3" s="1"/>
  <c r="S121" i="3" s="1"/>
  <c r="Y125" i="3"/>
  <c r="Z125" i="3" s="1"/>
  <c r="AA125" i="3" s="1"/>
  <c r="V137" i="3"/>
  <c r="W137" i="3" s="1"/>
  <c r="Q137" i="3"/>
  <c r="R137" i="3" s="1"/>
  <c r="S137" i="3" s="1"/>
  <c r="Q119" i="3"/>
  <c r="Y119" i="3"/>
  <c r="M137" i="3"/>
  <c r="N137" i="3" s="1"/>
  <c r="O137" i="3" s="1"/>
  <c r="O142" i="3" s="1"/>
  <c r="M119" i="3"/>
  <c r="U119" i="3"/>
  <c r="V119" i="3" s="1"/>
  <c r="W119" i="3" s="1"/>
  <c r="R125" i="3"/>
  <c r="S125" i="3" s="1"/>
  <c r="M120" i="3"/>
  <c r="N120" i="3" s="1"/>
  <c r="O120" i="3" s="1"/>
  <c r="M127" i="3"/>
  <c r="N127" i="3" s="1"/>
  <c r="O127" i="3" s="1"/>
  <c r="R141" i="3"/>
  <c r="S141" i="3" s="1"/>
  <c r="H128" i="3"/>
  <c r="M126" i="3"/>
  <c r="N126" i="3" s="1"/>
  <c r="O126" i="3" s="1"/>
  <c r="H142" i="3"/>
  <c r="O95" i="3"/>
  <c r="F95" i="3"/>
  <c r="K95" i="3"/>
  <c r="G53" i="3"/>
  <c r="G54" i="3" s="1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H34" i="3"/>
  <c r="G34" i="3"/>
  <c r="B49" i="3"/>
  <c r="B34" i="3" s="1"/>
  <c r="C34" i="3" s="1"/>
  <c r="D34" i="3" s="1"/>
  <c r="W142" i="3" l="1"/>
  <c r="W128" i="3"/>
  <c r="S142" i="3"/>
  <c r="B45" i="3"/>
  <c r="C45" i="3" s="1"/>
  <c r="D45" i="3" s="1"/>
  <c r="B41" i="3"/>
  <c r="C41" i="3" s="1"/>
  <c r="D41" i="3" s="1"/>
  <c r="B37" i="3"/>
  <c r="C37" i="3" s="1"/>
  <c r="D37" i="3" s="1"/>
  <c r="B40" i="3"/>
  <c r="C40" i="3" s="1"/>
  <c r="D40" i="3" s="1"/>
  <c r="B36" i="3"/>
  <c r="C36" i="3" s="1"/>
  <c r="D36" i="3" s="1"/>
  <c r="B47" i="3"/>
  <c r="C47" i="3" s="1"/>
  <c r="D47" i="3" s="1"/>
  <c r="B35" i="3"/>
  <c r="C35" i="3" s="1"/>
  <c r="D35" i="3" s="1"/>
  <c r="H54" i="3"/>
  <c r="B44" i="3"/>
  <c r="C44" i="3" s="1"/>
  <c r="D44" i="3" s="1"/>
  <c r="B43" i="3"/>
  <c r="C43" i="3" s="1"/>
  <c r="D43" i="3" s="1"/>
  <c r="B39" i="3"/>
  <c r="C39" i="3" s="1"/>
  <c r="D39" i="3" s="1"/>
  <c r="B46" i="3"/>
  <c r="C46" i="3" s="1"/>
  <c r="D46" i="3" s="1"/>
  <c r="B42" i="3"/>
  <c r="C42" i="3" s="1"/>
  <c r="D42" i="3" s="1"/>
  <c r="B38" i="3"/>
  <c r="C38" i="3" s="1"/>
  <c r="D38" i="3" s="1"/>
  <c r="I40" i="3"/>
  <c r="F40" i="3" s="1"/>
  <c r="I34" i="3"/>
  <c r="F34" i="3" s="1"/>
  <c r="I47" i="3"/>
  <c r="F47" i="3" s="1"/>
  <c r="I45" i="3"/>
  <c r="F45" i="3" s="1"/>
  <c r="I43" i="3"/>
  <c r="F43" i="3" s="1"/>
  <c r="I41" i="3"/>
  <c r="F41" i="3" s="1"/>
  <c r="I39" i="3"/>
  <c r="F39" i="3" s="1"/>
  <c r="I37" i="3"/>
  <c r="F37" i="3" s="1"/>
  <c r="I35" i="3"/>
  <c r="F35" i="3" s="1"/>
  <c r="I46" i="3"/>
  <c r="F46" i="3" s="1"/>
  <c r="I44" i="3"/>
  <c r="F44" i="3" s="1"/>
  <c r="I42" i="3"/>
  <c r="F42" i="3" s="1"/>
  <c r="I38" i="3"/>
  <c r="F38" i="3" s="1"/>
  <c r="I36" i="3"/>
  <c r="F36" i="3" s="1"/>
  <c r="D48" i="3" l="1"/>
  <c r="I48" i="3"/>
  <c r="B10" i="3" l="1"/>
  <c r="B9" i="3" l="1"/>
  <c r="B117" i="3" s="1"/>
  <c r="B151" i="3" l="1"/>
  <c r="Z119" i="3" l="1"/>
  <c r="AA119" i="3" s="1"/>
  <c r="AA128" i="3" s="1"/>
  <c r="N119" i="3"/>
  <c r="O119" i="3" s="1"/>
  <c r="O128" i="3" s="1"/>
  <c r="R119" i="3"/>
  <c r="S119" i="3" s="1"/>
  <c r="S128" i="3" s="1"/>
</calcChain>
</file>

<file path=xl/sharedStrings.xml><?xml version="1.0" encoding="utf-8"?>
<sst xmlns="http://schemas.openxmlformats.org/spreadsheetml/2006/main" count="90" uniqueCount="60">
  <si>
    <t>MHz</t>
  </si>
  <si>
    <t>m</t>
  </si>
  <si>
    <t>unc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</si>
  <si>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</si>
  <si>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</si>
  <si>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</si>
  <si>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From A. Honig, M. Mandel, M. L. Stitch, C. H. Townes, Phys. Rev., 96, 629-642 (1954)</t>
  </si>
  <si>
    <t>6Li</t>
  </si>
  <si>
    <t>7Li</t>
  </si>
  <si>
    <t>127I</t>
  </si>
  <si>
    <t xml:space="preserve"> </t>
  </si>
  <si>
    <t>Model1</t>
  </si>
  <si>
    <t>Model2</t>
  </si>
  <si>
    <t>dev</t>
  </si>
  <si>
    <t>dev^2</t>
  </si>
  <si>
    <t>dev1</t>
  </si>
  <si>
    <t>dev2</t>
  </si>
  <si>
    <t>devmin</t>
  </si>
  <si>
    <t>Are these two groups two different J's?</t>
  </si>
  <si>
    <t>J+1</t>
  </si>
  <si>
    <t xml:space="preserve">J </t>
  </si>
  <si>
    <t>comparing with KI,  approx freq (lower) has J=6</t>
  </si>
  <si>
    <t xml:space="preserve">J should be </t>
  </si>
  <si>
    <t>J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</si>
  <si>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</si>
  <si>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t>diff</t>
  </si>
  <si>
    <t>diffsq</t>
  </si>
  <si>
    <t>v</t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</si>
  <si>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</si>
  <si>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v ratio</t>
  </si>
  <si>
    <t>μ</t>
  </si>
  <si>
    <t>μ ratio</t>
  </si>
  <si>
    <t>Model3</t>
  </si>
  <si>
    <t>huge D?</t>
  </si>
  <si>
    <r>
      <t>D</t>
    </r>
    <r>
      <rPr>
        <vertAlign val="subscript"/>
        <sz val="11"/>
        <color theme="1"/>
        <rFont val="Calibri"/>
        <family val="2"/>
        <scheme val="minor"/>
      </rPr>
      <t>e</t>
    </r>
  </si>
  <si>
    <t>I</t>
  </si>
  <si>
    <t>I+1</t>
  </si>
  <si>
    <t>F</t>
  </si>
  <si>
    <t>F+1</t>
  </si>
  <si>
    <t>G</t>
  </si>
  <si>
    <t>G+1</t>
  </si>
  <si>
    <t>Casimir</t>
  </si>
  <si>
    <t>eQq</t>
  </si>
  <si>
    <t>F'</t>
  </si>
  <si>
    <t>Be ratio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</si>
  <si>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</si>
  <si>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>dCas</t>
  </si>
  <si>
    <t>highest</t>
  </si>
  <si>
    <t>Model 0</t>
  </si>
  <si>
    <t>Model 1-1</t>
  </si>
  <si>
    <t>Model 1</t>
  </si>
  <si>
    <t>Model 1-2</t>
  </si>
  <si>
    <t>Model 2-1</t>
  </si>
  <si>
    <t>Model 2-2</t>
  </si>
  <si>
    <t>Plot the spectrum</t>
  </si>
  <si>
    <t>Cluster analysis</t>
  </si>
  <si>
    <t>Is it two values of J, one isotopologue or one value of J, two isotopologues?</t>
  </si>
  <si>
    <t>Case 1: Assumption that these are J=5,6 rotational transitions</t>
  </si>
  <si>
    <t>Case 2: Assumption that the two groups come from same J, but from two isotopic species.</t>
  </si>
  <si>
    <t>Casimir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</si>
</sst>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"/>
    <numFmt numFmtId="166" formatCode="0.000"/>
    <numFmt numFmtId="167" formatCode="0.00000"/>
    <numFmt numFmtId="168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166" fontId="0" fillId="2" borderId="0" xfId="0" applyNumberFormat="1" applyFill="1"/>
    <xf numFmtId="166" fontId="0" fillId="3" borderId="0" xfId="0" applyNumberFormat="1" applyFill="1"/>
    <xf numFmtId="166" fontId="0" fillId="4" borderId="0" xfId="0" applyNumberFormat="1" applyFill="1"/>
    <xf numFmtId="167" fontId="0" fillId="0" borderId="0" xfId="0" applyNumberFormat="1"/>
    <xf numFmtId="167" fontId="0" fillId="0" borderId="0" xfId="0" applyNumberFormat="1" applyFill="1"/>
    <xf numFmtId="167" fontId="0" fillId="0" borderId="0" xfId="0" applyNumberFormat="1" applyFont="1" applyFill="1"/>
    <xf numFmtId="168" fontId="0" fillId="0" borderId="0" xfId="0" applyNumberForma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LiI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Microwave!$A$15:$A$28</c:f>
              <c:numCache>
                <c:formatCode>0.000</c:formatCode>
                <c:ptCount val="14"/>
                <c:pt idx="0">
                  <c:v>25931.21</c:v>
                </c:pt>
                <c:pt idx="1">
                  <c:v>25975.62</c:v>
                </c:pt>
                <c:pt idx="2">
                  <c:v>25995.48</c:v>
                </c:pt>
                <c:pt idx="3">
                  <c:v>26173.72</c:v>
                </c:pt>
                <c:pt idx="4">
                  <c:v>26217.11</c:v>
                </c:pt>
                <c:pt idx="5">
                  <c:v>26235.65</c:v>
                </c:pt>
                <c:pt idx="6">
                  <c:v>26418.44</c:v>
                </c:pt>
                <c:pt idx="7">
                  <c:v>26460.14</c:v>
                </c:pt>
                <c:pt idx="8">
                  <c:v>26477.88</c:v>
                </c:pt>
                <c:pt idx="9">
                  <c:v>30317.79</c:v>
                </c:pt>
                <c:pt idx="10">
                  <c:v>30336.400000000001</c:v>
                </c:pt>
                <c:pt idx="11">
                  <c:v>30578.28</c:v>
                </c:pt>
                <c:pt idx="12">
                  <c:v>30620.17</c:v>
                </c:pt>
                <c:pt idx="13">
                  <c:v>30638.1</c:v>
                </c:pt>
              </c:numCache>
            </c:numRef>
          </c:xVal>
          <c:yVal>
            <c:numRef>
              <c:f>Microwave!$C$15:$C$28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6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1-2)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Microwave!$R$137:$R$141</c:f>
              <c:numCache>
                <c:formatCode>0.000</c:formatCode>
                <c:ptCount val="5"/>
                <c:pt idx="0">
                  <c:v>3.3869582694023848E-9</c:v>
                </c:pt>
                <c:pt idx="1">
                  <c:v>5.6388671509921551E-10</c:v>
                </c:pt>
                <c:pt idx="2">
                  <c:v>-3.0379739400814287E-3</c:v>
                </c:pt>
                <c:pt idx="3">
                  <c:v>1.0126583001692779E-2</c:v>
                </c:pt>
                <c:pt idx="4">
                  <c:v>-7.0886068751860876E-3</c:v>
                </c:pt>
              </c:numCache>
            </c:numRef>
          </c:xVal>
          <c:yVal>
            <c:numRef>
              <c:f>Microwave!$D$137:$D$141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EB-4120-8D31-F1902D45F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1-2)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Microwave!$R$119:$R$127</c:f>
              <c:numCache>
                <c:formatCode>0.000</c:formatCode>
                <c:ptCount val="9"/>
                <c:pt idx="0">
                  <c:v>0.46698703406582354</c:v>
                </c:pt>
                <c:pt idx="1">
                  <c:v>-5.2251360302761896E-2</c:v>
                </c:pt>
                <c:pt idx="2">
                  <c:v>0.55236075639550108</c:v>
                </c:pt>
                <c:pt idx="3">
                  <c:v>-0.72150584911287297</c:v>
                </c:pt>
                <c:pt idx="4">
                  <c:v>-0.60372510327215423</c:v>
                </c:pt>
                <c:pt idx="5">
                  <c:v>-0.60896192648215219</c:v>
                </c:pt>
                <c:pt idx="6">
                  <c:v>0.33958197048195871</c:v>
                </c:pt>
                <c:pt idx="7">
                  <c:v>0.37243218413277646</c:v>
                </c:pt>
                <c:pt idx="8">
                  <c:v>0.25508227570026065</c:v>
                </c:pt>
              </c:numCache>
            </c:numRef>
          </c:xVal>
          <c:yVal>
            <c:numRef>
              <c:f>Microwave!$D$119:$D$127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0-47D8-8575-B65285B71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6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2-1)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Microwave!$V$137:$V$141</c:f>
              <c:numCache>
                <c:formatCode>0.000</c:formatCode>
                <c:ptCount val="5"/>
                <c:pt idx="0">
                  <c:v>-0.305306202659267</c:v>
                </c:pt>
                <c:pt idx="1">
                  <c:v>0.30530604227169533</c:v>
                </c:pt>
                <c:pt idx="2">
                  <c:v>9.5510123381245648E-2</c:v>
                </c:pt>
                <c:pt idx="3">
                  <c:v>-1.306130511147785E-2</c:v>
                </c:pt>
                <c:pt idx="4">
                  <c:v>-8.2449060180806555E-2</c:v>
                </c:pt>
              </c:numCache>
            </c:numRef>
          </c:xVal>
          <c:yVal>
            <c:numRef>
              <c:f>Microwave!$D$137:$D$141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0-4A62-8C23-2DF9DCC92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2-1)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Microwave!$V$119:$V$127</c:f>
              <c:numCache>
                <c:formatCode>0.000</c:formatCode>
                <c:ptCount val="9"/>
                <c:pt idx="0">
                  <c:v>-1.1827566501888214</c:v>
                </c:pt>
                <c:pt idx="1">
                  <c:v>-6.2292515165609075E-2</c:v>
                </c:pt>
                <c:pt idx="2">
                  <c:v>1.2450492569842027</c:v>
                </c:pt>
                <c:pt idx="3">
                  <c:v>-6.2756668812653515E-2</c:v>
                </c:pt>
                <c:pt idx="4">
                  <c:v>3.770746621012222E-2</c:v>
                </c:pt>
                <c:pt idx="5">
                  <c:v>2.504923836022499E-2</c:v>
                </c:pt>
                <c:pt idx="6">
                  <c:v>1.3305766625780961</c:v>
                </c:pt>
                <c:pt idx="7">
                  <c:v>-0.25895920239781844</c:v>
                </c:pt>
                <c:pt idx="8">
                  <c:v>-1.0716174302469881</c:v>
                </c:pt>
              </c:numCache>
            </c:numRef>
          </c:xVal>
          <c:yVal>
            <c:numRef>
              <c:f>Microwave!$D$119:$D$127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60-45D1-A028-ED16B99F4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2-2)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Microwave!$Z$119:$Z$127</c:f>
              <c:numCache>
                <c:formatCode>0.000</c:formatCode>
                <c:ptCount val="9"/>
                <c:pt idx="0">
                  <c:v>0.10993541571951937</c:v>
                </c:pt>
                <c:pt idx="1">
                  <c:v>-0.36645699001383036</c:v>
                </c:pt>
                <c:pt idx="2">
                  <c:v>0.25651769324031193</c:v>
                </c:pt>
                <c:pt idx="3">
                  <c:v>-7.405401294818148E-3</c:v>
                </c:pt>
                <c:pt idx="4">
                  <c:v>2.4683205629116856E-2</c:v>
                </c:pt>
                <c:pt idx="5">
                  <c:v>-1.7278819970670156E-2</c:v>
                </c:pt>
                <c:pt idx="6">
                  <c:v>-1.7468218138674274E-2</c:v>
                </c:pt>
                <c:pt idx="7">
                  <c:v>5.8227983572578523E-2</c:v>
                </c:pt>
                <c:pt idx="8">
                  <c:v>-4.0759358547802549E-2</c:v>
                </c:pt>
              </c:numCache>
            </c:numRef>
          </c:xVal>
          <c:yVal>
            <c:numRef>
              <c:f>Microwave!$D$119:$D$127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20-4A13-BF57-C815705E8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(2 J</a:t>
            </a:r>
            <a:r>
              <a:rPr lang="en-CA" baseline="0"/>
              <a:t> </a:t>
            </a:r>
            <a:r>
              <a:rPr lang="en-CA"/>
              <a:t>Model 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Microwave!$E$81:$E$94</c:f>
              <c:numCache>
                <c:formatCode>0.000</c:formatCode>
                <c:ptCount val="14"/>
                <c:pt idx="0">
                  <c:v>-248.89558875220246</c:v>
                </c:pt>
                <c:pt idx="1">
                  <c:v>-204.4855887522026</c:v>
                </c:pt>
                <c:pt idx="2">
                  <c:v>-184.62558875220202</c:v>
                </c:pt>
                <c:pt idx="3">
                  <c:v>-6.3855887522004195</c:v>
                </c:pt>
                <c:pt idx="4">
                  <c:v>37.004411247798998</c:v>
                </c:pt>
                <c:pt idx="5">
                  <c:v>55.544411247799871</c:v>
                </c:pt>
                <c:pt idx="6">
                  <c:v>238.33441124779711</c:v>
                </c:pt>
                <c:pt idx="7">
                  <c:v>280.03441124779783</c:v>
                </c:pt>
                <c:pt idx="8">
                  <c:v>297.77441124779943</c:v>
                </c:pt>
                <c:pt idx="9">
                  <c:v>-225.66652021089976</c:v>
                </c:pt>
                <c:pt idx="10">
                  <c:v>-207.05652021089918</c:v>
                </c:pt>
                <c:pt idx="11">
                  <c:v>34.823479789098201</c:v>
                </c:pt>
                <c:pt idx="12">
                  <c:v>76.713479789097619</c:v>
                </c:pt>
                <c:pt idx="13">
                  <c:v>94.64347978909791</c:v>
                </c:pt>
              </c:numCache>
            </c:numRef>
          </c:xVal>
          <c:yVal>
            <c:numRef>
              <c:f>Microwave!$B$81:$B$94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5C-4BF9-8487-F45839920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6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(2 J</a:t>
            </a:r>
            <a:r>
              <a:rPr lang="en-CA" baseline="0"/>
              <a:t> </a:t>
            </a:r>
            <a:r>
              <a:rPr lang="en-CA"/>
              <a:t>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Microwave!$J$81:$J$94</c:f>
              <c:numCache>
                <c:formatCode>0.000</c:formatCode>
                <c:ptCount val="14"/>
                <c:pt idx="0">
                  <c:v>-12.695148179522221</c:v>
                </c:pt>
                <c:pt idx="1">
                  <c:v>31.714851820477634</c:v>
                </c:pt>
                <c:pt idx="2">
                  <c:v>51.574851820478216</c:v>
                </c:pt>
                <c:pt idx="3">
                  <c:v>42.108095275030792</c:v>
                </c:pt>
                <c:pt idx="4">
                  <c:v>85.498095275030209</c:v>
                </c:pt>
                <c:pt idx="5">
                  <c:v>104.03809527503108</c:v>
                </c:pt>
                <c:pt idx="6">
                  <c:v>99.121338729579293</c:v>
                </c:pt>
                <c:pt idx="7">
                  <c:v>140.82133872958002</c:v>
                </c:pt>
                <c:pt idx="8">
                  <c:v>158.56133872958162</c:v>
                </c:pt>
                <c:pt idx="9">
                  <c:v>-169.09055551246274</c:v>
                </c:pt>
                <c:pt idx="10">
                  <c:v>-150.48055551246216</c:v>
                </c:pt>
                <c:pt idx="11">
                  <c:v>-127.59177148215531</c:v>
                </c:pt>
                <c:pt idx="12">
                  <c:v>-85.701771482155891</c:v>
                </c:pt>
                <c:pt idx="13">
                  <c:v>-67.7717714821556</c:v>
                </c:pt>
              </c:numCache>
            </c:numRef>
          </c:xVal>
          <c:yVal>
            <c:numRef>
              <c:f>Microwave!$B$81:$B$94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08-4334-9B18-2E6BDA5E6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6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(2 J</a:t>
            </a:r>
            <a:r>
              <a:rPr lang="en-CA" baseline="0"/>
              <a:t> </a:t>
            </a:r>
            <a:r>
              <a:rPr lang="en-CA"/>
              <a:t>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Microwave!$J$81:$J$94</c:f>
              <c:numCache>
                <c:formatCode>0.000</c:formatCode>
                <c:ptCount val="14"/>
                <c:pt idx="0">
                  <c:v>-12.695148179522221</c:v>
                </c:pt>
                <c:pt idx="1">
                  <c:v>31.714851820477634</c:v>
                </c:pt>
                <c:pt idx="2">
                  <c:v>51.574851820478216</c:v>
                </c:pt>
                <c:pt idx="3">
                  <c:v>42.108095275030792</c:v>
                </c:pt>
                <c:pt idx="4">
                  <c:v>85.498095275030209</c:v>
                </c:pt>
                <c:pt idx="5">
                  <c:v>104.03809527503108</c:v>
                </c:pt>
                <c:pt idx="6">
                  <c:v>99.121338729579293</c:v>
                </c:pt>
                <c:pt idx="7">
                  <c:v>140.82133872958002</c:v>
                </c:pt>
                <c:pt idx="8">
                  <c:v>158.56133872958162</c:v>
                </c:pt>
                <c:pt idx="9">
                  <c:v>-169.09055551246274</c:v>
                </c:pt>
                <c:pt idx="10">
                  <c:v>-150.48055551246216</c:v>
                </c:pt>
                <c:pt idx="11">
                  <c:v>-127.59177148215531</c:v>
                </c:pt>
                <c:pt idx="12">
                  <c:v>-85.701771482155891</c:v>
                </c:pt>
                <c:pt idx="13">
                  <c:v>-67.7717714821556</c:v>
                </c:pt>
              </c:numCache>
            </c:numRef>
          </c:xVal>
          <c:yVal>
            <c:numRef>
              <c:f>Microwave!$H$81:$H$94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F1-45FD-8B3E-961B270D7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(2 J</a:t>
            </a:r>
            <a:r>
              <a:rPr lang="en-CA" baseline="0"/>
              <a:t> </a:t>
            </a:r>
            <a:r>
              <a:rPr lang="en-CA"/>
              <a:t>Model 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Microwave!$N$81:$N$94</c:f>
              <c:numCache>
                <c:formatCode>0.000</c:formatCode>
                <c:ptCount val="14"/>
                <c:pt idx="0">
                  <c:v>-35.475278338224598</c:v>
                </c:pt>
                <c:pt idx="1">
                  <c:v>8.9347216617752565</c:v>
                </c:pt>
                <c:pt idx="2">
                  <c:v>28.794721661775839</c:v>
                </c:pt>
                <c:pt idx="3">
                  <c:v>-35.752221336719231</c:v>
                </c:pt>
                <c:pt idx="4">
                  <c:v>7.6377786632801872</c:v>
                </c:pt>
                <c:pt idx="5">
                  <c:v>26.17777866328106</c:v>
                </c:pt>
                <c:pt idx="6">
                  <c:v>-33.819164335225651</c:v>
                </c:pt>
                <c:pt idx="7">
                  <c:v>7.880835664775077</c:v>
                </c:pt>
                <c:pt idx="8">
                  <c:v>25.620835664776678</c:v>
                </c:pt>
                <c:pt idx="9">
                  <c:v>-10.407138579696039</c:v>
                </c:pt>
                <c:pt idx="10">
                  <c:v>8.2028614203045436</c:v>
                </c:pt>
                <c:pt idx="11">
                  <c:v>-33.168572077953286</c:v>
                </c:pt>
                <c:pt idx="12">
                  <c:v>8.7214279220461322</c:v>
                </c:pt>
                <c:pt idx="13">
                  <c:v>26.651427922046423</c:v>
                </c:pt>
              </c:numCache>
            </c:numRef>
          </c:xVal>
          <c:yVal>
            <c:numRef>
              <c:f>Microwave!$H$81:$H$94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43-48DF-A2CD-B529780BD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(2 J</a:t>
            </a:r>
            <a:r>
              <a:rPr lang="en-CA" baseline="0"/>
              <a:t> </a:t>
            </a:r>
            <a:r>
              <a:rPr lang="en-CA"/>
              <a:t>Model 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Microwave!$N$81:$N$94</c:f>
              <c:numCache>
                <c:formatCode>0.000</c:formatCode>
                <c:ptCount val="14"/>
                <c:pt idx="0">
                  <c:v>-35.475278338224598</c:v>
                </c:pt>
                <c:pt idx="1">
                  <c:v>8.9347216617752565</c:v>
                </c:pt>
                <c:pt idx="2">
                  <c:v>28.794721661775839</c:v>
                </c:pt>
                <c:pt idx="3">
                  <c:v>-35.752221336719231</c:v>
                </c:pt>
                <c:pt idx="4">
                  <c:v>7.6377786632801872</c:v>
                </c:pt>
                <c:pt idx="5">
                  <c:v>26.17777866328106</c:v>
                </c:pt>
                <c:pt idx="6">
                  <c:v>-33.819164335225651</c:v>
                </c:pt>
                <c:pt idx="7">
                  <c:v>7.880835664775077</c:v>
                </c:pt>
                <c:pt idx="8">
                  <c:v>25.620835664776678</c:v>
                </c:pt>
                <c:pt idx="9">
                  <c:v>-10.407138579696039</c:v>
                </c:pt>
                <c:pt idx="10">
                  <c:v>8.2028614203045436</c:v>
                </c:pt>
                <c:pt idx="11">
                  <c:v>-33.168572077953286</c:v>
                </c:pt>
                <c:pt idx="12">
                  <c:v>8.7214279220461322</c:v>
                </c:pt>
                <c:pt idx="13">
                  <c:v>26.651427922046423</c:v>
                </c:pt>
              </c:numCache>
            </c:numRef>
          </c:xVal>
          <c:yVal>
            <c:numRef>
              <c:f>Microwave!$B$81:$B$94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9-4280-A758-67BA55371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6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6</a:t>
            </a:r>
            <a:r>
              <a:rPr lang="en-CA"/>
              <a:t>LiI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332008498937636E-2"/>
          <c:y val="0.13319690208432036"/>
          <c:w val="0.83649683789526308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Microwave!$A$15:$A$28</c:f>
              <c:numCache>
                <c:formatCode>0.000</c:formatCode>
                <c:ptCount val="14"/>
                <c:pt idx="0">
                  <c:v>25931.21</c:v>
                </c:pt>
                <c:pt idx="1">
                  <c:v>25975.62</c:v>
                </c:pt>
                <c:pt idx="2">
                  <c:v>25995.48</c:v>
                </c:pt>
                <c:pt idx="3">
                  <c:v>26173.72</c:v>
                </c:pt>
                <c:pt idx="4">
                  <c:v>26217.11</c:v>
                </c:pt>
                <c:pt idx="5">
                  <c:v>26235.65</c:v>
                </c:pt>
                <c:pt idx="6">
                  <c:v>26418.44</c:v>
                </c:pt>
                <c:pt idx="7">
                  <c:v>26460.14</c:v>
                </c:pt>
                <c:pt idx="8">
                  <c:v>26477.88</c:v>
                </c:pt>
                <c:pt idx="9">
                  <c:v>30317.79</c:v>
                </c:pt>
                <c:pt idx="10">
                  <c:v>30336.400000000001</c:v>
                </c:pt>
                <c:pt idx="11">
                  <c:v>30578.28</c:v>
                </c:pt>
                <c:pt idx="12">
                  <c:v>30620.17</c:v>
                </c:pt>
                <c:pt idx="13">
                  <c:v>30638.1</c:v>
                </c:pt>
              </c:numCache>
            </c:numRef>
          </c:xVal>
          <c:yVal>
            <c:numRef>
              <c:f>Microwave!$C$15:$C$28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B7-46AD-A00A-AFC45E14C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in val="30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7</a:t>
            </a:r>
            <a:r>
              <a:rPr lang="en-CA"/>
              <a:t>LiI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33982492519919E-2"/>
          <c:y val="0.14393514396492921"/>
          <c:w val="0.83759129556319267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Microwave!$A$15:$A$28</c:f>
              <c:numCache>
                <c:formatCode>0.000</c:formatCode>
                <c:ptCount val="14"/>
                <c:pt idx="0">
                  <c:v>25931.21</c:v>
                </c:pt>
                <c:pt idx="1">
                  <c:v>25975.62</c:v>
                </c:pt>
                <c:pt idx="2">
                  <c:v>25995.48</c:v>
                </c:pt>
                <c:pt idx="3">
                  <c:v>26173.72</c:v>
                </c:pt>
                <c:pt idx="4">
                  <c:v>26217.11</c:v>
                </c:pt>
                <c:pt idx="5">
                  <c:v>26235.65</c:v>
                </c:pt>
                <c:pt idx="6">
                  <c:v>26418.44</c:v>
                </c:pt>
                <c:pt idx="7">
                  <c:v>26460.14</c:v>
                </c:pt>
                <c:pt idx="8">
                  <c:v>26477.88</c:v>
                </c:pt>
                <c:pt idx="9">
                  <c:v>30317.79</c:v>
                </c:pt>
                <c:pt idx="10">
                  <c:v>30336.400000000001</c:v>
                </c:pt>
                <c:pt idx="11">
                  <c:v>30578.28</c:v>
                </c:pt>
                <c:pt idx="12">
                  <c:v>30620.17</c:v>
                </c:pt>
                <c:pt idx="13">
                  <c:v>30638.1</c:v>
                </c:pt>
              </c:numCache>
            </c:numRef>
          </c:xVal>
          <c:yVal>
            <c:numRef>
              <c:f>Microwave!$C$15:$C$28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FE-4199-B1D5-E75156711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600"/>
          <c:min val="25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LiI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Microwave!$A$60:$A$76</c:f>
              <c:numCache>
                <c:formatCode>0.000</c:formatCode>
                <c:ptCount val="17"/>
                <c:pt idx="0">
                  <c:v>25931.21</c:v>
                </c:pt>
                <c:pt idx="1">
                  <c:v>25975.62</c:v>
                </c:pt>
                <c:pt idx="2">
                  <c:v>25995.48</c:v>
                </c:pt>
                <c:pt idx="3">
                  <c:v>26173.72</c:v>
                </c:pt>
                <c:pt idx="4">
                  <c:v>26217.11</c:v>
                </c:pt>
                <c:pt idx="5">
                  <c:v>26235.65</c:v>
                </c:pt>
                <c:pt idx="6">
                  <c:v>26418.44</c:v>
                </c:pt>
                <c:pt idx="7">
                  <c:v>26460.14</c:v>
                </c:pt>
                <c:pt idx="8">
                  <c:v>26477.88</c:v>
                </c:pt>
                <c:pt idx="9">
                  <c:v>30317.79</c:v>
                </c:pt>
                <c:pt idx="10">
                  <c:v>30336.400000000001</c:v>
                </c:pt>
                <c:pt idx="11">
                  <c:v>30578.28</c:v>
                </c:pt>
                <c:pt idx="12">
                  <c:v>30620.17</c:v>
                </c:pt>
                <c:pt idx="13">
                  <c:v>30638.1</c:v>
                </c:pt>
                <c:pt idx="14">
                  <c:v>27741.142142857138</c:v>
                </c:pt>
                <c:pt idx="15">
                  <c:v>26209.472222221975</c:v>
                </c:pt>
                <c:pt idx="16">
                  <c:v>30498.148000000037</c:v>
                </c:pt>
              </c:numCache>
            </c:numRef>
          </c:xVal>
          <c:yVal>
            <c:numRef>
              <c:f>Microwave!$B$60:$B$76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F4-4119-96E7-66571AB19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788664"/>
        <c:axId val="490788992"/>
      </c:scatterChart>
      <c:valAx>
        <c:axId val="49078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MHz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88992"/>
        <c:crosses val="autoZero"/>
        <c:crossBetween val="midCat"/>
      </c:valAx>
      <c:valAx>
        <c:axId val="49078899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886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6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</a:t>
            </a:r>
            <a:r>
              <a:rPr lang="en-CA" baseline="0"/>
              <a:t>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Microwave!$G$137:$G$141</c:f>
              <c:numCache>
                <c:formatCode>0.000</c:formatCode>
                <c:ptCount val="5"/>
                <c:pt idx="0">
                  <c:v>-9.3049999985123577</c:v>
                </c:pt>
                <c:pt idx="1">
                  <c:v>9.3050000014882244</c:v>
                </c:pt>
                <c:pt idx="2">
                  <c:v>-33.903333331869362</c:v>
                </c:pt>
                <c:pt idx="3">
                  <c:v>7.9866666681300558</c:v>
                </c:pt>
                <c:pt idx="4">
                  <c:v>25.916666668130347</c:v>
                </c:pt>
              </c:numCache>
            </c:numRef>
          </c:xVal>
          <c:yVal>
            <c:numRef>
              <c:f>Microwave!$D$137:$D$141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40-47F1-9CEB-BB14FB803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Microwave!$G$119:$G$127</c:f>
              <c:numCache>
                <c:formatCode>0.000</c:formatCode>
                <c:ptCount val="9"/>
                <c:pt idx="0">
                  <c:v>-35.903888899669255</c:v>
                </c:pt>
                <c:pt idx="1">
                  <c:v>8.5061111003305996</c:v>
                </c:pt>
                <c:pt idx="2">
                  <c:v>28.366111100331182</c:v>
                </c:pt>
                <c:pt idx="3">
                  <c:v>-35.752222232447821</c:v>
                </c:pt>
                <c:pt idx="4">
                  <c:v>7.6377777675515972</c:v>
                </c:pt>
                <c:pt idx="5">
                  <c:v>26.17777776755247</c:v>
                </c:pt>
                <c:pt idx="6">
                  <c:v>-33.390555565234536</c:v>
                </c:pt>
                <c:pt idx="7">
                  <c:v>8.309444434766192</c:v>
                </c:pt>
                <c:pt idx="8">
                  <c:v>26.049444434767793</c:v>
                </c:pt>
              </c:numCache>
            </c:numRef>
          </c:xVal>
          <c:yVal>
            <c:numRef>
              <c:f>Microwave!$D$119:$D$127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D1-463C-9B69-0C93F2B7A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Microwave!$M$156:$M$158</c:f>
              <c:numCache>
                <c:formatCode>0.00000</c:formatCode>
                <c:ptCount val="3"/>
                <c:pt idx="0">
                  <c:v>0.05</c:v>
                </c:pt>
                <c:pt idx="1">
                  <c:v>-0.16</c:v>
                </c:pt>
                <c:pt idx="2">
                  <c:v>0.14000000000000001</c:v>
                </c:pt>
              </c:numCache>
            </c:numRef>
          </c:xVal>
          <c:yVal>
            <c:numRef>
              <c:f>Microwave!$N$156:$N$158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14-4033-94F2-61AD7DC6C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793912"/>
        <c:axId val="490789976"/>
      </c:scatterChart>
      <c:valAx>
        <c:axId val="49079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89976"/>
        <c:crosses val="autoZero"/>
        <c:crossBetween val="midCat"/>
      </c:valAx>
      <c:valAx>
        <c:axId val="49078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9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6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Microwave!$N$137:$N$141</c:f>
              <c:numCache>
                <c:formatCode>0.000</c:formatCode>
                <c:ptCount val="5"/>
                <c:pt idx="0">
                  <c:v>-0.30530611197900726</c:v>
                </c:pt>
                <c:pt idx="1">
                  <c:v>0.30530613526934758</c:v>
                </c:pt>
                <c:pt idx="2">
                  <c:v>9.5510174382070545E-2</c:v>
                </c:pt>
                <c:pt idx="3">
                  <c:v>-1.3061248700978467E-2</c:v>
                </c:pt>
                <c:pt idx="4">
                  <c:v>-8.2449001452914672E-2</c:v>
                </c:pt>
              </c:numCache>
            </c:numRef>
          </c:xVal>
          <c:yVal>
            <c:numRef>
              <c:f>Microwave!$D$137:$D$141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18-4934-93BD-B8CE87F87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127</a:t>
            </a:r>
            <a:r>
              <a:rPr lang="en-CA"/>
              <a:t>I Deviation Analysis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Microwave!$N$119:$N$127</c:f>
              <c:numCache>
                <c:formatCode>0.000</c:formatCode>
                <c:ptCount val="9"/>
                <c:pt idx="0">
                  <c:v>-0.85997950483215391</c:v>
                </c:pt>
                <c:pt idx="1">
                  <c:v>0.2604853934062703</c:v>
                </c:pt>
                <c:pt idx="2">
                  <c:v>1.5678274926503946</c:v>
                </c:pt>
                <c:pt idx="3">
                  <c:v>-0.70831280897618853</c:v>
                </c:pt>
                <c:pt idx="4">
                  <c:v>-0.60784791073820088</c:v>
                </c:pt>
                <c:pt idx="5">
                  <c:v>-0.62050581149378559</c:v>
                </c:pt>
                <c:pt idx="6">
                  <c:v>1.6533538868716278</c:v>
                </c:pt>
                <c:pt idx="7">
                  <c:v>6.3818785110925091E-2</c:v>
                </c:pt>
                <c:pt idx="8">
                  <c:v>-0.74883911564393202</c:v>
                </c:pt>
              </c:numCache>
            </c:numRef>
          </c:xVal>
          <c:yVal>
            <c:numRef>
              <c:f>Microwave!$D$119:$D$127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07-4F6B-A826-690865DF3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0952"/>
        <c:axId val="425865704"/>
      </c:scatterChart>
      <c:valAx>
        <c:axId val="425870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5704"/>
        <c:crosses val="autoZero"/>
        <c:crossBetween val="midCat"/>
      </c:valAx>
      <c:valAx>
        <c:axId val="42586570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09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12</xdr:row>
      <xdr:rowOff>61912</xdr:rowOff>
    </xdr:from>
    <xdr:to>
      <xdr:col>18</xdr:col>
      <xdr:colOff>485775</xdr:colOff>
      <xdr:row>29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209550</xdr:colOff>
      <xdr:row>159</xdr:row>
      <xdr:rowOff>171450</xdr:rowOff>
    </xdr:from>
    <xdr:to>
      <xdr:col>6</xdr:col>
      <xdr:colOff>390525</xdr:colOff>
      <xdr:row>177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666751</xdr:colOff>
      <xdr:row>159</xdr:row>
      <xdr:rowOff>171450</xdr:rowOff>
    </xdr:from>
    <xdr:to>
      <xdr:col>13</xdr:col>
      <xdr:colOff>400051</xdr:colOff>
      <xdr:row>177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190500</xdr:colOff>
      <xdr:row>58</xdr:row>
      <xdr:rowOff>152400</xdr:rowOff>
    </xdr:from>
    <xdr:to>
      <xdr:col>11</xdr:col>
      <xdr:colOff>171449</xdr:colOff>
      <xdr:row>76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</xdr:colOff>
      <xdr:row>179</xdr:row>
      <xdr:rowOff>157162</xdr:rowOff>
    </xdr:from>
    <xdr:to>
      <xdr:col>5</xdr:col>
      <xdr:colOff>247650</xdr:colOff>
      <xdr:row>194</xdr:row>
      <xdr:rowOff>42862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179</xdr:row>
      <xdr:rowOff>180975</xdr:rowOff>
    </xdr:from>
    <xdr:to>
      <xdr:col>10</xdr:col>
      <xdr:colOff>428625</xdr:colOff>
      <xdr:row>194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762000</xdr:colOff>
      <xdr:row>154</xdr:row>
      <xdr:rowOff>142874</xdr:rowOff>
    </xdr:from>
    <xdr:to>
      <xdr:col>22</xdr:col>
      <xdr:colOff>266700</xdr:colOff>
      <xdr:row>158</xdr:row>
      <xdr:rowOff>171449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476250</xdr:colOff>
      <xdr:row>180</xdr:row>
      <xdr:rowOff>0</xdr:rowOff>
    </xdr:from>
    <xdr:to>
      <xdr:col>17</xdr:col>
      <xdr:colOff>447675</xdr:colOff>
      <xdr:row>194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533400</xdr:colOff>
      <xdr:row>180</xdr:row>
      <xdr:rowOff>19050</xdr:rowOff>
    </xdr:from>
    <xdr:to>
      <xdr:col>25</xdr:col>
      <xdr:colOff>228600</xdr:colOff>
      <xdr:row>194</xdr:row>
      <xdr:rowOff>95250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195</xdr:row>
      <xdr:rowOff>19050</xdr:rowOff>
    </xdr:from>
    <xdr:to>
      <xdr:col>5</xdr:col>
      <xdr:colOff>257175</xdr:colOff>
      <xdr:row>209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304800</xdr:colOff>
      <xdr:row>195</xdr:row>
      <xdr:rowOff>0</xdr:rowOff>
    </xdr:from>
    <xdr:to>
      <xdr:col>10</xdr:col>
      <xdr:colOff>390525</xdr:colOff>
      <xdr:row>209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457200</xdr:colOff>
      <xdr:row>194</xdr:row>
      <xdr:rowOff>142875</xdr:rowOff>
    </xdr:from>
    <xdr:to>
      <xdr:col>17</xdr:col>
      <xdr:colOff>428625</xdr:colOff>
      <xdr:row>209</xdr:row>
      <xdr:rowOff>28575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476250</xdr:colOff>
      <xdr:row>194</xdr:row>
      <xdr:rowOff>123825</xdr:rowOff>
    </xdr:from>
    <xdr:to>
      <xdr:col>25</xdr:col>
      <xdr:colOff>171450</xdr:colOff>
      <xdr:row>209</xdr:row>
      <xdr:rowOff>9525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19050</xdr:colOff>
      <xdr:row>211</xdr:row>
      <xdr:rowOff>47625</xdr:rowOff>
    </xdr:from>
    <xdr:to>
      <xdr:col>5</xdr:col>
      <xdr:colOff>247650</xdr:colOff>
      <xdr:row>225</xdr:row>
      <xdr:rowOff>123825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304800</xdr:colOff>
      <xdr:row>98</xdr:row>
      <xdr:rowOff>219075</xdr:rowOff>
    </xdr:from>
    <xdr:to>
      <xdr:col>5</xdr:col>
      <xdr:colOff>533400</xdr:colOff>
      <xdr:row>111</xdr:row>
      <xdr:rowOff>180975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0</xdr:colOff>
      <xdr:row>99</xdr:row>
      <xdr:rowOff>0</xdr:rowOff>
    </xdr:from>
    <xdr:to>
      <xdr:col>11</xdr:col>
      <xdr:colOff>447675</xdr:colOff>
      <xdr:row>111</xdr:row>
      <xdr:rowOff>190500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99</xdr:row>
      <xdr:rowOff>0</xdr:rowOff>
    </xdr:from>
    <xdr:to>
      <xdr:col>19</xdr:col>
      <xdr:colOff>19050</xdr:colOff>
      <xdr:row>111</xdr:row>
      <xdr:rowOff>190500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1076325</xdr:colOff>
      <xdr:row>112</xdr:row>
      <xdr:rowOff>142875</xdr:rowOff>
    </xdr:from>
    <xdr:to>
      <xdr:col>11</xdr:col>
      <xdr:colOff>409575</xdr:colOff>
      <xdr:row>112</xdr:row>
      <xdr:rowOff>2886075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342899</xdr:colOff>
      <xdr:row>112</xdr:row>
      <xdr:rowOff>57150</xdr:rowOff>
    </xdr:from>
    <xdr:to>
      <xdr:col>5</xdr:col>
      <xdr:colOff>600074</xdr:colOff>
      <xdr:row>112</xdr:row>
      <xdr:rowOff>3009900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60"/>
  <sheetViews>
    <sheetView tabSelected="1" topLeftCell="E121" workbookViewId="0">
      <selection activeCell="A153" sqref="A153:XFD153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6.7109375" bestFit="1" customWidth="1"/>
    <col min="5" max="5" width="11.5703125" bestFit="1" customWidth="1"/>
    <col min="6" max="6" width="16.7109375" bestFit="1" customWidth="1"/>
    <col min="7" max="7" width="11.5703125" bestFit="1" customWidth="1"/>
    <col min="8" max="8" width="16.7109375" bestFit="1" customWidth="1"/>
    <col min="9" max="9" width="13.140625" customWidth="1"/>
    <col min="11" max="11" width="11.28515625" customWidth="1"/>
    <col min="13" max="13" width="10.5703125" customWidth="1"/>
    <col min="14" max="14" width="10.140625" customWidth="1"/>
    <col min="15" max="15" width="13.140625" customWidth="1"/>
    <col min="17" max="17" width="10.7109375" customWidth="1"/>
    <col min="19" max="19" width="9.140625" customWidth="1"/>
    <col min="21" max="21" width="10.42578125" customWidth="1"/>
    <col min="25" max="25" width="12.85546875" customWidth="1"/>
  </cols>
  <sheetData>
    <row r="1" spans="1:5" x14ac:dyDescent="0.25">
      <c r="A1" t="s">
        <v>6</v>
      </c>
    </row>
    <row r="3" spans="1:5" x14ac:dyDescent="0.25">
      <c r="A3" t="s">
        <v>5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7</v>
      </c>
      <c r="B5" s="2">
        <v>6.0151227949999999</v>
      </c>
      <c r="C5" s="3">
        <v>1.6000000000000001E-8</v>
      </c>
      <c r="D5" s="4">
        <v>7.59</v>
      </c>
      <c r="E5" s="5">
        <v>1</v>
      </c>
    </row>
    <row r="6" spans="1:5" x14ac:dyDescent="0.25">
      <c r="A6" t="s">
        <v>8</v>
      </c>
      <c r="B6" s="2">
        <v>7.0160045499999999</v>
      </c>
      <c r="C6" s="3">
        <v>8.0000000000000002E-8</v>
      </c>
      <c r="D6" s="4">
        <v>92.41</v>
      </c>
      <c r="E6" s="5">
        <v>1.5</v>
      </c>
    </row>
    <row r="7" spans="1:5" x14ac:dyDescent="0.25">
      <c r="A7" t="s">
        <v>9</v>
      </c>
      <c r="B7" s="2">
        <v>126.904473</v>
      </c>
      <c r="C7" s="3">
        <v>3.9999999999999998E-6</v>
      </c>
      <c r="D7" s="4">
        <v>100</v>
      </c>
      <c r="E7" s="5">
        <v>2.5</v>
      </c>
    </row>
    <row r="8" spans="1:5" x14ac:dyDescent="0.25">
      <c r="B8" s="2"/>
      <c r="C8" s="3"/>
      <c r="D8" s="4"/>
      <c r="E8" s="5"/>
    </row>
    <row r="9" spans="1:5" x14ac:dyDescent="0.25">
      <c r="A9" s="7" t="s">
        <v>30</v>
      </c>
      <c r="B9" s="1">
        <f>B5*B7/(B5+B7)</f>
        <v>5.7429153599523408</v>
      </c>
    </row>
    <row r="10" spans="1:5" x14ac:dyDescent="0.25">
      <c r="B10" s="1">
        <f>B6*B7/(B6+B7)</f>
        <v>6.648440748360759</v>
      </c>
    </row>
    <row r="11" spans="1:5" x14ac:dyDescent="0.25">
      <c r="B11" s="1"/>
    </row>
    <row r="12" spans="1:5" s="15" customFormat="1" x14ac:dyDescent="0.25">
      <c r="A12" s="15" t="s">
        <v>54</v>
      </c>
    </row>
    <row r="13" spans="1:5" x14ac:dyDescent="0.25">
      <c r="B13" s="1" t="s">
        <v>10</v>
      </c>
    </row>
    <row r="14" spans="1:5" x14ac:dyDescent="0.25">
      <c r="A14" t="s">
        <v>0</v>
      </c>
    </row>
    <row r="15" spans="1:5" x14ac:dyDescent="0.25">
      <c r="A15" s="6">
        <v>25931.21</v>
      </c>
      <c r="B15">
        <v>0.2</v>
      </c>
      <c r="C15">
        <v>1</v>
      </c>
    </row>
    <row r="16" spans="1:5" x14ac:dyDescent="0.25">
      <c r="A16" s="6">
        <v>25975.62</v>
      </c>
      <c r="B16">
        <v>0.2</v>
      </c>
      <c r="C16">
        <v>1</v>
      </c>
    </row>
    <row r="17" spans="1:3" x14ac:dyDescent="0.25">
      <c r="A17" s="6">
        <v>25995.48</v>
      </c>
      <c r="B17">
        <v>0.4</v>
      </c>
      <c r="C17">
        <v>1</v>
      </c>
    </row>
    <row r="18" spans="1:3" x14ac:dyDescent="0.25">
      <c r="A18" s="6">
        <v>26173.72</v>
      </c>
      <c r="B18">
        <v>0.1</v>
      </c>
      <c r="C18">
        <v>1</v>
      </c>
    </row>
    <row r="19" spans="1:3" x14ac:dyDescent="0.25">
      <c r="A19" s="6">
        <v>26217.11</v>
      </c>
      <c r="B19">
        <v>0.1</v>
      </c>
      <c r="C19">
        <v>1</v>
      </c>
    </row>
    <row r="20" spans="1:3" x14ac:dyDescent="0.25">
      <c r="A20" s="6">
        <v>26235.65</v>
      </c>
      <c r="B20">
        <v>0.1</v>
      </c>
      <c r="C20">
        <v>1</v>
      </c>
    </row>
    <row r="21" spans="1:3" x14ac:dyDescent="0.25">
      <c r="A21" s="6">
        <v>26418.44</v>
      </c>
      <c r="B21">
        <v>0.1</v>
      </c>
      <c r="C21">
        <v>1</v>
      </c>
    </row>
    <row r="22" spans="1:3" x14ac:dyDescent="0.25">
      <c r="A22" s="6">
        <v>26460.14</v>
      </c>
      <c r="B22">
        <v>0.1</v>
      </c>
      <c r="C22">
        <v>1</v>
      </c>
    </row>
    <row r="23" spans="1:3" x14ac:dyDescent="0.25">
      <c r="A23" s="6">
        <v>26477.88</v>
      </c>
      <c r="B23">
        <v>0.1</v>
      </c>
      <c r="C23">
        <v>1</v>
      </c>
    </row>
    <row r="24" spans="1:3" x14ac:dyDescent="0.25">
      <c r="A24" s="6">
        <v>30317.79</v>
      </c>
      <c r="B24">
        <v>0.2</v>
      </c>
      <c r="C24">
        <v>1</v>
      </c>
    </row>
    <row r="25" spans="1:3" x14ac:dyDescent="0.25">
      <c r="A25" s="6">
        <v>30336.400000000001</v>
      </c>
      <c r="B25">
        <v>0.4</v>
      </c>
      <c r="C25">
        <v>1</v>
      </c>
    </row>
    <row r="26" spans="1:3" x14ac:dyDescent="0.25">
      <c r="A26" s="6">
        <v>30578.28</v>
      </c>
      <c r="B26">
        <v>0.1</v>
      </c>
      <c r="C26">
        <v>1</v>
      </c>
    </row>
    <row r="27" spans="1:3" x14ac:dyDescent="0.25">
      <c r="A27" s="6">
        <v>30620.17</v>
      </c>
      <c r="B27">
        <v>0.1</v>
      </c>
      <c r="C27">
        <v>1</v>
      </c>
    </row>
    <row r="28" spans="1:3" x14ac:dyDescent="0.25">
      <c r="A28" s="6">
        <v>30638.1</v>
      </c>
      <c r="B28">
        <v>0.15</v>
      </c>
      <c r="C28">
        <v>1</v>
      </c>
    </row>
    <row r="29" spans="1:3" x14ac:dyDescent="0.25">
      <c r="A29" s="6"/>
    </row>
    <row r="30" spans="1:3" x14ac:dyDescent="0.25">
      <c r="A30" s="6"/>
    </row>
    <row r="31" spans="1:3" s="15" customFormat="1" x14ac:dyDescent="0.25">
      <c r="A31" s="8" t="s">
        <v>55</v>
      </c>
    </row>
    <row r="32" spans="1:3" x14ac:dyDescent="0.25">
      <c r="A32" s="6"/>
    </row>
    <row r="33" spans="1:9" x14ac:dyDescent="0.25">
      <c r="A33" s="6"/>
      <c r="B33" t="s">
        <v>11</v>
      </c>
      <c r="C33" t="s">
        <v>13</v>
      </c>
      <c r="D33" t="s">
        <v>14</v>
      </c>
      <c r="F33" t="s">
        <v>12</v>
      </c>
      <c r="G33" t="s">
        <v>15</v>
      </c>
      <c r="H33" t="s">
        <v>16</v>
      </c>
      <c r="I33" t="s">
        <v>17</v>
      </c>
    </row>
    <row r="34" spans="1:9" x14ac:dyDescent="0.25">
      <c r="A34" s="6">
        <v>25931.21</v>
      </c>
      <c r="B34" s="6">
        <f t="shared" ref="B34:B47" si="0">B$49</f>
        <v>27741.142142857138</v>
      </c>
      <c r="C34" s="6">
        <f>$A34-B34</f>
        <v>-1809.9321428571384</v>
      </c>
      <c r="D34" s="4">
        <f>C34^2</f>
        <v>3275854.361747433</v>
      </c>
      <c r="F34">
        <f t="shared" ref="F34:F47" si="1">INDEX(G$49:H$49,MATCH(I34,G34:H34,0))</f>
        <v>26209.472222221975</v>
      </c>
      <c r="G34" s="4">
        <f t="shared" ref="G34:H47" si="2">($A34-G$49)^2</f>
        <v>77429.864315912419</v>
      </c>
      <c r="H34" s="4">
        <f t="shared" si="2"/>
        <v>20856922.695844349</v>
      </c>
      <c r="I34" s="4">
        <f>MIN(G34:H34)</f>
        <v>77429.864315912419</v>
      </c>
    </row>
    <row r="35" spans="1:9" x14ac:dyDescent="0.25">
      <c r="A35" s="6">
        <v>25975.62</v>
      </c>
      <c r="B35" s="6">
        <f t="shared" si="0"/>
        <v>27741.142142857138</v>
      </c>
      <c r="C35" s="6">
        <f t="shared" ref="C35:C47" si="3">$A35-B35</f>
        <v>-1765.5221428571385</v>
      </c>
      <c r="D35" s="4">
        <f t="shared" ref="D35:D47" si="4">C35^2</f>
        <v>3117068.4369188622</v>
      </c>
      <c r="F35">
        <f t="shared" si="1"/>
        <v>26209.472222221975</v>
      </c>
      <c r="G35" s="4">
        <f t="shared" si="2"/>
        <v>54686.861838156568</v>
      </c>
      <c r="H35" s="4">
        <f t="shared" si="2"/>
        <v>20453259.510784347</v>
      </c>
      <c r="I35" s="4">
        <f t="shared" ref="I35:I47" si="5">MIN(G35:H35)</f>
        <v>54686.861838156568</v>
      </c>
    </row>
    <row r="36" spans="1:9" x14ac:dyDescent="0.25">
      <c r="A36" s="6">
        <v>25995.48</v>
      </c>
      <c r="B36" s="6">
        <f t="shared" si="0"/>
        <v>27741.142142857138</v>
      </c>
      <c r="C36" s="6">
        <f t="shared" si="3"/>
        <v>-1745.662142857138</v>
      </c>
      <c r="D36" s="4">
        <f t="shared" si="4"/>
        <v>3047336.3170045749</v>
      </c>
      <c r="F36">
        <f t="shared" si="1"/>
        <v>26209.472222221975</v>
      </c>
      <c r="G36" s="4">
        <f t="shared" si="2"/>
        <v>45792.671171499424</v>
      </c>
      <c r="H36" s="4">
        <f t="shared" si="2"/>
        <v>20274019.118224341</v>
      </c>
      <c r="I36" s="4">
        <f t="shared" si="5"/>
        <v>45792.671171499424</v>
      </c>
    </row>
    <row r="37" spans="1:9" x14ac:dyDescent="0.25">
      <c r="A37" s="6">
        <v>26173.72</v>
      </c>
      <c r="B37" s="6">
        <f t="shared" si="0"/>
        <v>27741.142142857138</v>
      </c>
      <c r="C37" s="6">
        <f t="shared" si="3"/>
        <v>-1567.4221428571364</v>
      </c>
      <c r="D37" s="4">
        <f t="shared" si="4"/>
        <v>2456812.1739188572</v>
      </c>
      <c r="F37">
        <f t="shared" si="1"/>
        <v>26209.472222221975</v>
      </c>
      <c r="G37" s="4">
        <f t="shared" si="2"/>
        <v>1278.2213938094171</v>
      </c>
      <c r="H37" s="4">
        <f t="shared" si="2"/>
        <v>18700677.527184315</v>
      </c>
      <c r="I37" s="4">
        <f t="shared" si="5"/>
        <v>1278.2213938094171</v>
      </c>
    </row>
    <row r="38" spans="1:9" x14ac:dyDescent="0.25">
      <c r="A38" s="6">
        <v>26217.11</v>
      </c>
      <c r="B38" s="6">
        <f t="shared" si="0"/>
        <v>27741.142142857138</v>
      </c>
      <c r="C38" s="6">
        <f t="shared" si="3"/>
        <v>-1524.0321428571369</v>
      </c>
      <c r="D38" s="4">
        <f t="shared" si="4"/>
        <v>2322673.9724617167</v>
      </c>
      <c r="F38">
        <f t="shared" si="1"/>
        <v>26209.472222221975</v>
      </c>
      <c r="G38" s="4">
        <f t="shared" si="2"/>
        <v>58.335649386497671</v>
      </c>
      <c r="H38" s="4">
        <f t="shared" si="2"/>
        <v>18327286.357444316</v>
      </c>
      <c r="I38" s="4">
        <f t="shared" si="5"/>
        <v>58.335649386497671</v>
      </c>
    </row>
    <row r="39" spans="1:9" x14ac:dyDescent="0.25">
      <c r="A39" s="6">
        <v>26235.65</v>
      </c>
      <c r="B39" s="6">
        <f t="shared" si="0"/>
        <v>27741.142142857138</v>
      </c>
      <c r="C39" s="6">
        <f t="shared" si="3"/>
        <v>-1505.4921428571361</v>
      </c>
      <c r="D39" s="4">
        <f t="shared" si="4"/>
        <v>2266506.5922045712</v>
      </c>
      <c r="F39">
        <f t="shared" si="1"/>
        <v>26209.472222221975</v>
      </c>
      <c r="G39" s="4">
        <f t="shared" si="2"/>
        <v>685.27604939572291</v>
      </c>
      <c r="H39" s="4">
        <f t="shared" si="2"/>
        <v>18168889.200004306</v>
      </c>
      <c r="I39" s="4">
        <f t="shared" si="5"/>
        <v>685.27604939572291</v>
      </c>
    </row>
    <row r="40" spans="1:9" x14ac:dyDescent="0.25">
      <c r="A40" s="6">
        <v>26418.44</v>
      </c>
      <c r="B40" s="6">
        <f t="shared" si="0"/>
        <v>27741.142142857138</v>
      </c>
      <c r="C40" s="6">
        <f t="shared" si="3"/>
        <v>-1322.7021428571388</v>
      </c>
      <c r="D40" s="4">
        <f t="shared" si="4"/>
        <v>1749540.9587188668</v>
      </c>
      <c r="F40">
        <f t="shared" si="1"/>
        <v>26209.472222221975</v>
      </c>
      <c r="G40" s="4">
        <f t="shared" si="2"/>
        <v>43667.532149485392</v>
      </c>
      <c r="H40" s="4">
        <f t="shared" si="2"/>
        <v>16644017.365264315</v>
      </c>
      <c r="I40" s="4">
        <f t="shared" si="5"/>
        <v>43667.532149485392</v>
      </c>
    </row>
    <row r="41" spans="1:9" x14ac:dyDescent="0.25">
      <c r="A41" s="6">
        <v>26460.14</v>
      </c>
      <c r="B41" s="6">
        <f t="shared" si="0"/>
        <v>27741.142142857138</v>
      </c>
      <c r="C41" s="6">
        <f t="shared" si="3"/>
        <v>-1281.0021428571381</v>
      </c>
      <c r="D41" s="4">
        <f t="shared" si="4"/>
        <v>1640966.4900045795</v>
      </c>
      <c r="F41">
        <f t="shared" si="1"/>
        <v>26209.472222221975</v>
      </c>
      <c r="G41" s="4">
        <f t="shared" si="2"/>
        <v>62834.334816172908</v>
      </c>
      <c r="H41" s="4">
        <f t="shared" si="2"/>
        <v>16305508.608064307</v>
      </c>
      <c r="I41" s="4">
        <f t="shared" si="5"/>
        <v>62834.334816172908</v>
      </c>
    </row>
    <row r="42" spans="1:9" x14ac:dyDescent="0.25">
      <c r="A42" s="6">
        <v>26477.88</v>
      </c>
      <c r="B42" s="6">
        <f t="shared" si="0"/>
        <v>27741.142142857138</v>
      </c>
      <c r="C42" s="6">
        <f t="shared" si="3"/>
        <v>-1263.2621428571365</v>
      </c>
      <c r="D42" s="4">
        <f t="shared" si="4"/>
        <v>1595831.2415760043</v>
      </c>
      <c r="F42">
        <f t="shared" si="1"/>
        <v>26209.472222221975</v>
      </c>
      <c r="G42" s="4">
        <f t="shared" si="2"/>
        <v>72042.735171738066</v>
      </c>
      <c r="H42" s="4">
        <f t="shared" si="2"/>
        <v>16162554.791824292</v>
      </c>
      <c r="I42" s="4">
        <f t="shared" si="5"/>
        <v>72042.735171738066</v>
      </c>
    </row>
    <row r="43" spans="1:9" x14ac:dyDescent="0.25">
      <c r="A43" s="6">
        <v>30317.79</v>
      </c>
      <c r="B43" s="6">
        <f t="shared" si="0"/>
        <v>27741.142142857138</v>
      </c>
      <c r="C43" s="6">
        <f t="shared" si="3"/>
        <v>2576.6478571428634</v>
      </c>
      <c r="D43" s="4">
        <f t="shared" si="4"/>
        <v>6639114.1797189098</v>
      </c>
      <c r="F43">
        <f t="shared" si="1"/>
        <v>30498.148000000037</v>
      </c>
      <c r="G43" s="4">
        <f t="shared" si="2"/>
        <v>16878274.963206973</v>
      </c>
      <c r="H43" s="4">
        <f t="shared" si="2"/>
        <v>32529.008164013187</v>
      </c>
      <c r="I43" s="4">
        <f t="shared" si="5"/>
        <v>32529.008164013187</v>
      </c>
    </row>
    <row r="44" spans="1:9" x14ac:dyDescent="0.25">
      <c r="A44" s="6">
        <v>30336.400000000001</v>
      </c>
      <c r="B44" s="6">
        <f t="shared" si="0"/>
        <v>27741.142142857138</v>
      </c>
      <c r="C44" s="6">
        <f t="shared" si="3"/>
        <v>2595.2578571428639</v>
      </c>
      <c r="D44" s="4">
        <f t="shared" si="4"/>
        <v>6735363.3450617697</v>
      </c>
      <c r="F44">
        <f t="shared" si="1"/>
        <v>30498.148000000037</v>
      </c>
      <c r="G44" s="4">
        <f t="shared" si="2"/>
        <v>17031532.882995877</v>
      </c>
      <c r="H44" s="4">
        <f t="shared" si="2"/>
        <v>26162.415504011638</v>
      </c>
      <c r="I44" s="4">
        <f t="shared" si="5"/>
        <v>26162.415504011638</v>
      </c>
    </row>
    <row r="45" spans="1:9" x14ac:dyDescent="0.25">
      <c r="A45" s="6">
        <v>30578.28</v>
      </c>
      <c r="B45" s="6">
        <f t="shared" si="0"/>
        <v>27741.142142857138</v>
      </c>
      <c r="C45" s="6">
        <f t="shared" si="3"/>
        <v>2837.1378571428613</v>
      </c>
      <c r="D45" s="4">
        <f t="shared" si="4"/>
        <v>8049351.2204331867</v>
      </c>
      <c r="F45">
        <f t="shared" si="1"/>
        <v>30498.148000000037</v>
      </c>
      <c r="G45" s="4">
        <f t="shared" si="2"/>
        <v>19086481.399173751</v>
      </c>
      <c r="H45" s="4">
        <f t="shared" si="2"/>
        <v>6421.137423993815</v>
      </c>
      <c r="I45" s="4">
        <f t="shared" si="5"/>
        <v>6421.137423993815</v>
      </c>
    </row>
    <row r="46" spans="1:9" x14ac:dyDescent="0.25">
      <c r="A46" s="6">
        <v>30620.17</v>
      </c>
      <c r="B46" s="6">
        <f t="shared" si="0"/>
        <v>27741.142142857138</v>
      </c>
      <c r="C46" s="6">
        <f t="shared" si="3"/>
        <v>2879.0278571428607</v>
      </c>
      <c r="D46" s="4">
        <f t="shared" si="4"/>
        <v>8288801.4022046123</v>
      </c>
      <c r="F46">
        <f t="shared" si="1"/>
        <v>30498.148000000037</v>
      </c>
      <c r="G46" s="4">
        <f t="shared" si="2"/>
        <v>19454254.886895992</v>
      </c>
      <c r="H46" s="4">
        <f t="shared" si="2"/>
        <v>14889.36848399044</v>
      </c>
      <c r="I46" s="4">
        <f t="shared" si="5"/>
        <v>14889.36848399044</v>
      </c>
    </row>
    <row r="47" spans="1:9" x14ac:dyDescent="0.25">
      <c r="A47" s="6">
        <v>30638.1</v>
      </c>
      <c r="B47" s="6">
        <f t="shared" si="0"/>
        <v>27741.142142857138</v>
      </c>
      <c r="C47" s="6">
        <f t="shared" si="3"/>
        <v>2896.957857142861</v>
      </c>
      <c r="D47" s="4">
        <f t="shared" si="4"/>
        <v>8392364.8260617573</v>
      </c>
      <c r="F47">
        <f t="shared" si="1"/>
        <v>30498.148000000037</v>
      </c>
      <c r="G47" s="4">
        <f t="shared" si="2"/>
        <v>19612743.994107112</v>
      </c>
      <c r="H47" s="4">
        <f t="shared" si="2"/>
        <v>19586.562303989118</v>
      </c>
      <c r="I47" s="4">
        <f t="shared" si="5"/>
        <v>19586.562303989118</v>
      </c>
    </row>
    <row r="48" spans="1:9" x14ac:dyDescent="0.25">
      <c r="D48" s="4">
        <f>SUM(D34:D47)</f>
        <v>59577585.518035702</v>
      </c>
      <c r="I48" s="4">
        <f>SUM(I34:I47)</f>
        <v>458064.32443555462</v>
      </c>
    </row>
    <row r="49" spans="1:14" x14ac:dyDescent="0.25">
      <c r="B49" s="6">
        <f>AVERAGE(A34:A47)</f>
        <v>27741.142142857138</v>
      </c>
      <c r="G49">
        <v>26209.472222221975</v>
      </c>
      <c r="H49">
        <v>30498.148000000037</v>
      </c>
    </row>
    <row r="50" spans="1:14" x14ac:dyDescent="0.25">
      <c r="B50" s="6"/>
    </row>
    <row r="51" spans="1:14" s="15" customFormat="1" x14ac:dyDescent="0.25">
      <c r="A51" s="15" t="s">
        <v>56</v>
      </c>
      <c r="B51" s="8"/>
    </row>
    <row r="52" spans="1:14" x14ac:dyDescent="0.25">
      <c r="B52" s="6"/>
    </row>
    <row r="53" spans="1:14" x14ac:dyDescent="0.25">
      <c r="G53">
        <f>H49-G49</f>
        <v>4288.6757777780622</v>
      </c>
      <c r="K53">
        <f>H49/G49</f>
        <v>1.1636307569040578</v>
      </c>
      <c r="M53" t="s">
        <v>47</v>
      </c>
    </row>
    <row r="54" spans="1:14" x14ac:dyDescent="0.25">
      <c r="A54" t="s">
        <v>18</v>
      </c>
      <c r="F54" t="s">
        <v>19</v>
      </c>
      <c r="G54">
        <f>G49/G53</f>
        <v>6.1113205055106663</v>
      </c>
      <c r="H54">
        <f>H49/G53</f>
        <v>7.1113205055106663</v>
      </c>
      <c r="M54" s="6">
        <v>26477.88</v>
      </c>
      <c r="N54" s="6">
        <v>30638.1</v>
      </c>
    </row>
    <row r="55" spans="1:14" x14ac:dyDescent="0.25">
      <c r="A55" t="s">
        <v>21</v>
      </c>
      <c r="F55" t="s">
        <v>20</v>
      </c>
      <c r="G55">
        <v>5</v>
      </c>
      <c r="H55">
        <v>6</v>
      </c>
      <c r="M55" s="6">
        <f>N54-M54</f>
        <v>4160.2199999999975</v>
      </c>
    </row>
    <row r="56" spans="1:14" x14ac:dyDescent="0.25">
      <c r="A56" t="s">
        <v>22</v>
      </c>
      <c r="C56">
        <f>6.6484/29.8108*6</f>
        <v>1.3381190709407327</v>
      </c>
      <c r="M56">
        <f>M54/M55</f>
        <v>6.3645384138338876</v>
      </c>
      <c r="N56">
        <f>N54/M55</f>
        <v>7.3645384138338876</v>
      </c>
    </row>
    <row r="58" spans="1:14" s="15" customFormat="1" x14ac:dyDescent="0.25">
      <c r="A58" s="15" t="s">
        <v>55</v>
      </c>
    </row>
    <row r="60" spans="1:14" x14ac:dyDescent="0.25">
      <c r="A60" s="6">
        <v>25931.21</v>
      </c>
      <c r="B60">
        <v>0</v>
      </c>
    </row>
    <row r="61" spans="1:14" x14ac:dyDescent="0.25">
      <c r="A61" s="6">
        <v>25975.62</v>
      </c>
      <c r="B61">
        <v>0</v>
      </c>
    </row>
    <row r="62" spans="1:14" x14ac:dyDescent="0.25">
      <c r="A62" s="6">
        <v>25995.48</v>
      </c>
      <c r="B62">
        <v>0</v>
      </c>
    </row>
    <row r="63" spans="1:14" x14ac:dyDescent="0.25">
      <c r="A63" s="6">
        <v>26173.72</v>
      </c>
      <c r="B63">
        <v>0</v>
      </c>
    </row>
    <row r="64" spans="1:14" x14ac:dyDescent="0.25">
      <c r="A64" s="6">
        <v>26217.11</v>
      </c>
      <c r="B64">
        <v>0</v>
      </c>
    </row>
    <row r="65" spans="1:13" x14ac:dyDescent="0.25">
      <c r="A65" s="6">
        <v>26235.65</v>
      </c>
      <c r="B65">
        <v>0</v>
      </c>
    </row>
    <row r="66" spans="1:13" x14ac:dyDescent="0.25">
      <c r="A66" s="6">
        <v>26418.44</v>
      </c>
      <c r="B66">
        <v>0</v>
      </c>
    </row>
    <row r="67" spans="1:13" x14ac:dyDescent="0.25">
      <c r="A67" s="6">
        <v>26460.14</v>
      </c>
      <c r="B67">
        <v>0</v>
      </c>
    </row>
    <row r="68" spans="1:13" x14ac:dyDescent="0.25">
      <c r="A68" s="6">
        <v>26477.88</v>
      </c>
      <c r="B68">
        <v>0</v>
      </c>
    </row>
    <row r="69" spans="1:13" x14ac:dyDescent="0.25">
      <c r="A69" s="6">
        <v>30317.79</v>
      </c>
      <c r="B69">
        <v>0</v>
      </c>
    </row>
    <row r="70" spans="1:13" x14ac:dyDescent="0.25">
      <c r="A70" s="6">
        <v>30336.400000000001</v>
      </c>
      <c r="B70">
        <v>0</v>
      </c>
    </row>
    <row r="71" spans="1:13" x14ac:dyDescent="0.25">
      <c r="A71" s="6">
        <v>30578.28</v>
      </c>
      <c r="B71">
        <v>0</v>
      </c>
    </row>
    <row r="72" spans="1:13" x14ac:dyDescent="0.25">
      <c r="A72" s="6">
        <v>30620.17</v>
      </c>
      <c r="B72">
        <v>0</v>
      </c>
    </row>
    <row r="73" spans="1:13" x14ac:dyDescent="0.25">
      <c r="A73" s="6">
        <v>30638.1</v>
      </c>
      <c r="B73">
        <v>0</v>
      </c>
    </row>
    <row r="74" spans="1:13" x14ac:dyDescent="0.25">
      <c r="A74" s="6">
        <v>27741.142142857138</v>
      </c>
      <c r="B74">
        <v>1</v>
      </c>
    </row>
    <row r="75" spans="1:13" x14ac:dyDescent="0.25">
      <c r="A75" s="6">
        <v>26209.472222221975</v>
      </c>
      <c r="B75">
        <v>2</v>
      </c>
    </row>
    <row r="76" spans="1:13" x14ac:dyDescent="0.25">
      <c r="A76" s="6">
        <v>30498.148000000037</v>
      </c>
      <c r="B76">
        <v>2</v>
      </c>
    </row>
    <row r="78" spans="1:13" s="15" customFormat="1" x14ac:dyDescent="0.25">
      <c r="A78" s="15" t="s">
        <v>57</v>
      </c>
    </row>
    <row r="80" spans="1:13" x14ac:dyDescent="0.25">
      <c r="B80" t="s">
        <v>23</v>
      </c>
      <c r="C80" t="s">
        <v>19</v>
      </c>
      <c r="D80" t="s">
        <v>48</v>
      </c>
      <c r="E80" t="s">
        <v>25</v>
      </c>
      <c r="F80" t="s">
        <v>26</v>
      </c>
      <c r="H80" t="s">
        <v>27</v>
      </c>
      <c r="I80" t="s">
        <v>11</v>
      </c>
      <c r="M80" t="s">
        <v>32</v>
      </c>
    </row>
    <row r="81" spans="1:15" x14ac:dyDescent="0.25">
      <c r="A81" s="6">
        <v>25931.21</v>
      </c>
      <c r="B81">
        <v>5</v>
      </c>
      <c r="C81">
        <f>B81+1</f>
        <v>6</v>
      </c>
      <c r="D81">
        <f>2*D$96*$C81</f>
        <v>26180.105588752202</v>
      </c>
      <c r="E81" s="6">
        <f>$A81-D81</f>
        <v>-248.89558875220246</v>
      </c>
      <c r="F81" s="4">
        <f>E81^2</f>
        <v>61949.014100305489</v>
      </c>
      <c r="H81">
        <v>2</v>
      </c>
      <c r="I81">
        <f>2*(I$96-I$97*($H81+0.5))*$C81</f>
        <v>25943.905148179521</v>
      </c>
      <c r="J81" s="9">
        <f>$A81-I81</f>
        <v>-12.695148179522221</v>
      </c>
      <c r="K81" s="4">
        <f>J81^2</f>
        <v>161.16678730002636</v>
      </c>
      <c r="M81">
        <f>2*(M$96-M$97*($H81+0.5))*$C81+4*M$98*$C81^3</f>
        <v>25966.685278338224</v>
      </c>
      <c r="N81" s="10">
        <f>$A81-M81</f>
        <v>-35.475278338224598</v>
      </c>
      <c r="O81" s="4">
        <f>N81^2</f>
        <v>1258.4953731745074</v>
      </c>
    </row>
    <row r="82" spans="1:15" x14ac:dyDescent="0.25">
      <c r="A82" s="6">
        <v>25975.62</v>
      </c>
      <c r="B82">
        <v>5</v>
      </c>
      <c r="C82">
        <f t="shared" ref="C82:C94" si="6">B82+1</f>
        <v>6</v>
      </c>
      <c r="D82">
        <f t="shared" ref="D82:D94" si="7">2*D$96*$C82</f>
        <v>26180.105588752202</v>
      </c>
      <c r="E82" s="6">
        <f t="shared" ref="E82:E94" si="8">$A82-D82</f>
        <v>-204.4855887522026</v>
      </c>
      <c r="F82" s="4">
        <f t="shared" ref="F82:F94" si="9">E82^2</f>
        <v>41814.356007334929</v>
      </c>
      <c r="H82">
        <v>2</v>
      </c>
      <c r="I82">
        <f t="shared" ref="I82:I94" si="10">2*(I$96-I$97*($H82+0.5))*$C82</f>
        <v>25943.905148179521</v>
      </c>
      <c r="J82" s="9">
        <f t="shared" ref="J82:J94" si="11">$A82-I82</f>
        <v>31.714851820477634</v>
      </c>
      <c r="K82" s="4">
        <f t="shared" ref="K82:K94" si="12">J82^2</f>
        <v>1005.8318259948535</v>
      </c>
      <c r="M82">
        <f t="shared" ref="M82:M94" si="13">2*(M$96-M$97*($H82+0.5))*$C82+4*M$98*$C82^3</f>
        <v>25966.685278338224</v>
      </c>
      <c r="N82" s="10">
        <f t="shared" ref="N82:N94" si="14">$A82-M82</f>
        <v>8.9347216617752565</v>
      </c>
      <c r="O82" s="4">
        <f t="shared" ref="O82:O94" si="15">N82^2</f>
        <v>79.829251173396003</v>
      </c>
    </row>
    <row r="83" spans="1:15" x14ac:dyDescent="0.25">
      <c r="A83" s="6">
        <v>25995.48</v>
      </c>
      <c r="B83">
        <v>5</v>
      </c>
      <c r="C83">
        <f t="shared" si="6"/>
        <v>6</v>
      </c>
      <c r="D83">
        <f t="shared" si="7"/>
        <v>26180.105588752202</v>
      </c>
      <c r="E83" s="6">
        <f t="shared" si="8"/>
        <v>-184.62558875220202</v>
      </c>
      <c r="F83" s="4">
        <f t="shared" si="9"/>
        <v>34086.608022097222</v>
      </c>
      <c r="H83">
        <v>2</v>
      </c>
      <c r="I83">
        <f t="shared" si="10"/>
        <v>25943.905148179521</v>
      </c>
      <c r="J83" s="9">
        <f t="shared" si="11"/>
        <v>51.574851820478216</v>
      </c>
      <c r="K83" s="4">
        <f t="shared" si="12"/>
        <v>2659.9653403042853</v>
      </c>
      <c r="M83">
        <f t="shared" si="13"/>
        <v>25966.685278338224</v>
      </c>
      <c r="N83" s="10">
        <f t="shared" si="14"/>
        <v>28.794721661775839</v>
      </c>
      <c r="O83" s="4">
        <f t="shared" si="15"/>
        <v>829.13599557914267</v>
      </c>
    </row>
    <row r="84" spans="1:15" x14ac:dyDescent="0.25">
      <c r="A84" s="6">
        <v>26173.72</v>
      </c>
      <c r="B84">
        <v>5</v>
      </c>
      <c r="C84">
        <f t="shared" si="6"/>
        <v>6</v>
      </c>
      <c r="D84">
        <f t="shared" si="7"/>
        <v>26180.105588752202</v>
      </c>
      <c r="E84" s="6">
        <f t="shared" si="8"/>
        <v>-6.3855887522004195</v>
      </c>
      <c r="F84" s="4">
        <f t="shared" si="9"/>
        <v>40.775743712228511</v>
      </c>
      <c r="H84">
        <v>1</v>
      </c>
      <c r="I84">
        <f t="shared" si="10"/>
        <v>26131.61190472497</v>
      </c>
      <c r="J84" s="9">
        <f t="shared" si="11"/>
        <v>42.108095275030792</v>
      </c>
      <c r="K84" s="4">
        <f t="shared" si="12"/>
        <v>1773.0916876910705</v>
      </c>
      <c r="M84">
        <f t="shared" si="13"/>
        <v>26209.47222133672</v>
      </c>
      <c r="N84" s="10">
        <f t="shared" si="14"/>
        <v>-35.752221336719231</v>
      </c>
      <c r="O84" s="4">
        <f t="shared" si="15"/>
        <v>1278.2213305097619</v>
      </c>
    </row>
    <row r="85" spans="1:15" x14ac:dyDescent="0.25">
      <c r="A85" s="6">
        <v>26217.11</v>
      </c>
      <c r="B85">
        <v>5</v>
      </c>
      <c r="C85">
        <f t="shared" si="6"/>
        <v>6</v>
      </c>
      <c r="D85">
        <f t="shared" si="7"/>
        <v>26180.105588752202</v>
      </c>
      <c r="E85" s="6">
        <f t="shared" si="8"/>
        <v>37.004411247798998</v>
      </c>
      <c r="F85" s="4">
        <f t="shared" si="9"/>
        <v>1369.326451796233</v>
      </c>
      <c r="H85">
        <v>1</v>
      </c>
      <c r="I85">
        <f t="shared" si="10"/>
        <v>26131.61190472497</v>
      </c>
      <c r="J85" s="9">
        <f t="shared" si="11"/>
        <v>85.498095275030209</v>
      </c>
      <c r="K85" s="4">
        <f t="shared" si="12"/>
        <v>7309.9242956581429</v>
      </c>
      <c r="M85">
        <f t="shared" si="13"/>
        <v>26209.47222133672</v>
      </c>
      <c r="N85" s="10">
        <f t="shared" si="14"/>
        <v>7.6377786632801872</v>
      </c>
      <c r="O85" s="4">
        <f t="shared" si="15"/>
        <v>58.335662909258083</v>
      </c>
    </row>
    <row r="86" spans="1:15" x14ac:dyDescent="0.25">
      <c r="A86" s="6">
        <v>26235.65</v>
      </c>
      <c r="B86">
        <v>5</v>
      </c>
      <c r="C86">
        <f t="shared" si="6"/>
        <v>6</v>
      </c>
      <c r="D86">
        <f t="shared" si="7"/>
        <v>26180.105588752202</v>
      </c>
      <c r="E86" s="6">
        <f t="shared" si="8"/>
        <v>55.544411247799871</v>
      </c>
      <c r="F86" s="4">
        <f t="shared" si="9"/>
        <v>3085.1816208647169</v>
      </c>
      <c r="H86">
        <v>1</v>
      </c>
      <c r="I86">
        <f t="shared" si="10"/>
        <v>26131.61190472497</v>
      </c>
      <c r="J86" s="9">
        <f t="shared" si="11"/>
        <v>104.03809527503108</v>
      </c>
      <c r="K86" s="4">
        <f t="shared" si="12"/>
        <v>10823.925268456445</v>
      </c>
      <c r="M86">
        <f t="shared" si="13"/>
        <v>26209.47222133672</v>
      </c>
      <c r="N86" s="10">
        <f t="shared" si="14"/>
        <v>26.17777866328106</v>
      </c>
      <c r="O86" s="4">
        <f t="shared" si="15"/>
        <v>685.27609574373309</v>
      </c>
    </row>
    <row r="87" spans="1:15" x14ac:dyDescent="0.25">
      <c r="A87" s="6">
        <v>26418.44</v>
      </c>
      <c r="B87">
        <v>5</v>
      </c>
      <c r="C87">
        <f t="shared" si="6"/>
        <v>6</v>
      </c>
      <c r="D87">
        <f t="shared" si="7"/>
        <v>26180.105588752202</v>
      </c>
      <c r="E87" s="6">
        <f t="shared" si="8"/>
        <v>238.33441124779711</v>
      </c>
      <c r="F87" s="4">
        <f t="shared" si="9"/>
        <v>56803.291584834078</v>
      </c>
      <c r="H87">
        <v>0</v>
      </c>
      <c r="I87">
        <f t="shared" si="10"/>
        <v>26319.318661270419</v>
      </c>
      <c r="J87" s="9">
        <f t="shared" si="11"/>
        <v>99.121338729579293</v>
      </c>
      <c r="K87" s="4">
        <f t="shared" si="12"/>
        <v>9825.0397915439953</v>
      </c>
      <c r="M87">
        <f t="shared" si="13"/>
        <v>26452.259164335224</v>
      </c>
      <c r="N87" s="10">
        <f t="shared" si="14"/>
        <v>-33.819164335225651</v>
      </c>
      <c r="O87" s="4">
        <f t="shared" si="15"/>
        <v>1143.7358763329987</v>
      </c>
    </row>
    <row r="88" spans="1:15" x14ac:dyDescent="0.25">
      <c r="A88" s="6">
        <v>26460.14</v>
      </c>
      <c r="B88">
        <v>5</v>
      </c>
      <c r="C88">
        <f t="shared" si="6"/>
        <v>6</v>
      </c>
      <c r="D88">
        <f t="shared" si="7"/>
        <v>26180.105588752202</v>
      </c>
      <c r="E88" s="6">
        <f t="shared" si="8"/>
        <v>280.03441124779783</v>
      </c>
      <c r="F88" s="4">
        <f t="shared" si="9"/>
        <v>78419.27148290076</v>
      </c>
      <c r="H88">
        <v>0</v>
      </c>
      <c r="I88">
        <f t="shared" si="10"/>
        <v>26319.318661270419</v>
      </c>
      <c r="J88" s="9">
        <f t="shared" si="11"/>
        <v>140.82133872958002</v>
      </c>
      <c r="K88" s="4">
        <f t="shared" si="12"/>
        <v>19830.649441591115</v>
      </c>
      <c r="M88">
        <f t="shared" si="13"/>
        <v>26452.259164335224</v>
      </c>
      <c r="N88" s="10">
        <f t="shared" si="14"/>
        <v>7.880835664775077</v>
      </c>
      <c r="O88" s="4">
        <f t="shared" si="15"/>
        <v>62.10757077519083</v>
      </c>
    </row>
    <row r="89" spans="1:15" x14ac:dyDescent="0.25">
      <c r="A89" s="6">
        <v>26477.88</v>
      </c>
      <c r="B89">
        <v>5</v>
      </c>
      <c r="C89">
        <f t="shared" si="6"/>
        <v>6</v>
      </c>
      <c r="D89">
        <f t="shared" si="7"/>
        <v>26180.105588752202</v>
      </c>
      <c r="E89" s="6">
        <f t="shared" si="8"/>
        <v>297.77441124779943</v>
      </c>
      <c r="F89" s="4">
        <f t="shared" si="9"/>
        <v>88669.599993973578</v>
      </c>
      <c r="H89">
        <v>0</v>
      </c>
      <c r="I89">
        <f t="shared" si="10"/>
        <v>26319.318661270419</v>
      </c>
      <c r="J89" s="9">
        <f t="shared" si="11"/>
        <v>158.56133872958162</v>
      </c>
      <c r="K89" s="4">
        <f t="shared" si="12"/>
        <v>25141.698139717122</v>
      </c>
      <c r="M89">
        <f t="shared" si="13"/>
        <v>26452.259164335224</v>
      </c>
      <c r="N89" s="10">
        <f t="shared" si="14"/>
        <v>25.620835664776678</v>
      </c>
      <c r="O89" s="4">
        <f t="shared" si="15"/>
        <v>656.42722016149264</v>
      </c>
    </row>
    <row r="90" spans="1:15" x14ac:dyDescent="0.25">
      <c r="A90" s="6">
        <v>30317.79</v>
      </c>
      <c r="B90">
        <v>6</v>
      </c>
      <c r="C90">
        <f t="shared" si="6"/>
        <v>7</v>
      </c>
      <c r="D90">
        <f t="shared" si="7"/>
        <v>30543.456520210901</v>
      </c>
      <c r="E90" s="6">
        <f t="shared" si="8"/>
        <v>-225.66652021089976</v>
      </c>
      <c r="F90" s="4">
        <f t="shared" si="9"/>
        <v>50925.378344096433</v>
      </c>
      <c r="H90">
        <v>1</v>
      </c>
      <c r="I90">
        <f t="shared" si="10"/>
        <v>30486.880555512464</v>
      </c>
      <c r="J90" s="8">
        <f t="shared" si="11"/>
        <v>-169.09055551246274</v>
      </c>
      <c r="K90" s="4">
        <f t="shared" si="12"/>
        <v>28591.615963513243</v>
      </c>
      <c r="M90">
        <f t="shared" si="13"/>
        <v>30328.197138579697</v>
      </c>
      <c r="N90" s="10">
        <f t="shared" si="14"/>
        <v>-10.407138579696039</v>
      </c>
      <c r="O90" s="4">
        <f t="shared" si="15"/>
        <v>108.30853341699768</v>
      </c>
    </row>
    <row r="91" spans="1:15" x14ac:dyDescent="0.25">
      <c r="A91" s="6">
        <v>30336.400000000001</v>
      </c>
      <c r="B91">
        <v>6</v>
      </c>
      <c r="C91">
        <f t="shared" si="6"/>
        <v>7</v>
      </c>
      <c r="D91">
        <f t="shared" si="7"/>
        <v>30543.456520210901</v>
      </c>
      <c r="E91" s="6">
        <f t="shared" si="8"/>
        <v>-207.05652021089918</v>
      </c>
      <c r="F91" s="4">
        <f t="shared" si="9"/>
        <v>42872.402561846502</v>
      </c>
      <c r="H91">
        <v>1</v>
      </c>
      <c r="I91">
        <f t="shared" si="10"/>
        <v>30486.880555512464</v>
      </c>
      <c r="J91" s="8">
        <f t="shared" si="11"/>
        <v>-150.48055551246216</v>
      </c>
      <c r="K91" s="4">
        <f t="shared" si="12"/>
        <v>22644.397587339205</v>
      </c>
      <c r="M91">
        <f t="shared" si="13"/>
        <v>30328.197138579697</v>
      </c>
      <c r="N91" s="10">
        <f t="shared" si="14"/>
        <v>8.2028614203045436</v>
      </c>
      <c r="O91" s="4">
        <f t="shared" si="15"/>
        <v>67.286935480720672</v>
      </c>
    </row>
    <row r="92" spans="1:15" x14ac:dyDescent="0.25">
      <c r="A92" s="6">
        <v>30578.28</v>
      </c>
      <c r="B92">
        <v>6</v>
      </c>
      <c r="C92">
        <f t="shared" si="6"/>
        <v>7</v>
      </c>
      <c r="D92">
        <f t="shared" si="7"/>
        <v>30543.456520210901</v>
      </c>
      <c r="E92" s="6">
        <f t="shared" si="8"/>
        <v>34.823479789098201</v>
      </c>
      <c r="F92" s="4">
        <f t="shared" si="9"/>
        <v>1212.674744621731</v>
      </c>
      <c r="H92">
        <v>0</v>
      </c>
      <c r="I92">
        <f t="shared" si="10"/>
        <v>30705.871771482154</v>
      </c>
      <c r="J92" s="8">
        <f t="shared" si="11"/>
        <v>-127.59177148215531</v>
      </c>
      <c r="K92" s="4">
        <f t="shared" si="12"/>
        <v>16279.660149954541</v>
      </c>
      <c r="M92">
        <f t="shared" si="13"/>
        <v>30611.448572077952</v>
      </c>
      <c r="N92" s="10">
        <f t="shared" si="14"/>
        <v>-33.168572077953286</v>
      </c>
      <c r="O92" s="4">
        <f t="shared" si="15"/>
        <v>1100.1541736903823</v>
      </c>
    </row>
    <row r="93" spans="1:15" x14ac:dyDescent="0.25">
      <c r="A93" s="6">
        <v>30620.17</v>
      </c>
      <c r="B93">
        <v>6</v>
      </c>
      <c r="C93">
        <f t="shared" si="6"/>
        <v>7</v>
      </c>
      <c r="D93">
        <f t="shared" si="7"/>
        <v>30543.456520210901</v>
      </c>
      <c r="E93" s="6">
        <f t="shared" si="8"/>
        <v>76.713479789097619</v>
      </c>
      <c r="F93" s="4">
        <f t="shared" si="9"/>
        <v>5884.9579813522887</v>
      </c>
      <c r="H93">
        <v>0</v>
      </c>
      <c r="I93">
        <f t="shared" si="10"/>
        <v>30705.871771482154</v>
      </c>
      <c r="J93" s="8">
        <f t="shared" si="11"/>
        <v>-85.701771482155891</v>
      </c>
      <c r="K93" s="4">
        <f t="shared" si="12"/>
        <v>7344.7936351796689</v>
      </c>
      <c r="M93">
        <f t="shared" si="13"/>
        <v>30611.448572077952</v>
      </c>
      <c r="N93" s="10">
        <f t="shared" si="14"/>
        <v>8.7214279220461322</v>
      </c>
      <c r="O93" s="4">
        <f t="shared" si="15"/>
        <v>76.063304999445918</v>
      </c>
    </row>
    <row r="94" spans="1:15" x14ac:dyDescent="0.25">
      <c r="A94" s="6">
        <v>30638.1</v>
      </c>
      <c r="B94">
        <v>6</v>
      </c>
      <c r="C94">
        <f t="shared" si="6"/>
        <v>7</v>
      </c>
      <c r="D94">
        <f t="shared" si="7"/>
        <v>30543.456520210901</v>
      </c>
      <c r="E94" s="6">
        <f t="shared" si="8"/>
        <v>94.64347978909791</v>
      </c>
      <c r="F94" s="4">
        <f t="shared" si="9"/>
        <v>8957.3882665893852</v>
      </c>
      <c r="H94">
        <v>0</v>
      </c>
      <c r="I94">
        <f t="shared" si="10"/>
        <v>30705.871771482154</v>
      </c>
      <c r="J94" s="8">
        <f t="shared" si="11"/>
        <v>-67.7717714821556</v>
      </c>
      <c r="K94" s="4">
        <f t="shared" si="12"/>
        <v>4593.0130098295194</v>
      </c>
      <c r="M94">
        <f t="shared" si="13"/>
        <v>30611.448572077952</v>
      </c>
      <c r="N94" s="10">
        <f t="shared" si="14"/>
        <v>26.651427922046423</v>
      </c>
      <c r="O94" s="4">
        <f t="shared" si="15"/>
        <v>710.2986102840357</v>
      </c>
    </row>
    <row r="95" spans="1:15" x14ac:dyDescent="0.25">
      <c r="F95" s="4">
        <f>SUM(F81:F94)</f>
        <v>476090.22690632555</v>
      </c>
      <c r="K95" s="4">
        <f>SUM(K81:K94)</f>
        <v>157984.77292407322</v>
      </c>
      <c r="O95" s="4">
        <f>SUM(O81:O94)</f>
        <v>8113.6759342310634</v>
      </c>
    </row>
    <row r="96" spans="1:15" ht="18" x14ac:dyDescent="0.35">
      <c r="A96" t="s">
        <v>24</v>
      </c>
      <c r="D96">
        <v>2181.67546572935</v>
      </c>
      <c r="I96">
        <v>2201.0976699619287</v>
      </c>
      <c r="M96">
        <v>2263.8267469822122</v>
      </c>
    </row>
    <row r="97" spans="1:13" ht="18" x14ac:dyDescent="0.35">
      <c r="A97" t="s">
        <v>28</v>
      </c>
      <c r="I97">
        <v>15.642229712120807</v>
      </c>
      <c r="K97" t="s">
        <v>33</v>
      </c>
      <c r="M97">
        <v>20.232245249874921</v>
      </c>
    </row>
    <row r="98" spans="1:13" ht="18" x14ac:dyDescent="0.35">
      <c r="A98" t="s">
        <v>34</v>
      </c>
      <c r="M98">
        <v>-0.68549574994453177</v>
      </c>
    </row>
    <row r="99" spans="1:13" ht="18" x14ac:dyDescent="0.35"/>
    <row r="102" spans="1:13" ht="18" x14ac:dyDescent="0.35"/>
    <row r="103" spans="1:13" ht="18" x14ac:dyDescent="0.35"/>
    <row r="105" spans="1:13" ht="18" x14ac:dyDescent="0.35"/>
    <row r="108" spans="1:13" ht="18" x14ac:dyDescent="0.35"/>
    <row r="109" spans="1:13" ht="18" x14ac:dyDescent="0.35"/>
    <row r="110" spans="1:13" ht="18" x14ac:dyDescent="0.35"/>
    <row r="111" spans="1:13" ht="18" x14ac:dyDescent="0.35"/>
    <row r="112" spans="1:13" ht="18" x14ac:dyDescent="0.35"/>
    <row r="113" spans="1:27" ht="250.5" customHeight="1" x14ac:dyDescent="0.25"/>
    <row r="114" spans="1:27" s="15" customFormat="1" x14ac:dyDescent="0.25">
      <c r="A114" s="15" t="s">
        <v>58</v>
      </c>
    </row>
    <row r="116" spans="1:27" x14ac:dyDescent="0.25">
      <c r="A116" t="s">
        <v>29</v>
      </c>
      <c r="B116">
        <f>A94/A89</f>
        <v>1.1571205851828015</v>
      </c>
    </row>
    <row r="117" spans="1:27" x14ac:dyDescent="0.25">
      <c r="A117" s="7" t="s">
        <v>31</v>
      </c>
      <c r="B117">
        <f>B$10/B$9</f>
        <v>1.1576769518009984</v>
      </c>
    </row>
    <row r="118" spans="1:27" x14ac:dyDescent="0.25">
      <c r="B118" t="s">
        <v>23</v>
      </c>
      <c r="C118" t="s">
        <v>19</v>
      </c>
      <c r="D118" t="s">
        <v>27</v>
      </c>
      <c r="F118" t="s">
        <v>50</v>
      </c>
      <c r="G118" t="s">
        <v>13</v>
      </c>
      <c r="H118" t="s">
        <v>14</v>
      </c>
      <c r="J118" t="s">
        <v>37</v>
      </c>
      <c r="K118" t="s">
        <v>43</v>
      </c>
      <c r="L118" t="s">
        <v>41</v>
      </c>
      <c r="M118" t="s">
        <v>49</v>
      </c>
      <c r="N118" t="s">
        <v>13</v>
      </c>
      <c r="O118" t="s">
        <v>14</v>
      </c>
      <c r="Q118" t="s">
        <v>51</v>
      </c>
      <c r="R118" t="s">
        <v>13</v>
      </c>
      <c r="S118" t="s">
        <v>14</v>
      </c>
      <c r="U118" t="s">
        <v>52</v>
      </c>
      <c r="Y118" t="s">
        <v>53</v>
      </c>
    </row>
    <row r="119" spans="1:27" x14ac:dyDescent="0.25">
      <c r="A119" s="6">
        <v>25931.21</v>
      </c>
      <c r="B119">
        <v>0</v>
      </c>
      <c r="C119">
        <f>B119+1</f>
        <v>1</v>
      </c>
      <c r="D119">
        <v>2</v>
      </c>
      <c r="F119">
        <f>2*(F$129-F$130*($D119+0.5))*$C119</f>
        <v>25967.113888899668</v>
      </c>
      <c r="G119" s="6">
        <f>$A119-F119</f>
        <v>-35.903888899669255</v>
      </c>
      <c r="H119" s="4">
        <f>G119^2</f>
        <v>1289.0892381197932</v>
      </c>
      <c r="I119" s="4"/>
      <c r="J119" s="5">
        <v>2.5</v>
      </c>
      <c r="K119" s="5">
        <v>2.5</v>
      </c>
      <c r="L119" s="12">
        <f>INDEX($I$157:$I$159,MATCH($K119,$E$157:$E$159,0))-INDEX($I$156,MATCH($J119,$E$156,0))</f>
        <v>-0.16</v>
      </c>
      <c r="M119">
        <f t="shared" ref="M119:M127" si="16">2*(M$129-M$130*($D119+0.5))*$C119-M$132*$L119</f>
        <v>25932.069979504831</v>
      </c>
      <c r="N119" s="6">
        <f t="shared" ref="N119:N127" si="17">$A119-M119</f>
        <v>-0.85997950483215391</v>
      </c>
      <c r="O119" s="6">
        <f t="shared" ref="O119:O127" si="18">N119^2</f>
        <v>0.73956474873135658</v>
      </c>
      <c r="Q119">
        <f>2*(Q$129-Q$130*($D119+0.5))*$C119-INDEX(Q$132:Q$134,MATCH($D119,$P$132:$P$134,0))*$L119</f>
        <v>25930.743012965933</v>
      </c>
      <c r="R119" s="6">
        <f t="shared" ref="R119:R127" si="19">$A119-Q119</f>
        <v>0.46698703406582354</v>
      </c>
      <c r="S119" s="6">
        <f t="shared" ref="S119:S127" si="20">R119^2</f>
        <v>0.21807688998559463</v>
      </c>
      <c r="T119" s="6"/>
      <c r="U119">
        <f>2*(U$129-U$130*($D119+0.5)+U$131*($D119+0.5)^2)*$C119-U$132*$L119</f>
        <v>25932.392756650188</v>
      </c>
      <c r="V119" s="6">
        <f t="shared" ref="V119" si="21">$A119-U119</f>
        <v>-1.1827566501888214</v>
      </c>
      <c r="W119" s="6">
        <f t="shared" ref="W119" si="22">V119^2</f>
        <v>1.3989132935658819</v>
      </c>
      <c r="Y119">
        <f>2*(Y$129-Y$130*($D119+0.5)+Y$131*($D119+0.5)^2)*$C119-INDEX(Y$132:Y$134,MATCH($D119,$P$132:$P$134,0))*$L119</f>
        <v>25931.10006458428</v>
      </c>
      <c r="Z119" s="6">
        <f t="shared" ref="Z119:Z127" si="23">$A119-Y119</f>
        <v>0.10993541571951937</v>
      </c>
      <c r="AA119" s="6">
        <f t="shared" ref="AA119:AA127" si="24">Z119^2</f>
        <v>1.2085795629423546E-2</v>
      </c>
    </row>
    <row r="120" spans="1:27" x14ac:dyDescent="0.25">
      <c r="A120" s="6">
        <v>25975.62</v>
      </c>
      <c r="B120">
        <v>0</v>
      </c>
      <c r="C120">
        <f t="shared" ref="C120:C127" si="25">B120+1</f>
        <v>1</v>
      </c>
      <c r="D120">
        <v>2</v>
      </c>
      <c r="F120">
        <f t="shared" ref="F120:F127" si="26">2*(F$129-F$130*($D120+0.5))*$C120</f>
        <v>25967.113888899668</v>
      </c>
      <c r="G120" s="6">
        <f t="shared" ref="G120:G127" si="27">$A120-F120</f>
        <v>8.5061111003305996</v>
      </c>
      <c r="H120" s="4">
        <f t="shared" ref="H120:H127" si="28">G120^2</f>
        <v>72.353926051167448</v>
      </c>
      <c r="I120" s="4"/>
      <c r="J120" s="5">
        <v>2.5</v>
      </c>
      <c r="K120" s="5">
        <v>3.5</v>
      </c>
      <c r="L120" s="12">
        <f t="shared" ref="L120:L127" si="29">INDEX($I$157:$I$159,MATCH($K120,$E$157:$E$159,0))-INDEX($I$156,MATCH($J120,$E$156,0))</f>
        <v>0.05</v>
      </c>
      <c r="M120">
        <f t="shared" si="16"/>
        <v>25975.359514606593</v>
      </c>
      <c r="N120" s="6">
        <f t="shared" si="17"/>
        <v>0.2604853934062703</v>
      </c>
      <c r="O120" s="6">
        <f t="shared" si="18"/>
        <v>6.785264017801941E-2</v>
      </c>
      <c r="Q120">
        <f t="shared" ref="Q120:Q127" si="30">2*(Q$129-Q$130*($D120+0.5))*$C120-INDEX(Q$132:Q$134,MATCH($D120,$P$132:$P$134,0))*$L120</f>
        <v>25975.672251360302</v>
      </c>
      <c r="R120" s="6">
        <f t="shared" si="19"/>
        <v>-5.2251360302761896E-2</v>
      </c>
      <c r="S120" s="6">
        <f t="shared" si="20"/>
        <v>2.7302046534890415E-3</v>
      </c>
      <c r="T120" s="6"/>
      <c r="U120">
        <f t="shared" ref="U120:U127" si="31">2*(U$129-U$130*($D120+0.5)+U$131*($D120+0.5)^2)*$C120-U$132*$L120</f>
        <v>25975.682292515165</v>
      </c>
      <c r="V120" s="6">
        <f t="shared" ref="V120:V127" si="32">$A120-U120</f>
        <v>-6.2292515165609075E-2</v>
      </c>
      <c r="W120" s="6">
        <f t="shared" ref="W120:W127" si="33">V120^2</f>
        <v>3.8803574456576367E-3</v>
      </c>
      <c r="Y120">
        <f t="shared" ref="Y120:Y127" si="34">2*(Y$129-Y$130*($D120+0.5)+Y$131*($D120+0.5)^2)*$C120-INDEX(Y$132:Y$134,MATCH($D120,$P$132:$P$134,0))*$L120</f>
        <v>25975.986456990013</v>
      </c>
      <c r="Z120" s="6">
        <f t="shared" si="23"/>
        <v>-0.36645699001383036</v>
      </c>
      <c r="AA120" s="6">
        <f t="shared" si="24"/>
        <v>0.13429072552999657</v>
      </c>
    </row>
    <row r="121" spans="1:27" x14ac:dyDescent="0.25">
      <c r="A121" s="6">
        <v>25995.48</v>
      </c>
      <c r="B121">
        <v>0</v>
      </c>
      <c r="C121">
        <f t="shared" si="25"/>
        <v>1</v>
      </c>
      <c r="D121">
        <v>2</v>
      </c>
      <c r="F121">
        <f t="shared" si="26"/>
        <v>25967.113888899668</v>
      </c>
      <c r="G121" s="6">
        <f t="shared" si="27"/>
        <v>28.366111100331182</v>
      </c>
      <c r="H121" s="4">
        <f t="shared" si="28"/>
        <v>804.63625895633186</v>
      </c>
      <c r="I121" s="4"/>
      <c r="J121" s="5">
        <v>2.5</v>
      </c>
      <c r="K121" s="5">
        <v>1.5</v>
      </c>
      <c r="L121" s="12">
        <f t="shared" si="29"/>
        <v>0.14000000000000001</v>
      </c>
      <c r="M121">
        <f t="shared" si="16"/>
        <v>25993.912172507349</v>
      </c>
      <c r="N121" s="6">
        <f t="shared" si="17"/>
        <v>1.5678274926503946</v>
      </c>
      <c r="O121" s="6">
        <f t="shared" si="18"/>
        <v>2.4580830467104229</v>
      </c>
      <c r="Q121">
        <f t="shared" si="30"/>
        <v>25994.927639243604</v>
      </c>
      <c r="R121" s="6">
        <f t="shared" si="19"/>
        <v>0.55236075639550108</v>
      </c>
      <c r="S121" s="6">
        <f t="shared" si="20"/>
        <v>0.30510240520581011</v>
      </c>
      <c r="T121" s="6"/>
      <c r="U121">
        <f t="shared" si="31"/>
        <v>25994.234950743015</v>
      </c>
      <c r="V121" s="6">
        <f t="shared" si="32"/>
        <v>1.2450492569842027</v>
      </c>
      <c r="W121" s="6">
        <f t="shared" si="33"/>
        <v>1.5501476523169151</v>
      </c>
      <c r="Y121">
        <f t="shared" si="34"/>
        <v>25995.223482306759</v>
      </c>
      <c r="Z121" s="6">
        <f t="shared" si="23"/>
        <v>0.25651769324031193</v>
      </c>
      <c r="AA121" s="6">
        <f t="shared" si="24"/>
        <v>6.5801326945330765E-2</v>
      </c>
    </row>
    <row r="122" spans="1:27" x14ac:dyDescent="0.25">
      <c r="A122" s="6">
        <v>26173.72</v>
      </c>
      <c r="B122">
        <v>0</v>
      </c>
      <c r="C122">
        <f t="shared" si="25"/>
        <v>1</v>
      </c>
      <c r="D122">
        <v>1</v>
      </c>
      <c r="F122">
        <f t="shared" si="26"/>
        <v>26209.472222232449</v>
      </c>
      <c r="G122" s="6">
        <f t="shared" si="27"/>
        <v>-35.752222232447821</v>
      </c>
      <c r="H122" s="4">
        <f t="shared" si="28"/>
        <v>1278.2213945583362</v>
      </c>
      <c r="I122" s="4"/>
      <c r="J122" s="5">
        <v>2.5</v>
      </c>
      <c r="K122" s="5">
        <v>2.5</v>
      </c>
      <c r="L122" s="12">
        <f t="shared" si="29"/>
        <v>-0.16</v>
      </c>
      <c r="M122">
        <f t="shared" si="16"/>
        <v>26174.428312808977</v>
      </c>
      <c r="N122" s="6">
        <f t="shared" si="17"/>
        <v>-0.70831280897618853</v>
      </c>
      <c r="O122" s="6">
        <f t="shared" si="18"/>
        <v>0.5017070353597386</v>
      </c>
      <c r="Q122">
        <f t="shared" si="30"/>
        <v>26174.441505849114</v>
      </c>
      <c r="R122" s="6">
        <f t="shared" si="19"/>
        <v>-0.72150584911287297</v>
      </c>
      <c r="S122" s="6">
        <f t="shared" si="20"/>
        <v>0.52057069030408776</v>
      </c>
      <c r="T122" s="6"/>
      <c r="U122">
        <f t="shared" si="31"/>
        <v>26173.782756668814</v>
      </c>
      <c r="V122" s="6">
        <f t="shared" si="32"/>
        <v>-6.2756668812653515E-2</v>
      </c>
      <c r="W122" s="6">
        <f t="shared" si="33"/>
        <v>3.9383994804610785E-3</v>
      </c>
      <c r="Y122">
        <f t="shared" si="34"/>
        <v>26173.727405401296</v>
      </c>
      <c r="Z122" s="6">
        <f t="shared" si="23"/>
        <v>-7.405401294818148E-3</v>
      </c>
      <c r="AA122" s="6">
        <f t="shared" si="24"/>
        <v>5.4839968337294302E-5</v>
      </c>
    </row>
    <row r="123" spans="1:27" x14ac:dyDescent="0.25">
      <c r="A123" s="6">
        <v>26217.11</v>
      </c>
      <c r="B123">
        <v>0</v>
      </c>
      <c r="C123">
        <f t="shared" si="25"/>
        <v>1</v>
      </c>
      <c r="D123">
        <v>1</v>
      </c>
      <c r="F123">
        <f t="shared" si="26"/>
        <v>26209.472222232449</v>
      </c>
      <c r="G123" s="6">
        <f t="shared" si="27"/>
        <v>7.6377777675515972</v>
      </c>
      <c r="H123" s="4">
        <f t="shared" si="28"/>
        <v>58.33564922650546</v>
      </c>
      <c r="I123" s="4"/>
      <c r="J123" s="5">
        <v>2.5</v>
      </c>
      <c r="K123" s="5">
        <v>3.5</v>
      </c>
      <c r="L123" s="12">
        <f t="shared" si="29"/>
        <v>0.05</v>
      </c>
      <c r="M123">
        <f t="shared" si="16"/>
        <v>26217.717847910739</v>
      </c>
      <c r="N123" s="6">
        <f t="shared" si="17"/>
        <v>-0.60784791073820088</v>
      </c>
      <c r="O123" s="6">
        <f t="shared" si="18"/>
        <v>0.3694790825887958</v>
      </c>
      <c r="Q123">
        <f t="shared" si="30"/>
        <v>26217.713725103273</v>
      </c>
      <c r="R123" s="6">
        <f t="shared" si="19"/>
        <v>-0.60372510327215423</v>
      </c>
      <c r="S123" s="6">
        <f t="shared" si="20"/>
        <v>0.36448400032097328</v>
      </c>
      <c r="T123" s="6"/>
      <c r="U123">
        <f t="shared" si="31"/>
        <v>26217.07229253379</v>
      </c>
      <c r="V123" s="6">
        <f t="shared" si="32"/>
        <v>3.770746621012222E-2</v>
      </c>
      <c r="W123" s="6">
        <f t="shared" si="33"/>
        <v>1.4218530079875089E-3</v>
      </c>
      <c r="Y123">
        <f t="shared" si="34"/>
        <v>26217.085316794371</v>
      </c>
      <c r="Z123" s="6">
        <f t="shared" si="23"/>
        <v>2.4683205629116856E-2</v>
      </c>
      <c r="AA123" s="6">
        <f t="shared" si="24"/>
        <v>6.0926064012926603E-4</v>
      </c>
    </row>
    <row r="124" spans="1:27" x14ac:dyDescent="0.25">
      <c r="A124" s="6">
        <v>26235.65</v>
      </c>
      <c r="B124">
        <v>0</v>
      </c>
      <c r="C124">
        <f t="shared" si="25"/>
        <v>1</v>
      </c>
      <c r="D124">
        <v>1</v>
      </c>
      <c r="F124">
        <f t="shared" si="26"/>
        <v>26209.472222232449</v>
      </c>
      <c r="G124" s="6">
        <f t="shared" si="27"/>
        <v>26.17777776755247</v>
      </c>
      <c r="H124" s="4">
        <f t="shared" si="28"/>
        <v>685.27604884736445</v>
      </c>
      <c r="I124" s="4"/>
      <c r="J124" s="5">
        <v>2.5</v>
      </c>
      <c r="K124" s="5">
        <v>1.5</v>
      </c>
      <c r="L124" s="12">
        <f t="shared" si="29"/>
        <v>0.14000000000000001</v>
      </c>
      <c r="M124">
        <f t="shared" si="16"/>
        <v>26236.270505811495</v>
      </c>
      <c r="N124" s="6">
        <f t="shared" si="17"/>
        <v>-0.62050581149378559</v>
      </c>
      <c r="O124" s="6">
        <f t="shared" si="18"/>
        <v>0.38502746209756139</v>
      </c>
      <c r="Q124">
        <f t="shared" si="30"/>
        <v>26236.258961926484</v>
      </c>
      <c r="R124" s="6">
        <f t="shared" si="19"/>
        <v>-0.60896192648215219</v>
      </c>
      <c r="S124" s="6">
        <f t="shared" si="20"/>
        <v>0.37083462790485411</v>
      </c>
      <c r="T124" s="6"/>
      <c r="U124">
        <f t="shared" si="31"/>
        <v>26235.624950761641</v>
      </c>
      <c r="V124" s="6">
        <f t="shared" si="32"/>
        <v>2.504923836022499E-2</v>
      </c>
      <c r="W124" s="6">
        <f t="shared" si="33"/>
        <v>6.2746434242736716E-4</v>
      </c>
      <c r="Y124">
        <f t="shared" si="34"/>
        <v>26235.667278819972</v>
      </c>
      <c r="Z124" s="6">
        <f t="shared" si="23"/>
        <v>-1.7278819970670156E-2</v>
      </c>
      <c r="AA124" s="6">
        <f t="shared" si="24"/>
        <v>2.9855761957882983E-4</v>
      </c>
    </row>
    <row r="125" spans="1:27" x14ac:dyDescent="0.25">
      <c r="A125" s="6">
        <v>26418.44</v>
      </c>
      <c r="B125">
        <v>0</v>
      </c>
      <c r="C125">
        <f t="shared" si="25"/>
        <v>1</v>
      </c>
      <c r="D125">
        <v>0</v>
      </c>
      <c r="F125">
        <f t="shared" si="26"/>
        <v>26451.830555565233</v>
      </c>
      <c r="G125" s="6">
        <f t="shared" si="27"/>
        <v>-33.390555565234536</v>
      </c>
      <c r="H125" s="4">
        <f t="shared" si="28"/>
        <v>1114.9292009550149</v>
      </c>
      <c r="I125" s="4"/>
      <c r="J125" s="5">
        <v>2.5</v>
      </c>
      <c r="K125" s="5">
        <v>2.5</v>
      </c>
      <c r="L125" s="12">
        <f t="shared" si="29"/>
        <v>-0.16</v>
      </c>
      <c r="M125">
        <f t="shared" si="16"/>
        <v>26416.786646113127</v>
      </c>
      <c r="N125" s="6">
        <f t="shared" si="17"/>
        <v>1.6533538868716278</v>
      </c>
      <c r="O125" s="6">
        <f t="shared" si="18"/>
        <v>2.7335790752335192</v>
      </c>
      <c r="Q125">
        <f t="shared" si="30"/>
        <v>26418.100418029517</v>
      </c>
      <c r="R125" s="6">
        <f t="shared" si="19"/>
        <v>0.33958197048195871</v>
      </c>
      <c r="S125" s="6">
        <f t="shared" si="20"/>
        <v>0.11531591467640988</v>
      </c>
      <c r="T125" s="6"/>
      <c r="U125">
        <f t="shared" si="31"/>
        <v>26417.109423337421</v>
      </c>
      <c r="V125" s="6">
        <f t="shared" si="32"/>
        <v>1.3305766625780961</v>
      </c>
      <c r="W125" s="6">
        <f t="shared" si="33"/>
        <v>1.7704342549974648</v>
      </c>
      <c r="Y125">
        <f t="shared" si="34"/>
        <v>26418.457468218137</v>
      </c>
      <c r="Z125" s="6">
        <f t="shared" si="23"/>
        <v>-1.7468218138674274E-2</v>
      </c>
      <c r="AA125" s="6">
        <f t="shared" si="24"/>
        <v>3.0513864494030894E-4</v>
      </c>
    </row>
    <row r="126" spans="1:27" x14ac:dyDescent="0.25">
      <c r="A126" s="6">
        <v>26460.14</v>
      </c>
      <c r="B126">
        <v>0</v>
      </c>
      <c r="C126">
        <f t="shared" si="25"/>
        <v>1</v>
      </c>
      <c r="D126">
        <v>0</v>
      </c>
      <c r="F126">
        <f t="shared" si="26"/>
        <v>26451.830555565233</v>
      </c>
      <c r="G126" s="6">
        <f t="shared" si="27"/>
        <v>8.309444434766192</v>
      </c>
      <c r="H126" s="4">
        <f t="shared" si="28"/>
        <v>69.046866814466838</v>
      </c>
      <c r="I126" s="4"/>
      <c r="J126" s="5">
        <v>2.5</v>
      </c>
      <c r="K126" s="5">
        <v>3.5</v>
      </c>
      <c r="L126" s="12">
        <f t="shared" si="29"/>
        <v>0.05</v>
      </c>
      <c r="M126">
        <f t="shared" si="16"/>
        <v>26460.076181214888</v>
      </c>
      <c r="N126" s="6">
        <f t="shared" si="17"/>
        <v>6.3818785110925091E-2</v>
      </c>
      <c r="O126" s="6">
        <f t="shared" si="18"/>
        <v>4.0728373330344344E-3</v>
      </c>
      <c r="Q126">
        <f t="shared" si="30"/>
        <v>26459.767567815867</v>
      </c>
      <c r="R126" s="6">
        <f t="shared" si="19"/>
        <v>0.37243218413277646</v>
      </c>
      <c r="S126" s="6">
        <f t="shared" si="20"/>
        <v>0.13870573177791032</v>
      </c>
      <c r="T126" s="6"/>
      <c r="U126">
        <f t="shared" si="31"/>
        <v>26460.398959202397</v>
      </c>
      <c r="V126" s="6">
        <f t="shared" si="32"/>
        <v>-0.25895920239781844</v>
      </c>
      <c r="W126" s="6">
        <f t="shared" si="33"/>
        <v>6.7059868506514297E-2</v>
      </c>
      <c r="Y126">
        <f t="shared" si="34"/>
        <v>26460.081772016427</v>
      </c>
      <c r="Z126" s="6">
        <f t="shared" si="23"/>
        <v>5.8227983572578523E-2</v>
      </c>
      <c r="AA126" s="6">
        <f t="shared" si="24"/>
        <v>3.3904980709284745E-3</v>
      </c>
    </row>
    <row r="127" spans="1:27" x14ac:dyDescent="0.25">
      <c r="A127" s="6">
        <v>26477.88</v>
      </c>
      <c r="B127">
        <v>0</v>
      </c>
      <c r="C127">
        <f t="shared" si="25"/>
        <v>1</v>
      </c>
      <c r="D127">
        <v>0</v>
      </c>
      <c r="F127">
        <f t="shared" si="26"/>
        <v>26451.830555565233</v>
      </c>
      <c r="G127" s="6">
        <f t="shared" si="27"/>
        <v>26.049444434767793</v>
      </c>
      <c r="H127" s="4">
        <f t="shared" si="28"/>
        <v>678.57355536005468</v>
      </c>
      <c r="I127" s="4"/>
      <c r="J127" s="5">
        <v>2.5</v>
      </c>
      <c r="K127" s="5">
        <v>1.5</v>
      </c>
      <c r="L127" s="12">
        <f t="shared" si="29"/>
        <v>0.14000000000000001</v>
      </c>
      <c r="M127">
        <f t="shared" si="16"/>
        <v>26478.628839115645</v>
      </c>
      <c r="N127" s="6">
        <f t="shared" si="17"/>
        <v>-0.74883911564393202</v>
      </c>
      <c r="O127" s="6">
        <f t="shared" si="18"/>
        <v>0.56076002111838619</v>
      </c>
      <c r="Q127">
        <f t="shared" si="30"/>
        <v>26477.624917724301</v>
      </c>
      <c r="R127" s="6">
        <f t="shared" si="19"/>
        <v>0.25508227570026065</v>
      </c>
      <c r="S127" s="6">
        <f t="shared" si="20"/>
        <v>6.5066967376423784E-2</v>
      </c>
      <c r="T127" s="6"/>
      <c r="U127">
        <f t="shared" si="31"/>
        <v>26478.951617430248</v>
      </c>
      <c r="V127" s="6">
        <f t="shared" si="32"/>
        <v>-1.0716174302469881</v>
      </c>
      <c r="W127" s="6">
        <f t="shared" si="33"/>
        <v>1.1483639168091584</v>
      </c>
      <c r="Y127">
        <f t="shared" si="34"/>
        <v>26477.920759358549</v>
      </c>
      <c r="Z127" s="6">
        <f t="shared" si="23"/>
        <v>-4.0759358547802549E-2</v>
      </c>
      <c r="AA127" s="6">
        <f t="shared" si="24"/>
        <v>1.6613253092283248E-3</v>
      </c>
    </row>
    <row r="128" spans="1:27" x14ac:dyDescent="0.25">
      <c r="A128" s="6"/>
      <c r="H128" s="4">
        <f>SUM(H119:H127)</f>
        <v>6050.4621388890355</v>
      </c>
      <c r="I128" s="4"/>
      <c r="J128" s="4"/>
      <c r="K128" s="5"/>
      <c r="L128" s="11"/>
      <c r="O128" s="6">
        <f>SUM(O119:O127)</f>
        <v>7.8201259493508335</v>
      </c>
      <c r="S128" s="6">
        <f>SUM(S119:S127)</f>
        <v>2.1008874322055529</v>
      </c>
      <c r="T128" s="6"/>
      <c r="U128" s="6"/>
      <c r="V128" s="6"/>
      <c r="W128" s="6">
        <f>SUM(W119:W127)</f>
        <v>5.9447870604724677</v>
      </c>
      <c r="AA128" s="6">
        <f>SUM(AA119:AA127)</f>
        <v>0.21849746835789338</v>
      </c>
    </row>
    <row r="129" spans="1:25" ht="18" x14ac:dyDescent="0.35">
      <c r="A129" t="s">
        <v>24</v>
      </c>
      <c r="F129">
        <v>13286.504861115813</v>
      </c>
      <c r="K129" s="5"/>
      <c r="L129" s="11"/>
      <c r="M129" s="6">
        <v>13285.474157849938</v>
      </c>
      <c r="Q129">
        <v>13285.532409460789</v>
      </c>
      <c r="U129">
        <v>13286.240755090821</v>
      </c>
      <c r="Y129">
        <v>13286.302873057808</v>
      </c>
    </row>
    <row r="130" spans="1:25" ht="18" x14ac:dyDescent="0.35">
      <c r="A130" t="s">
        <v>28</v>
      </c>
      <c r="F130">
        <v>121.17916666639171</v>
      </c>
      <c r="K130" s="5"/>
      <c r="L130" s="11"/>
      <c r="M130">
        <v>121.17916665207402</v>
      </c>
      <c r="Q130">
        <v>121.21800105484449</v>
      </c>
      <c r="U130">
        <v>122.63166665929423</v>
      </c>
      <c r="Y130">
        <v>122.67782700760515</v>
      </c>
    </row>
    <row r="131" spans="1:25" ht="18" x14ac:dyDescent="0.35">
      <c r="A131" t="s">
        <v>45</v>
      </c>
      <c r="K131" s="5"/>
      <c r="L131" s="11"/>
      <c r="U131">
        <v>0.4841666624953086</v>
      </c>
      <c r="Y131">
        <v>0.48660877002758995</v>
      </c>
    </row>
    <row r="132" spans="1:25" x14ac:dyDescent="0.25">
      <c r="A132" t="s">
        <v>42</v>
      </c>
      <c r="K132" s="5"/>
      <c r="L132" t="s">
        <v>42</v>
      </c>
      <c r="M132">
        <v>-206.14064334172508</v>
      </c>
      <c r="P132">
        <v>2</v>
      </c>
      <c r="Q132">
        <v>-213.94875425889802</v>
      </c>
      <c r="U132">
        <v>-206.1406469760887</v>
      </c>
      <c r="Y132">
        <v>-213.74472574159699</v>
      </c>
    </row>
    <row r="133" spans="1:25" x14ac:dyDescent="0.25">
      <c r="A133" s="6"/>
      <c r="K133" s="5"/>
      <c r="L133" s="11"/>
      <c r="P133">
        <v>1</v>
      </c>
      <c r="Q133">
        <v>-206.0581869245743</v>
      </c>
      <c r="Y133">
        <v>-206.46624472891651</v>
      </c>
    </row>
    <row r="134" spans="1:25" x14ac:dyDescent="0.25">
      <c r="A134" s="6"/>
      <c r="K134" s="5"/>
      <c r="L134" s="11"/>
      <c r="P134">
        <v>0</v>
      </c>
      <c r="Q134">
        <v>-198.4149989826206</v>
      </c>
      <c r="Y134">
        <v>-198.21097046804644</v>
      </c>
    </row>
    <row r="135" spans="1:25" x14ac:dyDescent="0.25">
      <c r="K135" s="5"/>
      <c r="L135" s="11"/>
    </row>
    <row r="136" spans="1:25" x14ac:dyDescent="0.25">
      <c r="A136" s="6"/>
      <c r="K136" s="5"/>
      <c r="L136" s="11"/>
    </row>
    <row r="137" spans="1:25" x14ac:dyDescent="0.25">
      <c r="A137" s="6">
        <v>30317.79</v>
      </c>
      <c r="B137">
        <v>0</v>
      </c>
      <c r="C137">
        <f t="shared" ref="C137:C141" si="35">B137+1</f>
        <v>1</v>
      </c>
      <c r="D137">
        <v>1</v>
      </c>
      <c r="F137">
        <f>2*(F$143-F$144*($D137+0.5))*$C137</f>
        <v>30327.094999998513</v>
      </c>
      <c r="G137" s="6">
        <f>$A137-F137</f>
        <v>-9.3049999985123577</v>
      </c>
      <c r="H137" s="4">
        <f>G137^2</f>
        <v>86.583024972314973</v>
      </c>
      <c r="I137" s="4"/>
      <c r="J137" s="5">
        <v>2.5</v>
      </c>
      <c r="K137" s="5">
        <v>3.5</v>
      </c>
      <c r="L137" s="12">
        <f>INDEX($I$157:$I$159,MATCH($K137,$E$157:$E$159,0))-INDEX($I$156,MATCH($J137,$E$156,0))</f>
        <v>0.05</v>
      </c>
      <c r="M137">
        <f>2*(M$143-M$144*($D137+0.5))*$C137-M$146*$L137</f>
        <v>30318.09530611198</v>
      </c>
      <c r="N137" s="6">
        <f t="shared" ref="N137:N138" si="36">$A137-M137</f>
        <v>-0.30530611197900726</v>
      </c>
      <c r="O137" s="6">
        <f t="shared" ref="O137:O138" si="37">N137^2</f>
        <v>9.3211822011738124E-2</v>
      </c>
      <c r="Q137">
        <f>2*(Q$143-Q$144*($D137+0.5))*$C137-INDEX(Q$146:Q$147,MATCH($D137,$P$146:$P$147,0))*$L137</f>
        <v>30317.789999996614</v>
      </c>
      <c r="R137" s="6">
        <f>$A137-Q137</f>
        <v>3.3869582694023848E-9</v>
      </c>
      <c r="S137" s="14">
        <f t="shared" ref="S137:S141" si="38">R137^2</f>
        <v>1.1471486318673197E-17</v>
      </c>
      <c r="T137" s="6"/>
      <c r="U137">
        <f>2*(U$143-U$144*($D137+0.5)+U$145*($D137+0.5)^2)*$C137-U$146*$L137</f>
        <v>30318.09530620266</v>
      </c>
      <c r="V137" s="6">
        <f t="shared" ref="V137" si="39">$A137-U137</f>
        <v>-0.305306202659267</v>
      </c>
      <c r="W137" s="6">
        <f t="shared" ref="W137" si="40">V137^2</f>
        <v>9.3211877382221406E-2</v>
      </c>
    </row>
    <row r="138" spans="1:25" x14ac:dyDescent="0.25">
      <c r="A138" s="6">
        <v>30336.400000000001</v>
      </c>
      <c r="B138">
        <v>0</v>
      </c>
      <c r="C138">
        <f t="shared" si="35"/>
        <v>1</v>
      </c>
      <c r="D138">
        <v>1</v>
      </c>
      <c r="F138">
        <f t="shared" ref="F138:F141" si="41">2*(F$143-F$144*($D138+0.5))*$C138</f>
        <v>30327.094999998513</v>
      </c>
      <c r="G138" s="6">
        <f t="shared" ref="G138:G141" si="42">$A138-F138</f>
        <v>9.3050000014882244</v>
      </c>
      <c r="H138" s="4">
        <f t="shared" ref="H138:H141" si="43">G138^2</f>
        <v>86.583025027695854</v>
      </c>
      <c r="I138" s="4"/>
      <c r="J138" s="5">
        <v>2.5</v>
      </c>
      <c r="K138" s="5">
        <v>1.5</v>
      </c>
      <c r="L138" s="12">
        <f t="shared" ref="L138:L141" si="44">INDEX($I$157:$I$159,MATCH($K138,$E$157:$E$159,0))-INDEX($I$156,MATCH($J138,$E$156,0))</f>
        <v>0.14000000000000001</v>
      </c>
      <c r="M138">
        <f>2*(M$143-M$144*($D138+0.5))*$C138-M$146*$L138</f>
        <v>30336.094693864732</v>
      </c>
      <c r="N138" s="6">
        <f t="shared" si="36"/>
        <v>0.30530613526934758</v>
      </c>
      <c r="O138" s="6">
        <f t="shared" si="37"/>
        <v>9.3211836233105166E-2</v>
      </c>
      <c r="Q138">
        <f t="shared" ref="Q138:Q141" si="45">2*(Q$143-Q$144*($D138+0.5))*$C138-INDEX(Q$146:Q$147,MATCH($D138,$P$146:$P$147,0))*$L138</f>
        <v>30336.399999999438</v>
      </c>
      <c r="R138" s="6">
        <f t="shared" ref="R138:R141" si="46">$A138-Q138</f>
        <v>5.6388671509921551E-10</v>
      </c>
      <c r="S138" s="14">
        <f t="shared" si="38"/>
        <v>3.1796822746538384E-19</v>
      </c>
      <c r="T138" s="6"/>
      <c r="U138">
        <f t="shared" ref="U138:U141" si="47">2*(U$143-U$144*($D138+0.5)+U$145*($D138+0.5)^2)*$C138-U$146*$L138</f>
        <v>30336.09469395773</v>
      </c>
      <c r="V138" s="6">
        <f t="shared" ref="V138:V141" si="48">$A138-U138</f>
        <v>0.30530604227169533</v>
      </c>
      <c r="W138" s="6">
        <f t="shared" ref="W138:W141" si="49">V138^2</f>
        <v>9.3211779447606211E-2</v>
      </c>
    </row>
    <row r="139" spans="1:25" x14ac:dyDescent="0.25">
      <c r="A139" s="6">
        <v>30578.28</v>
      </c>
      <c r="B139">
        <v>0</v>
      </c>
      <c r="C139">
        <f t="shared" si="35"/>
        <v>1</v>
      </c>
      <c r="D139">
        <v>0</v>
      </c>
      <c r="F139">
        <f t="shared" si="41"/>
        <v>30612.183333331868</v>
      </c>
      <c r="G139" s="6">
        <f t="shared" si="42"/>
        <v>-33.903333331869362</v>
      </c>
      <c r="H139" s="4">
        <f t="shared" si="43"/>
        <v>1149.4360110118441</v>
      </c>
      <c r="I139" s="4"/>
      <c r="J139" s="5">
        <v>2.5</v>
      </c>
      <c r="K139" s="5">
        <v>2.5</v>
      </c>
      <c r="L139" s="12">
        <f t="shared" si="44"/>
        <v>-0.16</v>
      </c>
      <c r="M139">
        <f>2*(M$143-M$144*($D139+0.5))*$C139-M$146*$L139</f>
        <v>30578.184489825617</v>
      </c>
      <c r="N139" s="6">
        <f>$A139-M139</f>
        <v>9.5510174382070545E-2</v>
      </c>
      <c r="O139" s="6">
        <f>N139^2</f>
        <v>9.1221934104935253E-3</v>
      </c>
      <c r="Q139">
        <f t="shared" si="45"/>
        <v>30578.283037973939</v>
      </c>
      <c r="R139" s="6">
        <f t="shared" si="46"/>
        <v>-3.0379739400814287E-3</v>
      </c>
      <c r="S139" s="14">
        <f t="shared" si="38"/>
        <v>9.2292856606138812E-6</v>
      </c>
      <c r="T139" s="6"/>
      <c r="U139">
        <f t="shared" si="47"/>
        <v>30578.184489876618</v>
      </c>
      <c r="V139" s="6">
        <f t="shared" si="48"/>
        <v>9.5510123381245648E-2</v>
      </c>
      <c r="W139" s="6">
        <f t="shared" si="49"/>
        <v>9.1221836683007661E-3</v>
      </c>
    </row>
    <row r="140" spans="1:25" x14ac:dyDescent="0.25">
      <c r="A140" s="6">
        <v>30620.17</v>
      </c>
      <c r="B140">
        <v>0</v>
      </c>
      <c r="C140">
        <f t="shared" si="35"/>
        <v>1</v>
      </c>
      <c r="D140">
        <v>0</v>
      </c>
      <c r="F140">
        <f t="shared" si="41"/>
        <v>30612.183333331868</v>
      </c>
      <c r="G140" s="6">
        <f t="shared" si="42"/>
        <v>7.9866666681300558</v>
      </c>
      <c r="H140" s="4">
        <f t="shared" si="43"/>
        <v>63.786844467819648</v>
      </c>
      <c r="I140" s="4"/>
      <c r="J140" s="5">
        <v>2.5</v>
      </c>
      <c r="K140" s="5">
        <v>3.5</v>
      </c>
      <c r="L140" s="12">
        <f t="shared" si="44"/>
        <v>0.05</v>
      </c>
      <c r="M140">
        <f>2*(M$143-M$144*($D140+0.5))*$C140-M$146*$L140</f>
        <v>30620.183061248699</v>
      </c>
      <c r="N140" s="6">
        <f>$A140-M140</f>
        <v>-1.3061248700978467E-2</v>
      </c>
      <c r="O140" s="6">
        <f>N140^2</f>
        <v>1.7059621762881169E-4</v>
      </c>
      <c r="Q140">
        <f t="shared" si="45"/>
        <v>30620.159873416997</v>
      </c>
      <c r="R140" s="6">
        <f t="shared" si="46"/>
        <v>1.0126583001692779E-2</v>
      </c>
      <c r="S140" s="14">
        <f t="shared" si="38"/>
        <v>1.0254768329017315E-4</v>
      </c>
      <c r="T140" s="6"/>
      <c r="U140">
        <f t="shared" si="47"/>
        <v>30620.18306130511</v>
      </c>
      <c r="V140" s="6">
        <f t="shared" si="48"/>
        <v>-1.306130511147785E-2</v>
      </c>
      <c r="W140" s="6">
        <f t="shared" si="49"/>
        <v>1.705976912151174E-4</v>
      </c>
    </row>
    <row r="141" spans="1:25" x14ac:dyDescent="0.25">
      <c r="A141" s="6">
        <v>30638.1</v>
      </c>
      <c r="B141">
        <v>0</v>
      </c>
      <c r="C141">
        <f t="shared" si="35"/>
        <v>1</v>
      </c>
      <c r="D141">
        <v>0</v>
      </c>
      <c r="F141">
        <f t="shared" si="41"/>
        <v>30612.183333331868</v>
      </c>
      <c r="G141" s="6">
        <f t="shared" si="42"/>
        <v>25.916666668130347</v>
      </c>
      <c r="H141" s="4">
        <f t="shared" si="43"/>
        <v>671.67361118697852</v>
      </c>
      <c r="I141" s="4"/>
      <c r="J141" s="5">
        <v>2.5</v>
      </c>
      <c r="K141" s="5">
        <v>1.5</v>
      </c>
      <c r="L141" s="12">
        <f t="shared" si="44"/>
        <v>0.14000000000000001</v>
      </c>
      <c r="M141">
        <f>2*(M$143-M$144*($D141+0.5))*$C141-M$146*$L141</f>
        <v>30638.182449001451</v>
      </c>
      <c r="N141" s="6">
        <f>$A141-M141</f>
        <v>-8.2449001452914672E-2</v>
      </c>
      <c r="O141" s="6">
        <f>N141^2</f>
        <v>6.797837840582726E-3</v>
      </c>
      <c r="Q141">
        <f t="shared" si="45"/>
        <v>30638.107088606874</v>
      </c>
      <c r="R141" s="6">
        <f t="shared" si="46"/>
        <v>-7.0886068751860876E-3</v>
      </c>
      <c r="S141" s="14">
        <f t="shared" si="38"/>
        <v>5.0248347430935466E-5</v>
      </c>
      <c r="T141" s="6"/>
      <c r="U141">
        <f t="shared" si="47"/>
        <v>30638.182449060179</v>
      </c>
      <c r="V141" s="6">
        <f t="shared" si="48"/>
        <v>-8.2449060180806555E-2</v>
      </c>
      <c r="W141" s="6">
        <f t="shared" si="49"/>
        <v>6.7978475246982606E-3</v>
      </c>
    </row>
    <row r="142" spans="1:25" x14ac:dyDescent="0.25">
      <c r="H142" s="4">
        <f>SUM(H137:H141)</f>
        <v>2058.0625166666532</v>
      </c>
      <c r="I142" s="4"/>
      <c r="J142" s="4"/>
      <c r="K142" s="4"/>
      <c r="O142" s="6">
        <f>SUM(O137:O141)</f>
        <v>0.20251428571354835</v>
      </c>
      <c r="S142" s="14">
        <f>SUM(S137:S141)</f>
        <v>1.6202531638173428E-4</v>
      </c>
      <c r="T142" s="6"/>
      <c r="U142" s="6"/>
      <c r="V142" s="6"/>
      <c r="W142" s="6">
        <f>SUM(W137:W141)</f>
        <v>0.20251428571404173</v>
      </c>
    </row>
    <row r="143" spans="1:25" ht="18" x14ac:dyDescent="0.35">
      <c r="A143" t="s">
        <v>24</v>
      </c>
      <c r="F143">
        <v>15377.363749999273</v>
      </c>
      <c r="M143">
        <v>15380.613639477209</v>
      </c>
      <c r="Q143">
        <v>15380.77912095709</v>
      </c>
      <c r="U143">
        <v>15380.976749568988</v>
      </c>
    </row>
    <row r="144" spans="1:25" ht="18" x14ac:dyDescent="0.35">
      <c r="A144" t="s">
        <v>28</v>
      </c>
      <c r="F144">
        <v>142.54416666667743</v>
      </c>
      <c r="M144">
        <v>151.04387756835877</v>
      </c>
      <c r="Q144">
        <v>151.36904360267511</v>
      </c>
      <c r="U144">
        <v>152.01217107864764</v>
      </c>
    </row>
    <row r="145" spans="1:21" ht="18" x14ac:dyDescent="0.35">
      <c r="A145" t="s">
        <v>45</v>
      </c>
      <c r="U145">
        <v>0.4841467637110396</v>
      </c>
    </row>
    <row r="146" spans="1:21" x14ac:dyDescent="0.25">
      <c r="A146" t="s">
        <v>42</v>
      </c>
      <c r="M146">
        <v>-199.99319725278465</v>
      </c>
      <c r="P146">
        <v>1</v>
      </c>
      <c r="Q146">
        <v>-206.77777780916145</v>
      </c>
      <c r="U146">
        <v>-199.99319727854109</v>
      </c>
    </row>
    <row r="147" spans="1:21" x14ac:dyDescent="0.25">
      <c r="P147">
        <v>0</v>
      </c>
      <c r="Q147">
        <v>-199.41350210978425</v>
      </c>
    </row>
    <row r="149" spans="1:21" x14ac:dyDescent="0.25">
      <c r="F149" t="s">
        <v>44</v>
      </c>
      <c r="M149" t="s">
        <v>44</v>
      </c>
      <c r="Q149" t="s">
        <v>44</v>
      </c>
      <c r="U149" t="s">
        <v>44</v>
      </c>
    </row>
    <row r="150" spans="1:21" x14ac:dyDescent="0.25">
      <c r="A150" t="s">
        <v>29</v>
      </c>
      <c r="B150">
        <f>F143/F129</f>
        <v>1.1573671112711179</v>
      </c>
      <c r="F150">
        <f>F143/F129</f>
        <v>1.1573671112711179</v>
      </c>
      <c r="M150">
        <f>M143/M129</f>
        <v>1.1577015209795372</v>
      </c>
      <c r="Q150">
        <f>Q143/Q129</f>
        <v>1.1577089006989474</v>
      </c>
      <c r="U150">
        <f>U143/U129</f>
        <v>1.1576620530284714</v>
      </c>
    </row>
    <row r="151" spans="1:21" x14ac:dyDescent="0.25">
      <c r="A151" s="7" t="s">
        <v>31</v>
      </c>
      <c r="B151">
        <f>B$10/B$9</f>
        <v>1.1576769518009984</v>
      </c>
    </row>
    <row r="152" spans="1:21" x14ac:dyDescent="0.25">
      <c r="A152" s="7"/>
    </row>
    <row r="153" spans="1:21" s="15" customFormat="1" x14ac:dyDescent="0.25">
      <c r="A153" s="16" t="s">
        <v>59</v>
      </c>
    </row>
    <row r="155" spans="1:21" x14ac:dyDescent="0.25">
      <c r="A155" t="s">
        <v>23</v>
      </c>
      <c r="B155" t="s">
        <v>19</v>
      </c>
      <c r="C155" t="s">
        <v>35</v>
      </c>
      <c r="D155" t="s">
        <v>36</v>
      </c>
      <c r="E155" t="s">
        <v>37</v>
      </c>
      <c r="F155" t="s">
        <v>38</v>
      </c>
      <c r="G155" t="s">
        <v>39</v>
      </c>
      <c r="H155" t="s">
        <v>40</v>
      </c>
      <c r="I155" t="s">
        <v>41</v>
      </c>
      <c r="K155" t="s">
        <v>37</v>
      </c>
      <c r="L155" s="7" t="s">
        <v>43</v>
      </c>
      <c r="M155" s="7" t="s">
        <v>46</v>
      </c>
    </row>
    <row r="156" spans="1:21" x14ac:dyDescent="0.25">
      <c r="A156">
        <v>0</v>
      </c>
      <c r="B156">
        <f>A156+1</f>
        <v>1</v>
      </c>
      <c r="C156">
        <v>2.5</v>
      </c>
      <c r="D156">
        <f>C156+1</f>
        <v>3.5</v>
      </c>
      <c r="E156">
        <f>A156+C156</f>
        <v>2.5</v>
      </c>
      <c r="F156">
        <f>E156+1</f>
        <v>3.5</v>
      </c>
      <c r="G156">
        <f>E156*F156-C156*D156-A156*B156</f>
        <v>0</v>
      </c>
      <c r="H156">
        <f>G156+1</f>
        <v>1</v>
      </c>
      <c r="I156" s="11">
        <f>(0.75*G156*H156-C156*D156*A156*B156)/(2*C156*(2*C156-1)*(2*A156-1)*(2*A156+3))</f>
        <v>0</v>
      </c>
      <c r="K156">
        <v>2.5</v>
      </c>
      <c r="L156">
        <v>3.5</v>
      </c>
      <c r="M156" s="12">
        <f>INDEX($I$157:$I$159,MATCH($L156,$E$157:$E$159,0))-INDEX($I$156,MATCH($K156,$E$156,0))</f>
        <v>0.05</v>
      </c>
      <c r="N156">
        <v>0</v>
      </c>
      <c r="P156" s="12"/>
    </row>
    <row r="157" spans="1:21" x14ac:dyDescent="0.25">
      <c r="A157">
        <v>1</v>
      </c>
      <c r="B157">
        <f t="shared" ref="B157:B159" si="50">A157+1</f>
        <v>2</v>
      </c>
      <c r="C157">
        <v>2.5</v>
      </c>
      <c r="D157">
        <f t="shared" ref="D157:D159" si="51">C157+1</f>
        <v>3.5</v>
      </c>
      <c r="E157">
        <v>3.5</v>
      </c>
      <c r="F157">
        <f t="shared" ref="F157:F159" si="52">E157+1</f>
        <v>4.5</v>
      </c>
      <c r="G157">
        <f t="shared" ref="G157:G159" si="53">E157*F157-C157*D157-A157*B157</f>
        <v>5</v>
      </c>
      <c r="H157">
        <f t="shared" ref="H157:H159" si="54">G157+1</f>
        <v>6</v>
      </c>
      <c r="I157" s="11">
        <f t="shared" ref="I157:I159" si="55">(0.75*G157*H157-C157*D157*A157*B157)/(2*C157*(2*C157-1)*(2*A157-1)*(2*A157+3))</f>
        <v>0.05</v>
      </c>
      <c r="K157">
        <v>2.5</v>
      </c>
      <c r="L157">
        <v>2.5</v>
      </c>
      <c r="M157" s="12">
        <f t="shared" ref="M157:M158" si="56">INDEX($I$157:$I$159,MATCH($L157,$E$157:$E$159,0))-INDEX($I$156,MATCH($K157,$E$156,0))</f>
        <v>-0.16</v>
      </c>
      <c r="N157">
        <v>0</v>
      </c>
      <c r="P157" s="12"/>
    </row>
    <row r="158" spans="1:21" x14ac:dyDescent="0.25">
      <c r="A158">
        <v>1</v>
      </c>
      <c r="B158">
        <f t="shared" si="50"/>
        <v>2</v>
      </c>
      <c r="C158">
        <v>2.5</v>
      </c>
      <c r="D158">
        <f t="shared" si="51"/>
        <v>3.5</v>
      </c>
      <c r="E158">
        <v>2.5</v>
      </c>
      <c r="F158">
        <f t="shared" si="52"/>
        <v>3.5</v>
      </c>
      <c r="G158">
        <f t="shared" si="53"/>
        <v>-2</v>
      </c>
      <c r="H158">
        <f t="shared" si="54"/>
        <v>-1</v>
      </c>
      <c r="I158" s="11">
        <f t="shared" si="55"/>
        <v>-0.16</v>
      </c>
      <c r="K158">
        <v>2.5</v>
      </c>
      <c r="L158">
        <v>1.5</v>
      </c>
      <c r="M158" s="12">
        <f t="shared" si="56"/>
        <v>0.14000000000000001</v>
      </c>
      <c r="N158">
        <v>0</v>
      </c>
      <c r="P158" s="12"/>
    </row>
    <row r="159" spans="1:21" x14ac:dyDescent="0.25">
      <c r="A159">
        <v>1</v>
      </c>
      <c r="B159">
        <f t="shared" si="50"/>
        <v>2</v>
      </c>
      <c r="C159">
        <v>2.5</v>
      </c>
      <c r="D159">
        <f t="shared" si="51"/>
        <v>3.5</v>
      </c>
      <c r="E159">
        <v>1.5</v>
      </c>
      <c r="F159">
        <f t="shared" si="52"/>
        <v>2.5</v>
      </c>
      <c r="G159">
        <f t="shared" si="53"/>
        <v>-7</v>
      </c>
      <c r="H159">
        <f t="shared" si="54"/>
        <v>-6</v>
      </c>
      <c r="I159" s="11">
        <f t="shared" si="55"/>
        <v>0.14000000000000001</v>
      </c>
      <c r="P159" s="13"/>
    </row>
    <row r="160" spans="1:21" x14ac:dyDescent="0.25">
      <c r="L160" s="11"/>
      <c r="O160" s="12"/>
    </row>
  </sheetData>
  <sortState ref="A15:B28">
    <sortCondition ref="A15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2023-02-04T01:46:42Z</dcterms:modified>
</cp:coreProperties>
</file>